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отработка для внес.изм. в бюджет\Внес изм в февр.22\1. Бюджет\ГОТОВО ПРОЕКТ РСД\бюджет на сайт\"/>
    </mc:Choice>
  </mc:AlternateContent>
  <bookViews>
    <workbookView xWindow="10248" yWindow="348" windowWidth="10296" windowHeight="8508" tabRatio="822"/>
  </bookViews>
  <sheets>
    <sheet name="Прил.2" sheetId="51" r:id="rId1"/>
    <sheet name="Прил.3" sheetId="50" r:id="rId2"/>
    <sheet name="Прил.4" sheetId="36" r:id="rId3"/>
    <sheet name="0" sheetId="47" r:id="rId4"/>
  </sheets>
  <externalReferences>
    <externalReference r:id="rId5"/>
  </externalReferences>
  <definedNames>
    <definedName name="_xlnm.Print_Area" localSheetId="3">'0'!$C$5:$Y$190</definedName>
  </definedNames>
  <calcPr calcId="152511" iterate="1"/>
</workbook>
</file>

<file path=xl/calcChain.xml><?xml version="1.0" encoding="utf-8"?>
<calcChain xmlns="http://schemas.openxmlformats.org/spreadsheetml/2006/main">
  <c r="D17" i="51" l="1"/>
  <c r="I183" i="50"/>
  <c r="I24" i="50"/>
  <c r="I23" i="50"/>
  <c r="I25" i="50"/>
  <c r="I26" i="50"/>
  <c r="I27" i="50"/>
  <c r="I28" i="50"/>
  <c r="D112" i="36"/>
  <c r="D127" i="36"/>
  <c r="D48" i="36"/>
  <c r="D54" i="36"/>
  <c r="I182" i="50" l="1"/>
  <c r="I181" i="50" s="1"/>
  <c r="I180" i="50" s="1"/>
  <c r="I172" i="50" s="1"/>
  <c r="I166" i="50" s="1"/>
  <c r="D27" i="51"/>
  <c r="D58" i="36" l="1"/>
  <c r="W117" i="47"/>
  <c r="V117" i="47"/>
  <c r="X180" i="47" l="1"/>
  <c r="Y117" i="47"/>
  <c r="X117" i="47"/>
  <c r="D81" i="36"/>
  <c r="D47" i="36" s="1"/>
  <c r="D82" i="36"/>
  <c r="D91" i="36"/>
  <c r="I113" i="50"/>
  <c r="I114" i="50"/>
  <c r="I115" i="50"/>
  <c r="I117" i="50"/>
  <c r="I116" i="50" s="1"/>
  <c r="I112" i="50" s="1"/>
  <c r="I111" i="50" s="1"/>
  <c r="I110" i="50" s="1"/>
  <c r="I109" i="50" s="1"/>
  <c r="E45" i="51" l="1"/>
  <c r="F45" i="51"/>
  <c r="F15" i="51"/>
  <c r="E15" i="51"/>
  <c r="F19" i="51"/>
  <c r="E19" i="51"/>
  <c r="M15" i="50"/>
  <c r="K15" i="50"/>
  <c r="M40" i="50"/>
  <c r="K40" i="50"/>
  <c r="M49" i="50"/>
  <c r="M48" i="50" s="1"/>
  <c r="M47" i="50" s="1"/>
  <c r="M46" i="50" s="1"/>
  <c r="M50" i="50"/>
  <c r="K50" i="50"/>
  <c r="K49" i="50" s="1"/>
  <c r="K48" i="50" s="1"/>
  <c r="K47" i="50" s="1"/>
  <c r="K46" i="50" s="1"/>
  <c r="F131" i="36"/>
  <c r="E131" i="36"/>
  <c r="F47" i="36"/>
  <c r="E47" i="36"/>
  <c r="F48" i="36"/>
  <c r="E48" i="36"/>
  <c r="F60" i="36"/>
  <c r="F59" i="36" s="1"/>
  <c r="F58" i="36" s="1"/>
  <c r="E60" i="36"/>
  <c r="E59" i="36" s="1"/>
  <c r="E58" i="36" s="1"/>
  <c r="D44" i="51" l="1"/>
  <c r="D43" i="51" s="1"/>
  <c r="D39" i="51"/>
  <c r="D38" i="51" s="1"/>
  <c r="D34" i="51"/>
  <c r="D30" i="51"/>
  <c r="D29" i="51"/>
  <c r="I188" i="50"/>
  <c r="I185" i="50"/>
  <c r="I144" i="50"/>
  <c r="D33" i="51" s="1"/>
  <c r="I86" i="50"/>
  <c r="I80" i="50" s="1"/>
  <c r="I54" i="50"/>
  <c r="I53" i="50" s="1"/>
  <c r="I46" i="50" s="1"/>
  <c r="I40" i="50" s="1"/>
  <c r="D19" i="51" s="1"/>
  <c r="I47" i="50"/>
  <c r="I184" i="50"/>
  <c r="I192" i="50"/>
  <c r="K192" i="50"/>
  <c r="I214" i="50"/>
  <c r="I173" i="50"/>
  <c r="I94" i="50"/>
  <c r="I90" i="50"/>
  <c r="I58" i="50"/>
  <c r="I56" i="50"/>
  <c r="I50" i="50"/>
  <c r="D42" i="36"/>
  <c r="G42" i="36" s="1"/>
  <c r="I143" i="50" l="1"/>
  <c r="D35" i="51"/>
  <c r="D32" i="51" s="1"/>
  <c r="D15" i="51"/>
  <c r="I70" i="50"/>
  <c r="D24" i="51"/>
  <c r="D22" i="51" s="1"/>
  <c r="D26" i="51"/>
  <c r="I16" i="50"/>
  <c r="I15" i="50" l="1"/>
  <c r="D45" i="51"/>
  <c r="AN14" i="50"/>
  <c r="D115" i="36"/>
  <c r="D114" i="36" s="1"/>
  <c r="D113" i="36" s="1"/>
  <c r="D105" i="36"/>
  <c r="D104" i="36" s="1"/>
  <c r="D103" i="36" s="1"/>
  <c r="D102" i="36" s="1"/>
  <c r="G102" i="36" s="1"/>
  <c r="G145" i="47"/>
  <c r="D80" i="36"/>
  <c r="D79" i="36" s="1"/>
  <c r="D78" i="36" s="1"/>
  <c r="D77" i="36" s="1"/>
  <c r="D88" i="36"/>
  <c r="D87" i="36" s="1"/>
  <c r="D85" i="36"/>
  <c r="D84" i="36"/>
  <c r="D83" i="36" s="1"/>
  <c r="S16" i="47"/>
  <c r="S37" i="47"/>
  <c r="S36" i="47"/>
  <c r="S11" i="47"/>
  <c r="S38" i="47"/>
  <c r="D60" i="36"/>
  <c r="D59" i="36" s="1"/>
  <c r="D53" i="36"/>
  <c r="D52" i="36" s="1"/>
  <c r="D41" i="36"/>
  <c r="D40" i="36" s="1"/>
  <c r="D39" i="36" s="1"/>
  <c r="D46" i="36"/>
  <c r="G46" i="36" s="1"/>
  <c r="D14" i="36"/>
  <c r="D13" i="36" s="1"/>
  <c r="D12" i="36" s="1"/>
  <c r="D34" i="36"/>
  <c r="D33" i="36" s="1"/>
  <c r="D30" i="36" s="1"/>
  <c r="D29" i="36" s="1"/>
  <c r="D28" i="36" s="1"/>
  <c r="D16" i="36"/>
  <c r="D15" i="36" s="1"/>
  <c r="D8" i="36"/>
  <c r="D7" i="36" s="1"/>
  <c r="D6" i="36" s="1"/>
  <c r="D5" i="36" s="1"/>
  <c r="F49" i="51"/>
  <c r="E49" i="51"/>
  <c r="I15" i="51"/>
  <c r="H15" i="51"/>
  <c r="G15" i="51"/>
  <c r="D49" i="51"/>
  <c r="D48" i="51" s="1"/>
  <c r="D11" i="36" l="1"/>
  <c r="D10" i="36" s="1"/>
  <c r="D45" i="36"/>
  <c r="D44" i="36" s="1"/>
  <c r="D43" i="36" s="1"/>
  <c r="D38" i="36" s="1"/>
  <c r="G39" i="36" s="1"/>
  <c r="I216" i="50"/>
  <c r="I215" i="50" s="1"/>
  <c r="N215" i="50"/>
  <c r="M215" i="50"/>
  <c r="K215" i="50"/>
  <c r="A91" i="50"/>
  <c r="A87" i="50"/>
  <c r="AL16" i="50"/>
  <c r="AK16" i="50"/>
  <c r="AC16" i="50"/>
  <c r="AB16" i="50"/>
  <c r="AA16" i="50"/>
  <c r="M16" i="50"/>
  <c r="K16" i="50"/>
  <c r="Q15" i="50"/>
  <c r="Q16" i="50" s="1"/>
  <c r="D126" i="36" l="1"/>
  <c r="D125" i="36" s="1"/>
  <c r="D124" i="36" s="1"/>
  <c r="D131" i="36" s="1"/>
  <c r="D134" i="36" s="1"/>
  <c r="F124" i="36"/>
  <c r="F133" i="36" s="1"/>
  <c r="E124" i="36"/>
  <c r="E133" i="36" s="1"/>
  <c r="D133" i="36" l="1"/>
  <c r="O190" i="47"/>
  <c r="W182" i="47"/>
  <c r="W180" i="47"/>
  <c r="W178" i="47"/>
  <c r="O183" i="47" l="1"/>
  <c r="V90" i="47" l="1"/>
  <c r="V55" i="47"/>
  <c r="Z55" i="47" l="1"/>
  <c r="W109" i="47"/>
  <c r="V171" i="47"/>
  <c r="W171" i="47"/>
  <c r="W55" i="47"/>
  <c r="Z56" i="47" s="1"/>
  <c r="Z58" i="47" s="1"/>
  <c r="W67" i="47"/>
  <c r="V178" i="47"/>
  <c r="V180" i="47" s="1"/>
  <c r="M145" i="47"/>
  <c r="R143" i="47"/>
  <c r="V98" i="47"/>
  <c r="V100" i="47"/>
  <c r="W90" i="47"/>
  <c r="T183" i="47"/>
  <c r="T184" i="47" s="1"/>
  <c r="V94" i="47"/>
  <c r="V93" i="47"/>
  <c r="W94" i="47"/>
  <c r="W87" i="47"/>
  <c r="W93" i="47"/>
  <c r="V88" i="47"/>
  <c r="V86" i="47"/>
  <c r="V82" i="47"/>
  <c r="V79" i="47"/>
  <c r="V80" i="47"/>
  <c r="V78" i="47"/>
  <c r="W75" i="47"/>
  <c r="V75" i="47"/>
  <c r="Q75" i="47"/>
  <c r="M162" i="47"/>
  <c r="L162" i="47"/>
  <c r="G162" i="47"/>
  <c r="T161" i="47"/>
  <c r="U161" i="47"/>
  <c r="Q161" i="47"/>
  <c r="T160" i="47"/>
  <c r="U160" i="47"/>
  <c r="W160" i="47"/>
  <c r="V39" i="47"/>
  <c r="P39" i="47"/>
  <c r="R22" i="47"/>
  <c r="U19" i="47"/>
  <c r="W18" i="47"/>
  <c r="U17" i="47"/>
  <c r="U18" i="47"/>
  <c r="W10" i="47"/>
  <c r="W11" i="47"/>
  <c r="W9" i="47"/>
  <c r="W39" i="47"/>
  <c r="V67" i="47"/>
  <c r="U58" i="47"/>
  <c r="W59" i="47"/>
  <c r="Z47" i="47"/>
  <c r="L61" i="47"/>
  <c r="M61" i="47"/>
  <c r="M11" i="47"/>
  <c r="L16" i="47"/>
  <c r="P67" i="47"/>
  <c r="O186" i="47"/>
  <c r="O104" i="47"/>
  <c r="Q104" i="47"/>
  <c r="O112" i="47"/>
  <c r="G114" i="47"/>
  <c r="G3" i="47"/>
  <c r="G92" i="47"/>
  <c r="G95" i="47"/>
  <c r="Z94" i="47"/>
  <c r="G155" i="47"/>
  <c r="O132" i="47"/>
  <c r="Q132" i="47"/>
  <c r="Q117" i="47"/>
  <c r="L92" i="47"/>
  <c r="Y183" i="47"/>
  <c r="X183" i="47"/>
  <c r="U21" i="47"/>
  <c r="O22" i="47"/>
  <c r="O26" i="47"/>
  <c r="O171" i="47"/>
  <c r="G176" i="47"/>
  <c r="G153" i="47"/>
  <c r="Y181" i="47"/>
  <c r="X181" i="47"/>
  <c r="X184" i="47"/>
  <c r="X185" i="47"/>
  <c r="O15" i="47"/>
  <c r="M153" i="47"/>
  <c r="L153" i="47"/>
  <c r="U84" i="47"/>
  <c r="Q84" i="47"/>
  <c r="M129" i="47"/>
  <c r="L129" i="47"/>
  <c r="G129" i="47"/>
  <c r="M131" i="47"/>
  <c r="L131" i="47"/>
  <c r="G131" i="47"/>
  <c r="M126" i="47"/>
  <c r="L126" i="47"/>
  <c r="G126" i="47"/>
  <c r="M118" i="47"/>
  <c r="L118" i="47"/>
  <c r="M116" i="47"/>
  <c r="L116" i="47"/>
  <c r="G116" i="47"/>
  <c r="M176" i="47"/>
  <c r="L176" i="47"/>
  <c r="M170" i="47"/>
  <c r="L170" i="47"/>
  <c r="G170" i="47"/>
  <c r="G166" i="47"/>
  <c r="M168" i="47"/>
  <c r="L168" i="47"/>
  <c r="G168" i="47"/>
  <c r="M166" i="47"/>
  <c r="L166" i="47"/>
  <c r="M159" i="47"/>
  <c r="L159" i="47"/>
  <c r="G159" i="47"/>
  <c r="L145" i="47"/>
  <c r="M140" i="47"/>
  <c r="L140" i="47"/>
  <c r="G140" i="47"/>
  <c r="M137" i="47"/>
  <c r="L137" i="47"/>
  <c r="G137" i="47"/>
  <c r="M95" i="47"/>
  <c r="L95" i="47"/>
  <c r="M92" i="47"/>
  <c r="V91" i="47"/>
  <c r="U91" i="47"/>
  <c r="W91" i="47"/>
  <c r="Q91" i="47"/>
  <c r="Q90" i="47"/>
  <c r="M114" i="47"/>
  <c r="M133" i="47"/>
  <c r="M124" i="47"/>
  <c r="M111" i="47"/>
  <c r="M28" i="47"/>
  <c r="M16" i="47"/>
  <c r="L133" i="47"/>
  <c r="L124" i="47"/>
  <c r="L103" i="47"/>
  <c r="L28" i="47"/>
  <c r="W7" i="47"/>
  <c r="W6" i="47"/>
  <c r="W5" i="47"/>
  <c r="G61" i="47"/>
  <c r="U52" i="47"/>
  <c r="G33" i="47"/>
  <c r="T94" i="47"/>
  <c r="U94" i="47"/>
  <c r="Q94" i="47"/>
  <c r="U60" i="47"/>
  <c r="U53" i="47"/>
  <c r="R110" i="47"/>
  <c r="O98" i="47"/>
  <c r="Q98" i="47"/>
  <c r="Q125" i="47"/>
  <c r="Q128" i="47"/>
  <c r="O121" i="47"/>
  <c r="T121" i="47"/>
  <c r="U13" i="47"/>
  <c r="U173" i="47"/>
  <c r="W172" i="47"/>
  <c r="Q172" i="47"/>
  <c r="T171" i="47"/>
  <c r="U171" i="47"/>
  <c r="T169" i="47"/>
  <c r="U169" i="47"/>
  <c r="W169" i="47"/>
  <c r="Q169" i="47"/>
  <c r="T167" i="47"/>
  <c r="U167" i="47"/>
  <c r="W167" i="47"/>
  <c r="Q167" i="47"/>
  <c r="U165" i="47"/>
  <c r="W164" i="47"/>
  <c r="T164" i="47"/>
  <c r="Q164" i="47"/>
  <c r="T163" i="47"/>
  <c r="U163" i="47"/>
  <c r="Q163" i="47"/>
  <c r="T158" i="47"/>
  <c r="U158" i="47"/>
  <c r="W158" i="47"/>
  <c r="Q158" i="47"/>
  <c r="Q157" i="47"/>
  <c r="T157" i="47"/>
  <c r="U157" i="47"/>
  <c r="W157" i="47"/>
  <c r="R154" i="47"/>
  <c r="T154" i="47"/>
  <c r="U154" i="47"/>
  <c r="R152" i="47"/>
  <c r="T152" i="47"/>
  <c r="U152" i="47"/>
  <c r="Q152" i="47"/>
  <c r="R151" i="47"/>
  <c r="T151" i="47"/>
  <c r="U151" i="47"/>
  <c r="R150" i="47"/>
  <c r="T150" i="47"/>
  <c r="U150" i="47"/>
  <c r="Q150" i="47"/>
  <c r="R149" i="47"/>
  <c r="T149" i="47"/>
  <c r="U149" i="47"/>
  <c r="Q149" i="47"/>
  <c r="T147" i="47"/>
  <c r="U147" i="47"/>
  <c r="R147" i="47"/>
  <c r="Q147" i="47"/>
  <c r="W144" i="47"/>
  <c r="T143" i="47"/>
  <c r="U143" i="47"/>
  <c r="W143" i="47"/>
  <c r="Q143" i="47"/>
  <c r="T142" i="47"/>
  <c r="U142" i="47"/>
  <c r="W142" i="47"/>
  <c r="R142" i="47"/>
  <c r="Q142" i="47"/>
  <c r="U139" i="47"/>
  <c r="W139" i="47"/>
  <c r="Q139" i="47"/>
  <c r="U138" i="47"/>
  <c r="Q138" i="47"/>
  <c r="U136" i="47"/>
  <c r="W136" i="47"/>
  <c r="Q136" i="47"/>
  <c r="U135" i="47"/>
  <c r="Q135" i="47"/>
  <c r="V132" i="47"/>
  <c r="Q130" i="47"/>
  <c r="T130" i="47"/>
  <c r="U130" i="47"/>
  <c r="W130" i="47"/>
  <c r="T128" i="47"/>
  <c r="U128" i="47"/>
  <c r="W128" i="47"/>
  <c r="T125" i="47"/>
  <c r="U125" i="47"/>
  <c r="W125" i="47"/>
  <c r="T122" i="47"/>
  <c r="U122" i="47"/>
  <c r="W122" i="47"/>
  <c r="R122" i="47"/>
  <c r="Q122" i="47"/>
  <c r="U119" i="47"/>
  <c r="W119" i="47"/>
  <c r="Q119" i="47"/>
  <c r="T117" i="47"/>
  <c r="U117" i="47"/>
  <c r="T115" i="47"/>
  <c r="U115" i="47"/>
  <c r="W115" i="47"/>
  <c r="R115" i="47"/>
  <c r="Q115" i="47"/>
  <c r="U109" i="47"/>
  <c r="Q109" i="47"/>
  <c r="U108" i="47"/>
  <c r="W108" i="47"/>
  <c r="Q108" i="47"/>
  <c r="U107" i="47"/>
  <c r="U106" i="47"/>
  <c r="W106" i="47"/>
  <c r="Q106" i="47"/>
  <c r="T105" i="47"/>
  <c r="U105" i="47"/>
  <c r="Q105" i="47"/>
  <c r="U101" i="47"/>
  <c r="R101" i="47"/>
  <c r="Q101" i="47"/>
  <c r="U100" i="47"/>
  <c r="R100" i="47"/>
  <c r="Q100" i="47"/>
  <c r="U99" i="47"/>
  <c r="W99" i="47"/>
  <c r="R99" i="47"/>
  <c r="Q99" i="47"/>
  <c r="T93" i="47"/>
  <c r="U93" i="47"/>
  <c r="Q93" i="47"/>
  <c r="U89" i="47"/>
  <c r="Q89" i="47"/>
  <c r="T88" i="47"/>
  <c r="U88" i="47"/>
  <c r="W88" i="47"/>
  <c r="Q88" i="47"/>
  <c r="T87" i="47"/>
  <c r="U87" i="47"/>
  <c r="Q87" i="47"/>
  <c r="T86" i="47"/>
  <c r="Q86" i="47"/>
  <c r="U82" i="47"/>
  <c r="W82" i="47"/>
  <c r="Q82" i="47"/>
  <c r="T80" i="47"/>
  <c r="U80" i="47"/>
  <c r="W80" i="47"/>
  <c r="Q80" i="47"/>
  <c r="U79" i="47"/>
  <c r="R79" i="47"/>
  <c r="Q79" i="47"/>
  <c r="Q78" i="47"/>
  <c r="T78" i="47"/>
  <c r="U78" i="47"/>
  <c r="W78" i="47"/>
  <c r="T75" i="47"/>
  <c r="U75" i="47"/>
  <c r="R75" i="47"/>
  <c r="W74" i="47"/>
  <c r="V74" i="47"/>
  <c r="W73" i="47"/>
  <c r="W72" i="47"/>
  <c r="W71" i="47"/>
  <c r="R67" i="47"/>
  <c r="U62" i="47"/>
  <c r="U59" i="47"/>
  <c r="U57" i="47"/>
  <c r="U56" i="47"/>
  <c r="T54" i="47"/>
  <c r="T67" i="47"/>
  <c r="U48" i="47"/>
  <c r="W45" i="47"/>
  <c r="W44" i="47"/>
  <c r="W43" i="47"/>
  <c r="U38" i="47"/>
  <c r="W38" i="47"/>
  <c r="R38" i="47"/>
  <c r="Q38" i="47"/>
  <c r="T35" i="47"/>
  <c r="U35" i="47"/>
  <c r="W35" i="47"/>
  <c r="T34" i="47"/>
  <c r="U34" i="47"/>
  <c r="W34" i="47"/>
  <c r="T31" i="47"/>
  <c r="U31" i="47"/>
  <c r="W31" i="47"/>
  <c r="U27" i="47"/>
  <c r="W27" i="47"/>
  <c r="U29" i="47"/>
  <c r="W29" i="47"/>
  <c r="R29" i="47"/>
  <c r="Q29" i="47"/>
  <c r="Q39" i="47"/>
  <c r="T26" i="47"/>
  <c r="U25" i="47"/>
  <c r="U24" i="47"/>
  <c r="U14" i="47"/>
  <c r="U12" i="47"/>
  <c r="F10" i="47"/>
  <c r="M155" i="47"/>
  <c r="L155" i="47"/>
  <c r="U54" i="47"/>
  <c r="Q151" i="47"/>
  <c r="M33" i="47"/>
  <c r="L33" i="47"/>
  <c r="U64" i="47"/>
  <c r="Q110" i="47"/>
  <c r="G118" i="47"/>
  <c r="Q154" i="47"/>
  <c r="U55" i="47"/>
  <c r="G66" i="47"/>
  <c r="U47" i="47"/>
  <c r="G51" i="47"/>
  <c r="U49" i="47"/>
  <c r="T112" i="47"/>
  <c r="T113" i="47"/>
  <c r="U65" i="47"/>
  <c r="O67" i="47"/>
  <c r="G103" i="47"/>
  <c r="U10" i="47"/>
  <c r="Q113" i="47"/>
  <c r="R113" i="47"/>
  <c r="U20" i="47"/>
  <c r="U9" i="47"/>
  <c r="G11" i="47"/>
  <c r="T32" i="47"/>
  <c r="U32" i="47"/>
  <c r="W32" i="47"/>
  <c r="Q67" i="47"/>
  <c r="T123" i="47"/>
  <c r="U123" i="47"/>
  <c r="W123" i="47"/>
  <c r="R123" i="47"/>
  <c r="Q102" i="47"/>
  <c r="R102" i="47"/>
  <c r="L96" i="47"/>
  <c r="P178" i="47"/>
  <c r="P180" i="47"/>
  <c r="R39" i="47"/>
  <c r="L127" i="47"/>
  <c r="G16" i="47"/>
  <c r="O39" i="47"/>
  <c r="U121" i="47"/>
  <c r="W121" i="47"/>
  <c r="U26" i="47"/>
  <c r="M141" i="47"/>
  <c r="L37" i="47"/>
  <c r="G111" i="47"/>
  <c r="T104" i="47"/>
  <c r="T110" i="47"/>
  <c r="U110" i="47"/>
  <c r="R98" i="47"/>
  <c r="T98" i="47"/>
  <c r="U98" i="47"/>
  <c r="W98" i="47"/>
  <c r="R104" i="47"/>
  <c r="G96" i="47"/>
  <c r="D95" i="47"/>
  <c r="U22" i="47"/>
  <c r="M127" i="47"/>
  <c r="M96" i="47"/>
  <c r="G124" i="47"/>
  <c r="R121" i="47"/>
  <c r="M66" i="47"/>
  <c r="Q121" i="47"/>
  <c r="M51" i="47"/>
  <c r="Q112" i="47"/>
  <c r="U15" i="47"/>
  <c r="L177" i="47"/>
  <c r="G177" i="47"/>
  <c r="Y184" i="47"/>
  <c r="Y185" i="47"/>
  <c r="L66" i="47"/>
  <c r="R112" i="47"/>
  <c r="L114" i="47"/>
  <c r="G127" i="47"/>
  <c r="G37" i="47"/>
  <c r="G134" i="47"/>
  <c r="T132" i="47"/>
  <c r="U132" i="47"/>
  <c r="W132" i="47"/>
  <c r="Q123" i="47"/>
  <c r="M177" i="47"/>
  <c r="G133" i="47"/>
  <c r="L141" i="47"/>
  <c r="G28" i="47"/>
  <c r="M37" i="47"/>
  <c r="M134" i="47"/>
  <c r="O178" i="47"/>
  <c r="G141" i="47"/>
  <c r="U39" i="47"/>
  <c r="U67" i="47"/>
  <c r="M103" i="47"/>
  <c r="T39" i="47"/>
  <c r="L11" i="47"/>
  <c r="L51" i="47"/>
  <c r="T102" i="47"/>
  <c r="U102" i="47"/>
  <c r="T182" i="47"/>
  <c r="Q178" i="47"/>
  <c r="L134" i="47"/>
  <c r="R178" i="47"/>
  <c r="R180" i="47"/>
  <c r="U104" i="47"/>
  <c r="W104" i="47"/>
  <c r="X182" i="47"/>
  <c r="L111" i="47"/>
  <c r="Y180" i="47"/>
  <c r="Y182" i="47"/>
  <c r="O180" i="47"/>
  <c r="O182" i="47"/>
  <c r="Q180" i="47"/>
  <c r="T90" i="47" l="1"/>
  <c r="U90" i="47"/>
  <c r="T178" i="47"/>
  <c r="U178" i="47"/>
  <c r="T180" i="47"/>
  <c r="U180" i="47"/>
</calcChain>
</file>

<file path=xl/sharedStrings.xml><?xml version="1.0" encoding="utf-8"?>
<sst xmlns="http://schemas.openxmlformats.org/spreadsheetml/2006/main" count="1861" uniqueCount="442">
  <si>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</si>
  <si>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</si>
  <si>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</si>
  <si>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</si>
  <si>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</si>
  <si>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</si>
  <si>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</si>
  <si>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</si>
  <si>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</si>
  <si>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</si>
  <si>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</si>
  <si>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</si>
  <si>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</si>
  <si>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</si>
  <si>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</si>
  <si>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</si>
  <si>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</si>
  <si>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</si>
  <si>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</si>
  <si>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</si>
  <si>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</si>
  <si>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</si>
  <si>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Другие вопросы в области национальной экономики</t>
  </si>
  <si>
    <t>Коммунальное хозяйство</t>
  </si>
  <si>
    <t>раздел</t>
  </si>
  <si>
    <t>подраздел</t>
  </si>
  <si>
    <t>".</t>
  </si>
  <si>
    <t>Наименование</t>
  </si>
  <si>
    <t>ЦСР</t>
  </si>
  <si>
    <t>ВР</t>
  </si>
  <si>
    <t>40.0.00.00000</t>
  </si>
  <si>
    <t>000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</si>
  <si>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</si>
  <si>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</si>
  <si>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</si>
  <si>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</si>
  <si>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</si>
  <si>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Резервный фонд</t>
  </si>
  <si>
    <t>Резервные средства</t>
  </si>
  <si>
    <t>41.0.00.00000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</si>
  <si>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</si>
  <si>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</si>
  <si>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</si>
  <si>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</si>
  <si>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</si>
  <si>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</si>
  <si>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</si>
  <si>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</si>
  <si>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</si>
  <si>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Уплата налогов, сборов и иных платежей</t>
  </si>
  <si>
    <t>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</si>
  <si>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</si>
  <si>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</si>
  <si>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42.0.00.00000</t>
  </si>
  <si>
    <t>43.0.00.00000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</si>
  <si>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</si>
  <si>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</si>
  <si>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</si>
  <si>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300</t>
  </si>
  <si>
    <t>44.0.00.00000</t>
  </si>
  <si>
    <t>44.0.01.82300</t>
  </si>
  <si>
    <t>44.0.01.S2300</t>
  </si>
  <si>
    <t>45.0.00.00000</t>
  </si>
  <si>
    <t>45.0.01.99990</t>
  </si>
  <si>
    <t>46.0.00.00000</t>
  </si>
  <si>
    <t>46.0.01.99990</t>
  </si>
  <si>
    <t>47.0.00.00000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</si>
  <si>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</si>
  <si>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 том числе субвенции</t>
  </si>
  <si>
    <t>целевая статья</t>
  </si>
  <si>
    <t>вид расхода</t>
  </si>
  <si>
    <t>01</t>
  </si>
  <si>
    <t>Расходы на выплаты персоналу в целях обеспечения выполнения функций государственными (муниципальными) органами</t>
  </si>
  <si>
    <t>244</t>
  </si>
  <si>
    <t>10</t>
  </si>
  <si>
    <t>МБТ</t>
  </si>
  <si>
    <t>ВУС</t>
  </si>
  <si>
    <t>Лицевой счет</t>
  </si>
  <si>
    <t>Бюджетная классификация</t>
  </si>
  <si>
    <t>нехватка</t>
  </si>
  <si>
    <t/>
  </si>
  <si>
    <t>ППП</t>
  </si>
  <si>
    <t>ЭКР</t>
  </si>
  <si>
    <t>112</t>
  </si>
  <si>
    <t>111</t>
  </si>
  <si>
    <t>344</t>
  </si>
  <si>
    <t>Итого по главному распорядителю</t>
  </si>
  <si>
    <t>Всего</t>
  </si>
  <si>
    <t>ИТОГО</t>
  </si>
  <si>
    <t>Рз</t>
  </si>
  <si>
    <t>ПР</t>
  </si>
  <si>
    <t>Общегосударственные вопросы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</si>
  <si>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</si>
  <si>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</si>
  <si>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</si>
  <si>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</si>
  <si>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</si>
  <si>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фрнды)</t>
  </si>
  <si>
    <t>Связь и информатика</t>
  </si>
  <si>
    <t>Жилищно-коммунальное хозяйство</t>
  </si>
  <si>
    <t>Культура,  кинематография</t>
  </si>
  <si>
    <t>Социальная политика</t>
  </si>
  <si>
    <t>Физическая культура и спорт</t>
  </si>
  <si>
    <t>ВСЕГО</t>
  </si>
  <si>
    <t>АДМИНИСТРАЦИЯ СЕЛЬСКОГО ПОСЕЛЕНИЯ ЗАЙЦЕВА РЕЧКА</t>
  </si>
  <si>
    <t xml:space="preserve"> (тыс. рублей)</t>
  </si>
  <si>
    <t>Общеэкономические вопросы</t>
  </si>
  <si>
    <t>Совета депутатов с.п. Зайцева Речка</t>
  </si>
  <si>
    <t>Муниципальная программа "Управление в сфере муниципальных финансов 
в сельском поселении Зайцева Речка"</t>
  </si>
  <si>
    <t>Муниципальная программа "Профилактика правонарушений в сфере общественного порядка в сельском поселении Зайцева Речка"</t>
  </si>
  <si>
    <t>41.0.01.00590</t>
  </si>
  <si>
    <t>Муниципальная программа "Жилищно-коммунальный комплекс и городская среда в сельском поселении Зайцева Речка"</t>
  </si>
  <si>
    <t>Муниципальная программа "Управление муниципальным имуществом на территории сельского поселения Зайцева Речка"</t>
  </si>
  <si>
    <t>Муниципальная программа "Развитие транспортной системы сельского поселения Зайцева Речка"</t>
  </si>
  <si>
    <t>Муниципальная программа "Безопасность жизнедеятельности в сельском поселении Зайцева Речка"</t>
  </si>
  <si>
    <t>43.0.01.00000</t>
  </si>
  <si>
    <t>43.0.01.02030</t>
  </si>
  <si>
    <t>40.0.01.89020</t>
  </si>
  <si>
    <t>40.0.01.00000</t>
  </si>
  <si>
    <t>Основное мероприятия "Организация бюджетного процесса"</t>
  </si>
  <si>
    <t>40.0.02.00000</t>
  </si>
  <si>
    <t>40.0.02.20610</t>
  </si>
  <si>
    <t>40.0.02.99990</t>
  </si>
  <si>
    <t>Основное мероприятие "Финансовое обеспечение расходных обязательств по делегированным полномочиям"</t>
  </si>
  <si>
    <t>Муниципальная программа "Управление в сфере муниципальных финансов в сельском поселении Зайцева Речка"</t>
  </si>
  <si>
    <t>Основное мероприятие "Создание условий для профилактики правонарушений"</t>
  </si>
  <si>
    <t>44.0.01.00000</t>
  </si>
  <si>
    <t>45.0.01.00000</t>
  </si>
  <si>
    <t>47.0.01.00000</t>
  </si>
  <si>
    <t>47.0.02.00000</t>
  </si>
  <si>
    <t>47.0.03.00000</t>
  </si>
  <si>
    <t>47.0.02.99990</t>
  </si>
  <si>
    <t>47.0.03.99990</t>
  </si>
  <si>
    <t>Основное мероприятие "Создание условий для обеспечения качественными коммунальными услугами"</t>
  </si>
  <si>
    <t>Реализация мероприятий по созданию условий для обеспечения качественными коммунальными услугамимуниципальной программы "Жилищно-коммунальный комплекс и городская среда в сельском поселении Зайцева Речка"</t>
  </si>
  <si>
    <t>Основное мероприятие "Формирование комфортной городской среды"</t>
  </si>
  <si>
    <t>49.0.01.00590</t>
  </si>
  <si>
    <t>Основное мероприятие "Создание необходимых условий для эффективного функционирования органов местного самоуправления поселения»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</si>
  <si>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состояниявмуниципальной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</si>
  <si>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</si>
  <si>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42.0.01.00000</t>
  </si>
  <si>
    <t>Основное мероприятие "Развитие физической культуры и массового спорта на территории поселения, пропаганда здорового образа жизни»</t>
  </si>
  <si>
    <t>48.0.01.00590</t>
  </si>
  <si>
    <t xml:space="preserve">Основное мероприятие "Мероприятия по  соданию условий для организации культурного досуга и обеспечения потребностей культурного досуга жителей поселения" </t>
  </si>
  <si>
    <t>41.0.01.00000</t>
  </si>
  <si>
    <t>Основное мероприятие  «Содержание муниципального имущества сельского поселения Зайцева Речка».</t>
  </si>
  <si>
    <t>46.0.01.00000</t>
  </si>
  <si>
    <t>Другие вопросы в области охраны окружающей среды</t>
  </si>
  <si>
    <t>Охрана окружающей среды</t>
  </si>
  <si>
    <t>43.0.01.02040</t>
  </si>
  <si>
    <t>43.0.01.89240</t>
  </si>
  <si>
    <t>43.0.01.51180</t>
  </si>
  <si>
    <t>43.0.01.02400</t>
  </si>
  <si>
    <t>43.0.01.D9300</t>
  </si>
  <si>
    <t>43.0.01.59300</t>
  </si>
  <si>
    <t>346</t>
  </si>
  <si>
    <t>2022 год</t>
  </si>
  <si>
    <t>40.0.01.89090</t>
  </si>
  <si>
    <t xml:space="preserve">Основное мероприятие "Обеспечение эффективного исполнения полномочий органов местного самоуправления сельского поселения Зайцева Речка" </t>
  </si>
  <si>
    <t>Муниципальная программа "Информационное общество сельского поселения Зайцева Речка"</t>
  </si>
  <si>
    <t>30.0.00.00000</t>
  </si>
  <si>
    <t>30.0.01.20070</t>
  </si>
  <si>
    <t>Муниципальная программа «Информационное общество сельского поселения Зайцева Речка»</t>
  </si>
  <si>
    <t>42.0.01.99990</t>
  </si>
  <si>
    <t>Основное мероприятие "Обеспечение функционирования внутрипоселковых и подъездных автомобильных дорог сельского поселения"</t>
  </si>
  <si>
    <t>Основное мероприятие "Обеспечение доступности населению современных информационных технологий;</t>
  </si>
  <si>
    <t>43.0.00.0000</t>
  </si>
  <si>
    <t>Сельское хозяйство и рыболовство</t>
  </si>
  <si>
    <t>Сумма на 2022 год</t>
  </si>
  <si>
    <t>30.0.01.00000</t>
  </si>
  <si>
    <t>42.0.02.99990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</si>
  <si>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</si>
  <si>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2023 год</t>
  </si>
  <si>
    <t xml:space="preserve">Уксловно- утвержденные </t>
  </si>
  <si>
    <t>Основное мероприятие: 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здоровья.</t>
  </si>
  <si>
    <t>Основное мероприятие: Укрепление пожарной безопасности в поселении.</t>
  </si>
  <si>
    <t>42.0.02.00000</t>
  </si>
  <si>
    <t>Сумма на 2023 год</t>
  </si>
  <si>
    <t>40.0.01.89080</t>
  </si>
  <si>
    <t>47.0.01.88806</t>
  </si>
  <si>
    <t>МКУ "Содружество" Реализация мероприятий по созданию необходимых условий  для эффективного функционирования органов местного самоуправления поселения муниципальной программы "Осуществление материально -технического обеспечения деятельности органов местного самоуправления в сельском поселении Зайцева Речка"</t>
  </si>
  <si>
    <t>.1101</t>
  </si>
  <si>
    <t>.656</t>
  </si>
  <si>
    <t>211</t>
  </si>
  <si>
    <t>000.00.00</t>
  </si>
  <si>
    <t>.03.02.06</t>
  </si>
  <si>
    <t>.01.01.00</t>
  </si>
  <si>
    <t>00.00.00</t>
  </si>
  <si>
    <t>119</t>
  </si>
  <si>
    <t>213</t>
  </si>
  <si>
    <t xml:space="preserve">Начисл.на выпл.по оплате труда </t>
  </si>
  <si>
    <t>.0113</t>
  </si>
  <si>
    <t>266</t>
  </si>
  <si>
    <t>Соц.пособия и компенс. Выплаты (ожидается оплата больничного листа)</t>
  </si>
  <si>
    <t>214</t>
  </si>
  <si>
    <t>Начисл.на выпл.по оплате труда</t>
  </si>
  <si>
    <t>221</t>
  </si>
  <si>
    <t>222</t>
  </si>
  <si>
    <t>223</t>
  </si>
  <si>
    <t>225</t>
  </si>
  <si>
    <t>226</t>
  </si>
  <si>
    <t>343</t>
  </si>
  <si>
    <t>.291</t>
  </si>
  <si>
    <t>07.00.00</t>
  </si>
  <si>
    <t>345</t>
  </si>
  <si>
    <t>.0401</t>
  </si>
  <si>
    <t>.01.03.00</t>
  </si>
  <si>
    <t>020</t>
  </si>
  <si>
    <t>Анализ расходов средств бюджета по МКУ "СДК" п. Зайцева Речка (все типы средств)</t>
  </si>
  <si>
    <t>мероприятие</t>
  </si>
  <si>
    <t>направление</t>
  </si>
  <si>
    <t>План</t>
  </si>
  <si>
    <t>Фактический расход</t>
  </si>
  <si>
    <t>Остаток от плана</t>
  </si>
  <si>
    <t>Принятые обязательства</t>
  </si>
  <si>
    <t>Ожидаемое исполнение на 31.12.2021 (анализируемое)</t>
  </si>
  <si>
    <t>Экономия</t>
  </si>
  <si>
    <t>Ожидаемое исполнение на 24.06.2021 (расчетное)</t>
  </si>
  <si>
    <t>РзПр</t>
  </si>
  <si>
    <t>Суб КОСГУ</t>
  </si>
  <si>
    <t>Район</t>
  </si>
  <si>
    <t>Тип средств</t>
  </si>
  <si>
    <t>на 24.06.2021</t>
  </si>
  <si>
    <t>Сумма</t>
  </si>
  <si>
    <t>Договоры, контракты и прочее</t>
  </si>
  <si>
    <t>(План - Ожидаемое исполнение)</t>
  </si>
  <si>
    <t>МКУ "СДК" п. Зайцева Речка</t>
  </si>
  <si>
    <t>656.41.001.1</t>
  </si>
  <si>
    <t>.0801</t>
  </si>
  <si>
    <t>.00.00.00</t>
  </si>
  <si>
    <t>.000</t>
  </si>
  <si>
    <t>Соц.пособия и компенс.персон.</t>
  </si>
  <si>
    <t>Начисл.на выпл.по оплате труда.</t>
  </si>
  <si>
    <t>311.00.00</t>
  </si>
  <si>
    <t>.19.00.00</t>
  </si>
  <si>
    <t>.020</t>
  </si>
  <si>
    <t>656.41.002.1</t>
  </si>
  <si>
    <t>.0802</t>
  </si>
  <si>
    <t>Анализ расходов средств бюджета по Администрации с. п. Зайцева Речка (все типы средств)</t>
  </si>
  <si>
    <t>Ожидаемое исполнение на 31.12.2021(анализируемое)</t>
  </si>
  <si>
    <t>Ожидаемое исполнение на 31.12.2021 (расчетное)</t>
  </si>
  <si>
    <t>(План - Принятые обязательства)</t>
  </si>
  <si>
    <t>гр.13 / 5мес * 12 мес</t>
  </si>
  <si>
    <t>.0410</t>
  </si>
  <si>
    <t>.0412</t>
  </si>
  <si>
    <t>.0501</t>
  </si>
  <si>
    <t>.0502</t>
  </si>
  <si>
    <t>.0111</t>
  </si>
  <si>
    <t>01.01.00</t>
  </si>
  <si>
    <t>.0310</t>
  </si>
  <si>
    <t>.0102</t>
  </si>
  <si>
    <t>оплата 3 дня за счет работадателя больничных листов</t>
  </si>
  <si>
    <t>Суточные(командир.расх.)</t>
  </si>
  <si>
    <t>Проживание (командиров.расх.)</t>
  </si>
  <si>
    <t>.0104</t>
  </si>
  <si>
    <t>взносы в Совет муниципальных образований</t>
  </si>
  <si>
    <t>.0203</t>
  </si>
  <si>
    <t>.01.02.04</t>
  </si>
  <si>
    <t>.04.01.06</t>
  </si>
  <si>
    <t>.018</t>
  </si>
  <si>
    <t>обяз.страх.взносы ВУС. Итого: сумма обязательств 55139,76</t>
  </si>
  <si>
    <t>конц. Товары</t>
  </si>
  <si>
    <t>.0304</t>
  </si>
  <si>
    <t>.01.02.03</t>
  </si>
  <si>
    <t>.04.02.06</t>
  </si>
  <si>
    <t>.1001</t>
  </si>
  <si>
    <t>43.0.01.72621</t>
  </si>
  <si>
    <t>.0314</t>
  </si>
  <si>
    <t>26.00.02</t>
  </si>
  <si>
    <t>.019</t>
  </si>
  <si>
    <t>днд</t>
  </si>
  <si>
    <t>26.00.01</t>
  </si>
  <si>
    <t>.0409</t>
  </si>
  <si>
    <t>.01.12.00</t>
  </si>
  <si>
    <t>.0503</t>
  </si>
  <si>
    <t>55.00.00</t>
  </si>
  <si>
    <t>.0405</t>
  </si>
  <si>
    <t>ВСЕГО ПО ВСЕМ УЧРЕЖДЕНИЯМ</t>
  </si>
  <si>
    <t>поселения Зайцева Речка</t>
  </si>
  <si>
    <t xml:space="preserve">Совета депутатов сельского </t>
  </si>
  <si>
    <t xml:space="preserve">Заработная плата с ув. 4% с 01.10.22г </t>
  </si>
  <si>
    <t>Оплата госпошлин и пени (транспор7тр)</t>
  </si>
  <si>
    <t>б/л за счет работодат.</t>
  </si>
  <si>
    <t xml:space="preserve">Зарплата+НДФЛ ВУС (МРОТ 29957,4*0,5шт.ед.*12мес) </t>
  </si>
  <si>
    <t>льг.проезд - ИголА и 2 реб.(3чел.*15=90, Росляк(30), Дороф(30), Суббот(30), Воробьева В(50), БелозА и 2 дет(50тр)=280тр</t>
  </si>
  <si>
    <t>Заработная плата 29957,4(МРОТ на 22г)*1,5ш.ед*13мес</t>
  </si>
  <si>
    <t>Зарплата+НДФЛ Работника (36457,53*17,5МФОТов)</t>
  </si>
  <si>
    <t>Отжиг травы Былино и Вампугол по данным 2021г - 706119,27</t>
  </si>
  <si>
    <t>Заработная плата =29957,4 МРОТ*1шт.ед.*12 с ув.4% с 01.10.22г</t>
  </si>
  <si>
    <t>на 2022г</t>
  </si>
  <si>
    <t>на 2023г</t>
  </si>
  <si>
    <t>на 2024г</t>
  </si>
  <si>
    <t>Муниципальная программа "Культурное пространство сельского поселении Зайцева Речка"</t>
  </si>
  <si>
    <t>43.0.02.00000</t>
  </si>
  <si>
    <t>43.0.02.00590</t>
  </si>
  <si>
    <t>43.0.03.00000</t>
  </si>
  <si>
    <t>43.0.03.00590</t>
  </si>
  <si>
    <t>43.0.03.85060</t>
  </si>
  <si>
    <t>Муниципальная программа «Жилищно-коммунальный комплекс и городская среда в  сельском поселении Зайцева Речка"</t>
  </si>
  <si>
    <t>291.</t>
  </si>
  <si>
    <t>852.</t>
  </si>
  <si>
    <t xml:space="preserve">Услуги по обновлению мин.полос работа трактора 30часов*3157,17=94715,10.                                                                                              </t>
  </si>
  <si>
    <t>ИТОГО по 656.42.</t>
  </si>
  <si>
    <t>ИТОГО по 656.43.</t>
  </si>
  <si>
    <t>ИТОГО по Содруж</t>
  </si>
  <si>
    <t>ИТОГО по 656.44.</t>
  </si>
  <si>
    <t>ИТОГО по 656.46.</t>
  </si>
  <si>
    <t>ИТОГО по 656.47.</t>
  </si>
  <si>
    <t>Сумма на 2024 год</t>
  </si>
  <si>
    <t xml:space="preserve">Распределение бюджетных ассигнований по разделам и подразделам классификации расходов бюджета поселения на 2022 год и плановый период 2023 и 2024 годов. </t>
  </si>
  <si>
    <t>2024 год</t>
  </si>
  <si>
    <t>Ведомственная структура расходов бюджета на очередной финансовый  2022 год и плановый период 2023 и 2024 годов (тыс.руб)</t>
  </si>
  <si>
    <t>Заработная плата = 60 242,0 целевой показатель на 22г*7чел*12 мес</t>
  </si>
  <si>
    <t>Муниципальная программа "Повышение эффективности управления  сельским поселением Зайцева Речка"</t>
  </si>
  <si>
    <t>47.0.03.84200</t>
  </si>
  <si>
    <t>2 кв.(Школьная  с</t>
  </si>
  <si>
    <t xml:space="preserve"> Факт 22,92+73,98=96,9  </t>
  </si>
  <si>
    <t>Бензин 80л*50рб=4,0тр</t>
  </si>
  <si>
    <t>Патрулирование территориии по пожарной безопасности - 1человека*2 населенных пункта (Былино, Вампугол.)*(Мрот 13890,0*2,2+ взносы 8342,34=)т.р в месяц материальное стимулирование*2 месяца=155601,36,0т.р.</t>
  </si>
  <si>
    <t xml:space="preserve">Остаток на 01.01.22г </t>
  </si>
  <si>
    <t>уточ.д-дов</t>
  </si>
  <si>
    <t>251</t>
  </si>
  <si>
    <t>ВСЕГО р-дов</t>
  </si>
  <si>
    <t xml:space="preserve">Остат.на 01.01.22г </t>
  </si>
  <si>
    <t>Дог.052 от 29.12.2021г (услуги электросвязи) в сумме 22 028,83                                                                                                         Дог.052-И от 29.12.202г (интернет) в сумме 67 104,00;                                                                                             Дог.052 ВЗ от 29.12.2021г (услуги внутризоновой связи) в сумме 3 000,00;                                                                                                   Дог.052 РТК от 29.12.2021 (услуги междугородной связи)г в сумме 2 000,00.                                                                                                  Итого: сумма заключенных договоров 94 132,83.</t>
  </si>
  <si>
    <t xml:space="preserve">Дог. 33/22-В(водоснабжение) от 29.12.21г в сумме 32 784,00;                                                                                     Дог.33/22-ЖКО от 29.29.21г в сумме 58 910,40;                                                                Дог.ЮЭ01КО1300000012 от 28.12.2021 в сумме 6 672,24                                                                    Итого:сумма заключенных договоров - 98 366,64                                        </t>
  </si>
  <si>
    <t xml:space="preserve">Дог.218-ТО от 29.12.21г (ТО пож.сигн) в сумме 63 604,00;                                                                                                                                                     Дог.33/22-ТО и ТР от 29.12.21г(ТО систем тепловодосн.) в сумме 101 694,60;                                     Дог.15/22/ПЭО от 23.11.21г(ТО систем электроснабжения) в сумме  57 600,00;                                                                                                                                                                                                                             
Дог. 296 от 27.01.22г(ремонт и заправка картриджей) в сумме 4 330,00 
ИТОГО: сумма закл.договоров - 227 228,60  
Планируется Договор (пром и опресс) в сумме 109 274,00.                                                           </t>
  </si>
  <si>
    <t xml:space="preserve">Планируется заключить:
Дог.на приобретение банера - 3 000,00
Оргтехника - 42 000,00                                                                                                                                                                                             </t>
  </si>
  <si>
    <t xml:space="preserve">Дог.10736 от 27.01.22г(хоз товары) в сумме 7 857,00;                                                                                          Дог.281 от 27.01.22г(канц товары) в сумме 4 708,00;                                                                                     Дог.476 от 27.01.22г(канц товары) в сумме 4 606,00;                                                    
Итого сумма заключенных договоров -17 171,00
Планируется заключить:
Дог.на приобретение хозтоваров - 6 000,00
Дог.на приобретение канц. товаров, картриджей, элементов питания - 26 829,00                                                                                         </t>
  </si>
  <si>
    <t xml:space="preserve">Планируется заключить:
Дог.на приобретение цветов для дарения - 20 000,00
Дог.на приобретение призов - 30 000,00                                                                                              </t>
  </si>
  <si>
    <t xml:space="preserve">Дог.33/22-Т(тепло) от 29.12.2021г в сумме 721 980,48                                                                                   Дог.ЭС-09/54-Р(свет) от 29.12.2021г в сумме 20 773,72;  
Итого сумма заключенных договоров -742754,20                                                              </t>
  </si>
  <si>
    <t xml:space="preserve">Планируется оплата льготного проезда на сумму 200 000,00 </t>
  </si>
  <si>
    <t>АО «СЕВЕРСВЯЗЬ»                                                                                          Дог 124 от 01.01.22г в сумме 210 484,66;                                                   Дог.124-И от 01.01.22г в сумме 146 460,00;                                                Дог.124 -ВЗ от 01.01.22г в сумме 40 000,00;                                           Дог.124- РТК от 01.01.22г в сумме 50 000,00.                                                                                     «Т2 Мобайл»                                                                                                 Дог.№ 48743 от 28.01.22г.в сумме 6 500,00                                                         Итого: сумма заключенных договоров        453 444,66</t>
  </si>
  <si>
    <t>планируются (похоронное дело)  на сумму 30 000,00,                          Дог. № 3 от 15.02.2022 г. транспорт. расходы на сумму 10500,00*2=21000                                                  Итого 51 000,00</t>
  </si>
  <si>
    <t>ИП Снопик О.А                                                                                                  Дог. № 01 от 10.01.22г. в сумме   30 000,00                                                     АО «СЕВЕРСВЯЗЬ»                                                                                         ;Дог. № 19 ТО от  01.01.22г. в сумме 58 200,00.                                                                                                     Снопик О.А.                                                                                                       Дог №1 от 19.01.22г. в сумме 41 400,00;                                                        МУП "СЖКХ"                                                                                                      Дог. №  /22 от 01.01.22г  в сумме 99 000,00;                                               ООО "Партнер Канц"                                                                                        Дог. № 6/1 от 20.01.22г в сумме 30 000,00;                                                        ООО "АТЭК-СБ"                                                                                                      Дог. № 217-ТО от 01.01.22 в сумме 72 000,00;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сумма заключенных договоров         330 600,00                                                                 Планируется до конца года заключить договор с ООО «Автоклуб КАР-911» ремонт авто в сумме 30 000,00;  МУП «СЖКХ» опрессовка  в сумме  80 000,00 ; ИП Снопик в сумме 30 000,00 Итого   140 000,00</t>
  </si>
  <si>
    <t>.310</t>
  </si>
  <si>
    <t>Оплата госпошлин и пени</t>
  </si>
  <si>
    <t>ИП "Тарасов"                                                                                                   Дог. № 00010710 от 21.01.22г. в сумме 8 107,00                                                                                                                                                                 ООО "Партнер Канц"                                                                                                 Дог. № 6 от 20.01.22г.  в сумме 50 000                                                                                                                                                                                                   Итого: сумма заключенных договоров           58 107,00                              Планируется до конца года заключить договоры приобретение хоз. товаров, канц. товаров на сумму 80 000 руб.                    Итого 80 000,00</t>
  </si>
  <si>
    <t>Заработная плата и начисление на выпл.по оплате труда по договорам с НЦЗН (ОРр и СКр).                                                         Орр - 7 чел *2 мес = 14 мес.                                                               СКр 3 чел * 3 мес = 9 мес.                                                                    з/п за (14+9) * 30 558,00 = 702 834,00                                              взносы за 23 мес. 702 834*30,2% = 212 255,86                           Итого  915 089,86                                                    Поступление от ЦЗН ОРр - 271 807,20 СКр - 174 733,20</t>
  </si>
  <si>
    <t xml:space="preserve"> "Восстановление тратуара по ул. Почтовая 12". Смета на сумму 239,026тр.(сумма р-на 227,027тр, наша 11,951тр)</t>
  </si>
  <si>
    <t>Установка павильона автобусного</t>
  </si>
  <si>
    <t xml:space="preserve">ТО оповещ. ООО Северсвязь 4740*2*12мес.= 113 760,0рб.; </t>
  </si>
  <si>
    <t>47.0.01.88550</t>
  </si>
  <si>
    <t>47.0.01.S8550</t>
  </si>
  <si>
    <t xml:space="preserve">Планируется снос домов </t>
  </si>
  <si>
    <t>СДК</t>
  </si>
  <si>
    <t>Содр.</t>
  </si>
  <si>
    <t xml:space="preserve"> Бензиновая электростанция 60890,0 рб, бензокоса 36865,0рб</t>
  </si>
  <si>
    <t xml:space="preserve">                                                                                           Планируется очистка снега в январе, декабре 2022г 2,5 чел.*2 мес*38,2т.р (ГПХ со взносами 27,3%)=191тр (МРОТ 29957,4) . Окашевание травы 20,0тр. Планируется: Планировка зем.полотна 14 554,24рб.; покупка уличн.туалета 17 700,0; забор уличный 302 000,0                                                                                     </t>
  </si>
  <si>
    <t>гр.15 + планируемые суммы</t>
  </si>
  <si>
    <t>Приложение 4 к решению Совета депутатов сельского поселения Зайцева Речка                                  от  24.12.2021 года № 176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</si>
  <si>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Зайцева Речка на 2022 год и плановый период 2023-2024 годов</t>
  </si>
  <si>
    <t>тыс.руб.</t>
  </si>
  <si>
    <t>Основное мероприятие "Обеспечение доступности населению современных информационных технологий" в рамках МП «Информационное общество сельского поселения Зайцева Речка»</t>
  </si>
  <si>
    <t>Реализация мероприятий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</t>
  </si>
  <si>
    <t xml:space="preserve">Реализация мероприятия по подготовке объектов жилищно-коммунального хозяйства и социальной сферы к работе в осенне-зимний период </t>
  </si>
  <si>
    <t>Реализация мероприятия по финансовому обеспечению расходных обязательств по делегированным полномочиям</t>
  </si>
  <si>
    <t xml:space="preserve">Реализация мероприятия по формированию резервного фонда администрации сельского поселения  </t>
  </si>
  <si>
    <t xml:space="preserve">Реализация мероприятия по формированию условно утвержденных расходов на первый год планового периодов, на второй год планового периода </t>
  </si>
  <si>
    <t xml:space="preserve">Основное мероприятие "Мероприятия по  созданию условий для организации культурного досуга и обеспечения потребностей культурного досуга жителей поселения" </t>
  </si>
  <si>
    <t>Реализация мероприятий по  созданию условий для организации культурного досуга и обеспечения потребностей культурного досуга жителей поселения</t>
  </si>
  <si>
    <t>Реализация мероприятий по  созданию условий для организации культурного досуга и обеспечения потребностей культурного досуга жителей поселения  (кино)</t>
  </si>
  <si>
    <t>Реализация мероприятий по организации и обеспечению мероприятий в сфере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</t>
  </si>
  <si>
    <t>Реализация мероприятий по укреплению пожарной безопасности в поселении</t>
  </si>
  <si>
    <t xml:space="preserve">Расходы на денежное содержание, гарантии и компенсации главы с.п. Зайцева Речка </t>
  </si>
  <si>
    <t xml:space="preserve"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</t>
  </si>
  <si>
    <t xml:space="preserve">Межбюджетные трансферты на содержание работников органов местного самоуправления района, осуществляющих передаваемые полномочия от поселений  </t>
  </si>
  <si>
    <t xml:space="preserve">Расходы на мероприятия по содержанию администрации поселения 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</si>
  <si>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</si>
  <si>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 xml:space="preserve">Осуществление переданных полномочий Российской Федерации на государственную регистрацию актов гражданского состояния          </t>
  </si>
  <si>
    <t xml:space="preserve"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         </t>
  </si>
  <si>
    <t>Публичные нормативные социальные выплаты гражданам</t>
  </si>
  <si>
    <t xml:space="preserve">Реализация мероприятий по развитию физической культуры и массового спорта на территории поселения, пропаганда здорового образа жизни </t>
  </si>
  <si>
    <t xml:space="preserve">Реализация мероприятий по созданию необходимых условий для эффективного функционирования органов местного самоуправления поселения </t>
  </si>
  <si>
    <t xml:space="preserve">Реализация  мероприятий по созданию условий для деятельности народных дружин </t>
  </si>
  <si>
    <t>Софинансирование в рамках  мероприятия по созданию условий для деятельности народных дружин</t>
  </si>
  <si>
    <t>Реализация  мероприятий по функционированию  внутрипоселковых и подъездных автомобильных дорог, а также прочие работы и услуги.</t>
  </si>
  <si>
    <t>Реализация мероприятий по содержанию муниципального имущества сельского поселения Зайцева Речка</t>
  </si>
  <si>
    <t>Реализация мероприятий по созданию условий для обеспечения качественными коммунальными услугами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</si>
  <si>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</si>
  <si>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Основное мероприятие "Содержание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</t>
  </si>
  <si>
    <t>Реализация мероприятий по содержанию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</t>
  </si>
  <si>
    <t xml:space="preserve">Организация  мероприятий при осуществлении деятельности  по обращению с животными без владельцев  </t>
  </si>
  <si>
    <t xml:space="preserve"> ВСЕГО по муниципальным программам</t>
  </si>
  <si>
    <t>Приложение 3 к решению</t>
  </si>
  <si>
    <t>от  24.12.2021 года № 176</t>
  </si>
  <si>
    <t xml:space="preserve">Реализация мероприятия по формированию условно утвер-жденных расходов на первый год планового периодов, на второй год планового периода </t>
  </si>
  <si>
    <t>Защита населения и территории от чрезвычайных ситуаций природного и техногенного характера, пожарная безопасность</t>
  </si>
  <si>
    <t>42.0.00.0000</t>
  </si>
  <si>
    <t xml:space="preserve">Реализация мероприятий по содержанию муниципального имущества сельского поселения Зайцева Речка </t>
  </si>
  <si>
    <t xml:space="preserve">Софинансирование в рамках  мероприятия по созданию условий для деятельности народных дружин </t>
  </si>
  <si>
    <t xml:space="preserve">Организация  мероприятий при осуществлению деятельности  по обращению с животными без владельцев  </t>
  </si>
  <si>
    <t>Реализация  мероприятий по функционированию  внутрипоселковых и подъездных автомобильных дорог, а также прочие работы и услуги в рамках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</si>
  <si>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</t>
  </si>
  <si>
    <t xml:space="preserve">Реализация мероприятия по финансовому обеспечению расходных обязательств по делегированным полномочиям  </t>
  </si>
  <si>
    <t xml:space="preserve">Реализация мероприятий по созданию условий для обеспечения качественными коммунальными услугами </t>
  </si>
  <si>
    <t xml:space="preserve">Реализация мероприятий по  соданию условий для организации культурного досуга и обеспечения потребностей культурного досуга жителей поселения </t>
  </si>
  <si>
    <t>Реализация мероприятий по развитию физической культуры и массового спорта на территории поселения, пропаганда здорового образа жизни</t>
  </si>
  <si>
    <t>Приложение 2 к решению</t>
  </si>
  <si>
    <r>
      <t xml:space="preserve">от </t>
    </r>
    <r>
      <rPr>
        <u/>
        <sz val="11"/>
        <rFont val="Times New Roman"/>
        <family val="1"/>
        <charset val="204"/>
      </rPr>
      <t xml:space="preserve"> 24.12.2021 </t>
    </r>
    <r>
      <rPr>
        <sz val="11"/>
        <rFont val="Times New Roman"/>
        <family val="1"/>
      </rPr>
      <t xml:space="preserve">года № </t>
    </r>
    <r>
      <rPr>
        <u/>
        <sz val="11"/>
        <rFont val="Times New Roman"/>
        <family val="1"/>
        <charset val="204"/>
      </rPr>
      <t>176</t>
    </r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</si>
  <si>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</si>
  <si>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 "Реализация мероприятий ини-циативного бюджетирования направленных на реализацию мероприятий по формирова-нию комфортной городской среды "</t>
  </si>
  <si>
    <t xml:space="preserve">Реализация мероприятий "Формирование комфортной городской среды в Нижневартовском районе" </t>
  </si>
  <si>
    <t>Софинансирование расходов на реализацию мероприятий "Формирование комфортной городской среды в Нижневартовском районе"</t>
  </si>
  <si>
    <t>Основное мероприятие "Реализация мероприятий инициативного бюджетирования направленных на реализацию мероприятий по формирова-нию комфортной городской среды"</t>
  </si>
  <si>
    <r>
      <t xml:space="preserve">от </t>
    </r>
    <r>
      <rPr>
        <u/>
        <sz val="11"/>
        <rFont val="Times New Roman"/>
        <family val="1"/>
        <charset val="204"/>
      </rPr>
      <t xml:space="preserve"> 00.00.2022 </t>
    </r>
    <r>
      <rPr>
        <sz val="11"/>
        <rFont val="Times New Roman"/>
        <family val="1"/>
      </rPr>
      <t>года № 000</t>
    </r>
  </si>
  <si>
    <t>от  00.00.2022 года № 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</si>
  <si>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 в соответствии с заключенными соглашениями в рамках муниципальной программы Нижневартовского района "Строительство (реконструкция), капитальный и текущий ремонт объектов Нижневартовского района"</t>
  </si>
  <si>
    <t>Реализация мероприятий по содействию трудоустройства граждан поселения</t>
  </si>
  <si>
    <r>
      <rPr>
        <b/>
        <sz val="8"/>
        <color theme="0"/>
        <rFont val="Arial"/>
        <family val="2"/>
        <charset val="204"/>
      </rPr>
      <t>МУП "СЖКХ"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                    Дог. № 23/22-Т от 23.01.22г. (тепло) в сумме  176 092,80                                                                                                                                                                                                                        Дог. № 23/22-В от 23.01.22г. (вода) в сумме 8 196,00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>АО "Газпром энергосбыт Тюмень"</t>
    </r>
    <r>
      <rPr>
        <sz val="8"/>
        <color theme="0"/>
        <rFont val="Arial"/>
        <family val="2"/>
        <charset val="204"/>
      </rPr>
      <t xml:space="preserve">                                                                    Дог. № ЭС-09/33-Р от 23.01.22г в сумме 55 221,66 (Эл.Энергия)                                         </t>
    </r>
    <r>
      <rPr>
        <b/>
        <sz val="8"/>
        <color theme="0"/>
        <rFont val="Arial"/>
        <family val="2"/>
        <charset val="204"/>
      </rPr>
      <t>Итого: сумма заключенных договоров 239 510,46      планируется заключение договора на 2 полугодие (тепло)  на сумму 146 000,00</t>
    </r>
  </si>
  <si>
    <r>
      <rPr>
        <b/>
        <sz val="8"/>
        <color theme="0"/>
        <rFont val="Arial"/>
        <family val="2"/>
        <charset val="204"/>
      </rPr>
      <t>МУП "СЖКХ"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                                                            Дог. № 23/22-ЖКО от 01.01.22г. в сумме 14 727,60                                        </t>
    </r>
    <r>
      <rPr>
        <b/>
        <sz val="8"/>
        <color theme="0"/>
        <rFont val="Arial"/>
        <family val="2"/>
        <charset val="204"/>
      </rPr>
      <t xml:space="preserve">АО "Югра-Экология"  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 Дог. № ЮЭ86КО1300000026 от 25.01.22г. в сумме 25 557,76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 xml:space="preserve">Итого: сумма заключенных договоров 40 285,36   </t>
    </r>
    <r>
      <rPr>
        <sz val="8"/>
        <rFont val="Arial"/>
        <family val="2"/>
        <charset val="204"/>
      </rPr>
      <t/>
    </r>
  </si>
  <si>
    <r>
      <rPr>
        <b/>
        <sz val="8"/>
        <color theme="0"/>
        <rFont val="Arial"/>
        <family val="2"/>
        <charset val="204"/>
      </rPr>
      <t>ООО «РЦИТ»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               Дог. № 202/2022г от 01.01.22г в сумме 13 000,00;                                            </t>
    </r>
    <r>
      <rPr>
        <b/>
        <sz val="8"/>
        <color theme="0"/>
        <rFont val="Arial"/>
        <family val="2"/>
        <charset val="204"/>
      </rPr>
      <t xml:space="preserve">ООО СоветникПроф  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 Дог. № 1400/22 от 14.01.22г. в сумме 36 000,00;                                                  Дог. № 819/22 от 24.01.22г. в сумме 12 000,00;                             Дог № 3363/21 от 27.12.21 в сумме 33 816,00;        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>БУ ХМАО-Югры «НРБ»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Дог. №29-м/22 от 10.01.22г. в сумме 17 800,00;                                            </t>
    </r>
    <r>
      <rPr>
        <b/>
        <sz val="8"/>
        <color theme="0"/>
        <rFont val="Arial"/>
        <family val="2"/>
        <charset val="204"/>
      </rPr>
      <t xml:space="preserve">МКУ «РРГ Новости Приобья»   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Дог. №1101/22-Д от 11.01.22г. в сумме 99 000,00                                                           Дог. № 1001/22  от 11.01.22г. в сумме 13 063,60;                                         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 xml:space="preserve">ООО «ЦБТ» 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                                                       Дог.№ 126 от 01.02.21г. в сумме 16 200,00                                   </t>
    </r>
    <r>
      <rPr>
        <b/>
        <sz val="8"/>
        <color theme="0"/>
        <rFont val="Arial"/>
        <family val="2"/>
        <charset val="204"/>
      </rPr>
      <t xml:space="preserve">"ИП Коноваленко В.Н."   </t>
    </r>
    <r>
      <rPr>
        <sz val="8"/>
        <color theme="0"/>
        <rFont val="Arial"/>
        <family val="2"/>
        <charset val="204"/>
      </rPr>
      <t xml:space="preserve">                                                               Дог.№ 275 от 01.02.22г. в сумме 7 000,00   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>АНО ДПО «ИГУКС»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Контракт № ДО22-02/13 от 07.02.22г.  в сумме 18 000,00;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>АО "Почта России"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                                               Дог. № 54 ПП-1-22 от 01.12.21г. в сумме 1 690,56                                       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>Итого: сумма заключенных договоров      267 570,16</t>
    </r>
    <r>
      <rPr>
        <sz val="8"/>
        <color theme="0"/>
        <rFont val="Arial"/>
        <family val="2"/>
        <charset val="204"/>
      </rPr>
      <t xml:space="preserve">                                                                Планируется до конца года заключить договора, страхов. авто на сумму 12 000,00,  ООО СоветникПроф  (доступ к сист. информ) на сумму  30 000, АО «Производственная фирма «СКБ Контур»                                                  в сумме 10 000,00;  АО "Почта России" в сумме 1700,00; МКУ «РРГ Новости Приобья»  в сумме 120 000;  АНО ДПО «ИГУКС» в сумме 20 000,00  </t>
    </r>
    <r>
      <rPr>
        <b/>
        <sz val="8"/>
        <color theme="0"/>
        <rFont val="Arial"/>
        <family val="2"/>
        <charset val="204"/>
      </rPr>
      <t>Итого</t>
    </r>
    <r>
      <rPr>
        <sz val="8"/>
        <color theme="0"/>
        <rFont val="Arial"/>
        <family val="2"/>
        <charset val="204"/>
      </rPr>
      <t xml:space="preserve"> </t>
    </r>
    <r>
      <rPr>
        <b/>
        <sz val="8"/>
        <color theme="0"/>
        <rFont val="Arial"/>
        <family val="2"/>
        <charset val="204"/>
      </rPr>
      <t>193 700,00</t>
    </r>
  </si>
  <si>
    <r>
      <t xml:space="preserve">"ИП Сиухин Д.В."                                                                                Дог. № 1 от 14.02.2022 в сумме 9500,00 (тумба под флаги)                                                  </t>
    </r>
    <r>
      <rPr>
        <b/>
        <sz val="8"/>
        <color theme="0"/>
        <rFont val="Arial"/>
        <family val="2"/>
        <charset val="204"/>
      </rPr>
      <t xml:space="preserve">Итого: сумма заключенных договоров          9 500,00  </t>
    </r>
    <r>
      <rPr>
        <sz val="8"/>
        <color theme="0"/>
        <rFont val="Arial"/>
        <family val="2"/>
        <charset val="204"/>
      </rPr>
      <t xml:space="preserve">Планируется до конца года заключить договор ИП "Патлашинский"    (приобретение ОС (стулья, ПК, монитор, шкафы, кресло)) на сумму 230 000,00    </t>
    </r>
    <r>
      <rPr>
        <b/>
        <sz val="8"/>
        <color theme="0"/>
        <rFont val="Arial"/>
        <family val="2"/>
        <charset val="204"/>
      </rPr>
      <t xml:space="preserve">Итого  230 000,00 </t>
    </r>
  </si>
  <si>
    <r>
      <rPr>
        <b/>
        <sz val="8"/>
        <color theme="0"/>
        <rFont val="Arial"/>
        <family val="2"/>
        <charset val="204"/>
      </rPr>
      <t>ООО «ОКИС-С»</t>
    </r>
    <r>
      <rPr>
        <sz val="8"/>
        <color theme="0"/>
        <rFont val="Arial"/>
        <family val="2"/>
        <charset val="204"/>
      </rPr>
      <t xml:space="preserve">                                                                                                Дог. № 113 от 01.01.22г. в сумме 99 000,00                                       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 xml:space="preserve">Итого: сумма заключенных договоров        99 000,00.  </t>
    </r>
    <r>
      <rPr>
        <sz val="8"/>
        <color theme="0"/>
        <rFont val="Arial"/>
        <family val="2"/>
        <charset val="204"/>
      </rPr>
      <t xml:space="preserve">Планируется до конца года заключить договор в сумме 99 000,00 </t>
    </r>
    <r>
      <rPr>
        <b/>
        <sz val="8"/>
        <color theme="0"/>
        <rFont val="Arial"/>
        <family val="2"/>
        <charset val="204"/>
      </rPr>
      <t xml:space="preserve">    Итого 99 000,00   </t>
    </r>
    <r>
      <rPr>
        <sz val="8"/>
        <color theme="0"/>
        <rFont val="Arial"/>
        <family val="2"/>
        <charset val="204"/>
      </rPr>
      <t xml:space="preserve">                  </t>
    </r>
  </si>
  <si>
    <r>
      <t xml:space="preserve">Планируется до конца года заключить договор в сумме 20 000,00  </t>
    </r>
    <r>
      <rPr>
        <b/>
        <sz val="8"/>
        <color theme="0"/>
        <rFont val="Arial"/>
        <family val="2"/>
        <charset val="204"/>
      </rPr>
      <t xml:space="preserve"> с </t>
    </r>
    <r>
      <rPr>
        <sz val="8"/>
        <color theme="0"/>
        <rFont val="Arial"/>
        <family val="2"/>
        <charset val="204"/>
      </rPr>
      <t xml:space="preserve">ИП «Тарасов»                                                                                                                                              </t>
    </r>
    <r>
      <rPr>
        <b/>
        <sz val="8"/>
        <color theme="0"/>
        <rFont val="Arial"/>
        <family val="2"/>
        <charset val="204"/>
      </rPr>
      <t>Итого  20 000,00</t>
    </r>
    <r>
      <rPr>
        <sz val="8"/>
        <color theme="0"/>
        <rFont val="Arial"/>
        <family val="2"/>
        <charset val="204"/>
      </rPr>
      <t xml:space="preserve">                        </t>
    </r>
  </si>
  <si>
    <r>
      <rPr>
        <sz val="8"/>
        <color theme="0"/>
        <rFont val="Arial"/>
        <family val="2"/>
        <charset val="204"/>
      </rPr>
      <t>Пособие на погребение в сумме</t>
    </r>
    <r>
      <rPr>
        <b/>
        <sz val="8"/>
        <color theme="0"/>
        <rFont val="Arial"/>
        <family val="2"/>
        <charset val="204"/>
      </rPr>
      <t xml:space="preserve"> 9 637,47.                                            Итого</t>
    </r>
    <r>
      <rPr>
        <sz val="8"/>
        <color theme="0"/>
        <rFont val="Arial"/>
        <family val="2"/>
        <charset val="204"/>
      </rPr>
      <t>: сумма договоров</t>
    </r>
    <r>
      <rPr>
        <b/>
        <sz val="8"/>
        <color theme="0"/>
        <rFont val="Arial"/>
        <family val="2"/>
        <charset val="204"/>
      </rPr>
      <t xml:space="preserve"> 9 637,47. </t>
    </r>
  </si>
  <si>
    <r>
      <t>Дог.0187300010321001084 от 28.12.21г(охрана янв-апрель) в сумме 517 546,47;                                      Дог.202/2022 от 29.12.21г(поддержка сайта) в сумме 13 000,00;                                                                                       Дог.446/22 от 30.11.21г(доступ к системе  ИТО  январь-июнь) в сумме 46 200,00;                                                                                       Дог.22/1-288 от 31.01.22 (образовательные услуги охран. и пож мин. ) в сумме 1 600,00;                                                                                                                            Дог.1/22 от 10.02.22 (возлож.цветов) в сумме 1 560,00; 
Дог.01/21-ПВ-Р от 20.12.21 (работы по замене приборов учета)  в сумме 63 899,00  
Итого: сумма договоров 643 805,47                                                                                  
Планируется заключить:</t>
    </r>
    <r>
      <rPr>
        <b/>
        <sz val="8"/>
        <color theme="0"/>
        <rFont val="Arial"/>
        <family val="2"/>
        <charset val="204"/>
      </rPr>
      <t xml:space="preserve">
Дог.на охранные услуги на май - декабрь в сумме 1318953,60
подписка на "Новости Приобья"  - 1 000,00
монтаж локальной сети - 25 000,00
цветы для возложения - 5 000,00</t>
    </r>
    <r>
      <rPr>
        <sz val="8"/>
        <color theme="0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                                    </t>
    </r>
  </si>
  <si>
    <r>
      <t xml:space="preserve">Субсидия на возм.затрат РРЛ (связь населению). Квартал 59919,15рб. Год 239 676,60 руб. </t>
    </r>
    <r>
      <rPr>
        <b/>
        <sz val="8"/>
        <color theme="0"/>
        <rFont val="Calibri1"/>
        <charset val="204"/>
      </rPr>
      <t>Итого: Планируется на 2022г 239 676,60  руб.</t>
    </r>
  </si>
  <si>
    <r>
      <t xml:space="preserve">Услуги связи (мтс) на сумму 1488в м-ц*12=17856, Дог 124/А-И(Северсвязь интернеи) 4068*12=48816,0рб  </t>
    </r>
    <r>
      <rPr>
        <b/>
        <sz val="8"/>
        <color theme="0"/>
        <rFont val="Calibri1"/>
        <charset val="204"/>
      </rPr>
      <t>Итого заключенных договоров на сумму: 66672,0рб</t>
    </r>
  </si>
  <si>
    <r>
      <t xml:space="preserve">ТО пож сигнал ИП ЧЕрыгов 8269,26*12мес.= 113 760,0рб.; </t>
    </r>
    <r>
      <rPr>
        <sz val="12"/>
        <color theme="0"/>
        <rFont val="Calibri1"/>
        <charset val="204"/>
      </rPr>
      <t xml:space="preserve">Установка и обслуживание дополнительных датчиков 117 819,99  т.рб </t>
    </r>
    <r>
      <rPr>
        <sz val="8"/>
        <color theme="0"/>
        <rFont val="Calibri1"/>
        <charset val="204"/>
      </rPr>
      <t>Итого: сумма  договоров 249231,12 рб</t>
    </r>
  </si>
  <si>
    <r>
      <t xml:space="preserve">Заработная плата,НДФЛ Главы поселения                    </t>
    </r>
    <r>
      <rPr>
        <b/>
        <sz val="8"/>
        <color theme="0"/>
        <rFont val="Calibri1"/>
        <charset val="204"/>
      </rPr>
      <t>Итого: сумма обязательств 1066900,00</t>
    </r>
  </si>
  <si>
    <r>
      <t xml:space="preserve">обяз.страх.взносы Главы поселения                                      </t>
    </r>
    <r>
      <rPr>
        <b/>
        <sz val="8"/>
        <color theme="0"/>
        <rFont val="Calibri1"/>
        <charset val="204"/>
      </rPr>
      <t xml:space="preserve">Итого: сумма обязательств </t>
    </r>
  </si>
  <si>
    <r>
      <t xml:space="preserve">Заработная плата, НДФЛ мун.и работника в сумме 4103032,40                                                                                                 </t>
    </r>
    <r>
      <rPr>
        <b/>
        <sz val="8"/>
        <color theme="0"/>
        <rFont val="Calibri1"/>
        <charset val="204"/>
      </rPr>
      <t>Итого: сумма обязательств 4103032,40</t>
    </r>
  </si>
  <si>
    <r>
      <t xml:space="preserve">б/л за счет работодат.в сумме 20333,28                                 </t>
    </r>
    <r>
      <rPr>
        <b/>
        <sz val="8"/>
        <color theme="0"/>
        <rFont val="Calibri1"/>
        <charset val="204"/>
      </rPr>
      <t>Итого: сумма б/л 20333,28</t>
    </r>
    <r>
      <rPr>
        <sz val="8"/>
        <color theme="0"/>
        <rFont val="Calibri1"/>
        <charset val="204"/>
      </rPr>
      <t xml:space="preserve"> </t>
    </r>
    <r>
      <rPr>
        <b/>
        <sz val="8"/>
        <color theme="0"/>
        <rFont val="Calibri1"/>
        <charset val="204"/>
      </rPr>
      <t>Планируется до конца года  еще 25 000,0 рб.</t>
    </r>
  </si>
  <si>
    <t>Сан-кур расход 80000,0(Сармаева О.А., Субботина СВ), Планируеся: 165 759,0 (Дорофеев В.Е., Рослякова Е.В., Иголкина АМ, Каримова АВ, Воробьева ВС)</t>
  </si>
  <si>
    <t xml:space="preserve">Страх.взносы мун служ.                                                                                      </t>
  </si>
  <si>
    <r>
      <t xml:space="preserve">обяз.страх.взносы Работника </t>
    </r>
    <r>
      <rPr>
        <b/>
        <sz val="8"/>
        <color theme="0"/>
        <rFont val="Calibri1"/>
        <charset val="204"/>
      </rPr>
      <t xml:space="preserve">Итого: сумма обязательств </t>
    </r>
  </si>
  <si>
    <t>МБТ                                                                                           Итого: сумма обязательств 178100,0                   Планируется к оплате сумма 178100,0     до конца года</t>
  </si>
  <si>
    <r>
      <t xml:space="preserve">система контур учеба 11660,0 и 50700,0; советник ежемес обсл 11040*12 мес =132480,0 и 3000*12=36000; Медкомиссия Гиппократ 19960,0. Итого сумма обязательств: 250800,0                              Планируется: обучение 70000,0 рб, медкомиссия 70000,0рб. Советник Проф 31364,0рб +испол.произ.ЮграЭкол.362 031,86. ВСЕГО 422 164,0 </t>
    </r>
    <r>
      <rPr>
        <b/>
        <sz val="8"/>
        <color theme="0"/>
        <rFont val="Calibri1"/>
        <charset val="204"/>
      </rPr>
      <t>Вне Плана 6805,40 СКБ Контур(продление)</t>
    </r>
  </si>
  <si>
    <r>
      <t xml:space="preserve">мун.допл.к пенсии в сумме 25000*12+5*12= 360 (янв-дек).    Досрочный выход на пенсию (4фот *64т.р) 256т  </t>
    </r>
    <r>
      <rPr>
        <b/>
        <sz val="8"/>
        <color theme="0"/>
        <rFont val="Calibri1"/>
        <charset val="204"/>
      </rPr>
      <t xml:space="preserve">Итого: сумма обязательств 25 000                                                                               Планиреутся оплатить 616,0рб. мун.допл.к пенсии..р           </t>
    </r>
  </si>
  <si>
    <t>МК № 0187300010319001635 от 24.12.2019;
МК № 0187300010319001636 от 24.12.2019;
МК № 0187300010319001634 от 24.12.2019,  Итого принято обязательств на сумму: 2022- 7525768,0рб; 2023-7607200, рб; 2024 - 7987600,0рб</t>
  </si>
  <si>
    <t xml:space="preserve"> (дороги вамп) сумма 1896970. Итого принятых обязательств на сумму: 2022 - 1896970,0рб; 2023 -1991800,0рб; 2024-2091400 рб.; Договор от 12.01.22 №16-06/12-01 "Актуализация проекта  дорожного движения" 112,0тр Всего на 22г:</t>
  </si>
  <si>
    <r>
      <t>Страхование имущества казны за 2021г в сумме 357 417,  рб.</t>
    </r>
    <r>
      <rPr>
        <sz val="16"/>
        <color theme="0"/>
        <rFont val="Calibri1"/>
        <charset val="204"/>
      </rPr>
      <t xml:space="preserve"> 600-334,27=265,73</t>
    </r>
  </si>
  <si>
    <r>
      <t>Дог МКД Т-15/20 (ком усл. дек 20г. УК Радуга таежная 15,кв.25,82)-</t>
    </r>
    <r>
      <rPr>
        <b/>
        <sz val="8"/>
        <color theme="0"/>
        <rFont val="Calibri"/>
        <family val="2"/>
        <charset val="204"/>
      </rPr>
      <t>3011,74</t>
    </r>
    <r>
      <rPr>
        <sz val="8"/>
        <color theme="0"/>
        <rFont val="Calibri"/>
        <family val="2"/>
        <charset val="204"/>
      </rPr>
      <t>р; Дог МКД Т-15/21 (ком усл янв.21г. УК Радуга таежная 15,кв.82)-</t>
    </r>
    <r>
      <rPr>
        <b/>
        <sz val="8"/>
        <color theme="0"/>
        <rFont val="Calibri"/>
        <family val="2"/>
        <charset val="204"/>
      </rPr>
      <t>25,65</t>
    </r>
    <r>
      <rPr>
        <sz val="8"/>
        <color theme="0"/>
        <rFont val="Calibri"/>
        <family val="2"/>
        <charset val="204"/>
      </rPr>
      <t xml:space="preserve">р.  </t>
    </r>
    <r>
      <rPr>
        <b/>
        <sz val="8"/>
        <color theme="0"/>
        <rFont val="Calibri"/>
        <family val="2"/>
        <charset val="204"/>
      </rPr>
      <t xml:space="preserve">Планируются ком.услуги по  имуществу до конца года  в сумме 9 816,85 руб.. </t>
    </r>
  </si>
  <si>
    <r>
      <t>Дог МКД Т-15/20 (ком усл. дек 20г. УК Радуга таежная 15,кв.25,82)-</t>
    </r>
    <r>
      <rPr>
        <b/>
        <sz val="8"/>
        <color theme="0"/>
        <rFont val="Calibri1"/>
        <charset val="204"/>
      </rPr>
      <t>1432,67</t>
    </r>
    <r>
      <rPr>
        <sz val="8"/>
        <color theme="0"/>
        <rFont val="Calibri1"/>
        <charset val="204"/>
      </rPr>
      <t>р; Дог МКД Т-15/21 (ком усл янв.21г. УК Радуга таежная 15,кв.82)</t>
    </r>
    <r>
      <rPr>
        <b/>
        <sz val="8"/>
        <color theme="0"/>
        <rFont val="Calibri1"/>
        <charset val="204"/>
      </rPr>
      <t>-878,09</t>
    </r>
    <r>
      <rPr>
        <sz val="8"/>
        <color theme="0"/>
        <rFont val="Calibri1"/>
        <charset val="204"/>
      </rPr>
      <t xml:space="preserve">р.                                                                                        </t>
    </r>
  </si>
  <si>
    <t>кадастр.оценка (32,0 факт) 6*15,0=90,0тр.                         техинвентаризация имущества (БТИ) в сумме11*10=110; 9*10=90 (итого 200,0) руб..Сметы и Проекты на снос в сумме 221,3т.р.. =337400</t>
  </si>
  <si>
    <r>
      <t>Дог МКД Т-15/21 (ком усл эл-энергия, электрокомпопнент) янв.21г. УК Радуга таежная 15,кв.82)-</t>
    </r>
    <r>
      <rPr>
        <b/>
        <sz val="8"/>
        <color theme="0"/>
        <rFont val="Calibri1"/>
        <charset val="204"/>
      </rPr>
      <t>2145,76р</t>
    </r>
  </si>
  <si>
    <r>
      <t>Планируются взносы на капремонт до конца года 11000*12=132,0 000,0р. Замена тепло-водо-счетчиков 140,000,0 рб (</t>
    </r>
    <r>
      <rPr>
        <sz val="12"/>
        <color theme="0"/>
        <rFont val="Calibri1"/>
        <charset val="204"/>
      </rPr>
      <t>Нехв.272-123=149)</t>
    </r>
  </si>
  <si>
    <r>
      <t>Факт 78,256тр Планир.доп. обсл.оборуд.ул.освещения 1пол.года -71,74</t>
    </r>
    <r>
      <rPr>
        <b/>
        <sz val="8"/>
        <color theme="0"/>
        <rFont val="Calibri1"/>
        <charset val="204"/>
      </rPr>
      <t>р. Итого 150т.р.</t>
    </r>
  </si>
  <si>
    <r>
      <t xml:space="preserve">Газпром дог ЭС-09/42-Р. Принято обязательств 441962,26. </t>
    </r>
    <r>
      <rPr>
        <sz val="12"/>
        <color theme="0"/>
        <rFont val="Calibri1"/>
        <charset val="204"/>
      </rPr>
      <t>(Экон.700-441,96223=258тр.оставить здесь)</t>
    </r>
  </si>
  <si>
    <t>Субсидии СЖКХ: 22г- 3 308 510,0р.; 23г - 3 440 850,0 р; 24г. - 3 578 480,0р.</t>
  </si>
  <si>
    <t>цена за голову 5500р, транспортировка за голову 7000р Планируется отлов 8 голов. 5500+7000*8=100 000р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</si>
</sst>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#,##0.00;[Red]\-#,##0.00;0.00"/>
    <numFmt numFmtId="165" formatCode="000"/>
    <numFmt numFmtId="166" formatCode="0000000"/>
    <numFmt numFmtId="167" formatCode="00"/>
    <numFmt numFmtId="169" formatCode="#,##0.0"/>
    <numFmt numFmtId="170" formatCode="0000"/>
    <numFmt numFmtId="171" formatCode="0.0"/>
    <numFmt numFmtId="172" formatCode="000\.00\.000\.0"/>
    <numFmt numFmtId="176" formatCode="0.00000"/>
    <numFmt numFmtId="177" formatCode="#,##0.00000"/>
    <numFmt numFmtId="178" formatCode="#,##0.0000"/>
    <numFmt numFmtId="182" formatCode="#,##0.00;[Red]\-#,##0.00"/>
    <numFmt numFmtId="183" formatCode="[$-419]General"/>
    <numFmt numFmtId="184" formatCode="000&quot;.&quot;00&quot;.&quot;000&quot;.&quot;0"/>
    <numFmt numFmtId="185" formatCode="[$-419]#,##0"/>
    <numFmt numFmtId="186" formatCode="[$-419]#,##0.00"/>
    <numFmt numFmtId="187" formatCode="[$-419]0"/>
    <numFmt numFmtId="188" formatCode="00&quot;.&quot;00&quot;.&quot;00"/>
    <numFmt numFmtId="189" formatCode="000.00"/>
    <numFmt numFmtId="190" formatCode="#,##0.00;[Red]&quot;-&quot;#,##0.00;0.00"/>
    <numFmt numFmtId="191" formatCode="0000000000"/>
    <numFmt numFmtId="192" formatCode="000&quot;.&quot;00&quot;.&quot;00"/>
    <numFmt numFmtId="193" formatCode="#,##0.00;[Red]&quot;-&quot;#,##0.00"/>
    <numFmt numFmtId="194" formatCode="[$-419]0.00"/>
    <numFmt numFmtId="195" formatCode="#,##0.00;[Red]#,##0.00"/>
  </numFmts>
  <fonts count="7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</font>
    <font>
      <u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1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7"/>
      <color theme="0"/>
      <name val="Arial11"/>
      <charset val="204"/>
    </font>
    <font>
      <b/>
      <sz val="8"/>
      <color theme="0"/>
      <name val="Arial"/>
      <family val="2"/>
      <charset val="204"/>
    </font>
    <font>
      <b/>
      <sz val="8"/>
      <color theme="0"/>
      <name val="Arial11"/>
      <charset val="204"/>
    </font>
    <font>
      <sz val="8"/>
      <color theme="0"/>
      <name val="Arial"/>
      <family val="2"/>
      <charset val="204"/>
    </font>
    <font>
      <sz val="8"/>
      <color theme="0"/>
      <name val="Calibri1"/>
      <charset val="204"/>
    </font>
    <font>
      <b/>
      <sz val="10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b/>
      <sz val="7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8"/>
      <color theme="0"/>
      <name val="Times New Roman"/>
      <family val="1"/>
      <charset val="204"/>
    </font>
    <font>
      <b/>
      <sz val="10"/>
      <color theme="0"/>
      <name val="Arial11"/>
      <charset val="204"/>
    </font>
    <font>
      <sz val="8"/>
      <color theme="0"/>
      <name val="Arial11"/>
      <charset val="204"/>
    </font>
    <font>
      <sz val="10"/>
      <color theme="0"/>
      <name val="Arial11"/>
      <charset val="204"/>
    </font>
    <font>
      <b/>
      <sz val="8"/>
      <color theme="0"/>
      <name val="Calibri1"/>
      <charset val="204"/>
    </font>
    <font>
      <sz val="12"/>
      <color theme="0"/>
      <name val="Calibri1"/>
      <charset val="204"/>
    </font>
    <font>
      <sz val="8"/>
      <color theme="0"/>
      <name val="Calibri"/>
      <family val="2"/>
      <charset val="204"/>
    </font>
    <font>
      <sz val="16"/>
      <color theme="0"/>
      <name val="Calibri1"/>
      <charset val="204"/>
    </font>
    <font>
      <b/>
      <sz val="8"/>
      <color theme="0"/>
      <name val="Calibri"/>
      <family val="2"/>
      <charset val="204"/>
    </font>
    <font>
      <sz val="8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9"/>
      <color theme="0"/>
      <name val="Calibri"/>
      <family val="2"/>
      <charset val="204"/>
      <scheme val="minor"/>
    </font>
    <font>
      <sz val="10"/>
      <color theme="0"/>
      <name val="Calibri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rgb="FF66FFFF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D32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83" fontId="37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38" fillId="0" borderId="0"/>
    <xf numFmtId="0" fontId="1" fillId="0" borderId="0"/>
    <xf numFmtId="0" fontId="3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2">
    <xf numFmtId="0" fontId="0" fillId="0" borderId="0" xfId="0"/>
    <xf numFmtId="0" fontId="10" fillId="0" borderId="0" xfId="2" applyFont="1"/>
    <xf numFmtId="0" fontId="10" fillId="0" borderId="0" xfId="2" applyFont="1" applyAlignment="1"/>
    <xf numFmtId="0" fontId="11" fillId="0" borderId="0" xfId="0" applyFont="1"/>
    <xf numFmtId="0" fontId="12" fillId="0" borderId="0" xfId="2" applyFont="1" applyAlignment="1">
      <alignment horizont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/>
    <xf numFmtId="0" fontId="9" fillId="4" borderId="4" xfId="0" applyNumberFormat="1" applyFont="1" applyFill="1" applyBorder="1" applyAlignment="1">
      <alignment horizontal="left" vertical="center" wrapText="1"/>
    </xf>
    <xf numFmtId="0" fontId="9" fillId="5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49" fontId="9" fillId="4" borderId="4" xfId="0" applyNumberFormat="1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3" xfId="0" applyNumberFormat="1" applyFont="1" applyFill="1" applyBorder="1" applyAlignment="1">
      <alignment horizontal="left" vertical="center" wrapText="1"/>
    </xf>
    <xf numFmtId="0" fontId="31" fillId="5" borderId="4" xfId="0" applyNumberFormat="1" applyFont="1" applyFill="1" applyBorder="1" applyAlignment="1">
      <alignment horizontal="left" vertical="center" wrapText="1"/>
    </xf>
    <xf numFmtId="169" fontId="10" fillId="0" borderId="0" xfId="2" applyNumberFormat="1" applyFont="1"/>
    <xf numFmtId="0" fontId="11" fillId="0" borderId="0" xfId="0" applyFont="1" applyFill="1"/>
    <xf numFmtId="0" fontId="9" fillId="4" borderId="3" xfId="0" applyNumberFormat="1" applyFont="1" applyFill="1" applyBorder="1" applyAlignment="1">
      <alignment horizontal="left" vertical="center" wrapText="1"/>
    </xf>
    <xf numFmtId="3" fontId="10" fillId="0" borderId="0" xfId="2" applyNumberFormat="1" applyFont="1"/>
    <xf numFmtId="3" fontId="12" fillId="0" borderId="0" xfId="2" applyNumberFormat="1" applyFont="1" applyAlignment="1">
      <alignment horizontal="center" wrapText="1"/>
    </xf>
    <xf numFmtId="3" fontId="10" fillId="0" borderId="2" xfId="2" applyNumberFormat="1" applyFont="1" applyFill="1" applyBorder="1" applyAlignment="1" applyProtection="1">
      <alignment horizontal="center" vertical="center" wrapText="1"/>
      <protection hidden="1"/>
    </xf>
    <xf numFmtId="166" fontId="10" fillId="2" borderId="4" xfId="2" applyNumberFormat="1" applyFont="1" applyFill="1" applyBorder="1" applyAlignment="1" applyProtection="1">
      <alignment vertical="center" wrapText="1" shrinkToFit="1"/>
      <protection hidden="1"/>
    </xf>
    <xf numFmtId="165" fontId="16" fillId="0" borderId="4" xfId="13" applyNumberFormat="1" applyFont="1" applyFill="1" applyBorder="1" applyAlignment="1" applyProtection="1">
      <alignment vertical="top" wrapText="1"/>
      <protection hidden="1"/>
    </xf>
    <xf numFmtId="0" fontId="30" fillId="2" borderId="0" xfId="14" applyFont="1" applyFill="1" applyAlignment="1" applyProtection="1">
      <protection hidden="1"/>
    </xf>
    <xf numFmtId="169" fontId="7" fillId="2" borderId="0" xfId="2" applyNumberFormat="1" applyFont="1" applyFill="1" applyBorder="1" applyAlignment="1" applyProtection="1">
      <alignment horizontal="right" vertical="center" wrapText="1"/>
      <protection hidden="1"/>
    </xf>
    <xf numFmtId="0" fontId="13" fillId="2" borderId="0" xfId="4" applyFont="1" applyFill="1" applyAlignment="1" applyProtection="1">
      <alignment horizontal="right"/>
      <protection hidden="1"/>
    </xf>
    <xf numFmtId="0" fontId="14" fillId="2" borderId="0" xfId="4" applyFont="1" applyFill="1" applyAlignment="1" applyProtection="1">
      <alignment horizontal="left" vertical="top"/>
      <protection hidden="1"/>
    </xf>
    <xf numFmtId="0" fontId="6" fillId="2" borderId="0" xfId="9" applyFont="1" applyFill="1" applyBorder="1" applyAlignment="1">
      <alignment horizontal="right"/>
    </xf>
    <xf numFmtId="0" fontId="10" fillId="2" borderId="0" xfId="14" applyFont="1" applyFill="1" applyAlignment="1" applyProtection="1">
      <protection hidden="1"/>
    </xf>
    <xf numFmtId="0" fontId="5" fillId="2" borderId="4" xfId="2" applyNumberFormat="1" applyFont="1" applyFill="1" applyBorder="1" applyAlignment="1" applyProtection="1">
      <alignment horizontal="center"/>
      <protection hidden="1"/>
    </xf>
    <xf numFmtId="167" fontId="12" fillId="2" borderId="4" xfId="2" applyNumberFormat="1" applyFont="1" applyFill="1" applyBorder="1" applyAlignment="1" applyProtection="1">
      <alignment vertical="center" wrapText="1" shrinkToFit="1"/>
      <protection hidden="1"/>
    </xf>
    <xf numFmtId="166" fontId="12" fillId="2" borderId="4" xfId="2" applyNumberFormat="1" applyFont="1" applyFill="1" applyBorder="1" applyAlignment="1" applyProtection="1">
      <alignment vertical="center" wrapText="1" shrinkToFit="1"/>
      <protection hidden="1"/>
    </xf>
    <xf numFmtId="165" fontId="12" fillId="2" borderId="4" xfId="2" applyNumberFormat="1" applyFont="1" applyFill="1" applyBorder="1" applyAlignment="1" applyProtection="1">
      <alignment horizontal="center" vertical="center" wrapText="1" shrinkToFit="1"/>
      <protection hidden="1"/>
    </xf>
    <xf numFmtId="169" fontId="12" fillId="2" borderId="4" xfId="2" applyNumberFormat="1" applyFont="1" applyFill="1" applyBorder="1" applyAlignment="1" applyProtection="1">
      <alignment vertical="center" wrapText="1" shrinkToFit="1"/>
      <protection hidden="1"/>
    </xf>
    <xf numFmtId="167" fontId="15" fillId="2" borderId="4" xfId="2" applyNumberFormat="1" applyFont="1" applyFill="1" applyBorder="1" applyAlignment="1" applyProtection="1">
      <alignment vertical="justify" wrapText="1" shrinkToFit="1" readingOrder="1"/>
      <protection hidden="1"/>
    </xf>
    <xf numFmtId="166" fontId="15" fillId="2" borderId="4" xfId="2" applyNumberFormat="1" applyFont="1" applyFill="1" applyBorder="1" applyAlignment="1" applyProtection="1">
      <alignment vertical="justify" wrapText="1" shrinkToFit="1" readingOrder="1"/>
      <protection hidden="1"/>
    </xf>
    <xf numFmtId="169" fontId="15" fillId="2" borderId="4" xfId="2" applyNumberFormat="1" applyFont="1" applyFill="1" applyBorder="1" applyAlignment="1" applyProtection="1">
      <alignment vertical="justify" wrapText="1" shrinkToFit="1" readingOrder="1"/>
      <protection hidden="1"/>
    </xf>
    <xf numFmtId="167" fontId="10" fillId="2" borderId="4" xfId="2" applyNumberFormat="1" applyFont="1" applyFill="1" applyBorder="1" applyAlignment="1" applyProtection="1">
      <alignment vertical="center" wrapText="1" shrinkToFit="1"/>
      <protection hidden="1"/>
    </xf>
    <xf numFmtId="165" fontId="10" fillId="2" borderId="4" xfId="2" applyNumberFormat="1" applyFont="1" applyFill="1" applyBorder="1" applyAlignment="1" applyProtection="1">
      <alignment horizontal="center" vertical="center" wrapText="1" shrinkToFit="1"/>
      <protection hidden="1"/>
    </xf>
    <xf numFmtId="169" fontId="10" fillId="2" borderId="4" xfId="2" applyNumberFormat="1" applyFont="1" applyFill="1" applyBorder="1" applyAlignment="1" applyProtection="1">
      <alignment vertical="center" wrapText="1" shrinkToFit="1"/>
      <protection hidden="1"/>
    </xf>
    <xf numFmtId="167" fontId="15" fillId="2" borderId="4" xfId="2" applyNumberFormat="1" applyFont="1" applyFill="1" applyBorder="1" applyAlignment="1" applyProtection="1">
      <alignment vertical="center" wrapText="1" shrinkToFit="1"/>
      <protection hidden="1"/>
    </xf>
    <xf numFmtId="166" fontId="15" fillId="2" borderId="4" xfId="2" applyNumberFormat="1" applyFont="1" applyFill="1" applyBorder="1" applyAlignment="1" applyProtection="1">
      <alignment vertical="center" wrapText="1" shrinkToFit="1"/>
      <protection hidden="1"/>
    </xf>
    <xf numFmtId="165" fontId="15" fillId="2" borderId="4" xfId="2" applyNumberFormat="1" applyFont="1" applyFill="1" applyBorder="1" applyAlignment="1" applyProtection="1">
      <alignment horizontal="center" vertical="center" wrapText="1" shrinkToFit="1"/>
      <protection hidden="1"/>
    </xf>
    <xf numFmtId="169" fontId="15" fillId="2" borderId="4" xfId="2" applyNumberFormat="1" applyFont="1" applyFill="1" applyBorder="1" applyAlignment="1" applyProtection="1">
      <alignment vertical="center" wrapText="1" shrinkToFit="1"/>
      <protection hidden="1"/>
    </xf>
    <xf numFmtId="166" fontId="10" fillId="2" borderId="4" xfId="2" applyNumberFormat="1" applyFont="1" applyFill="1" applyBorder="1" applyAlignment="1" applyProtection="1">
      <alignment vertical="center" shrinkToFit="1"/>
      <protection hidden="1"/>
    </xf>
    <xf numFmtId="167" fontId="12" fillId="2" borderId="7" xfId="2" applyNumberFormat="1" applyFont="1" applyFill="1" applyBorder="1" applyAlignment="1" applyProtection="1">
      <alignment vertical="center" wrapText="1" shrinkToFit="1"/>
      <protection hidden="1"/>
    </xf>
    <xf numFmtId="165" fontId="12" fillId="2" borderId="4" xfId="13" applyNumberFormat="1" applyFont="1" applyFill="1" applyBorder="1" applyAlignment="1" applyProtection="1">
      <protection hidden="1"/>
    </xf>
    <xf numFmtId="165" fontId="12" fillId="2" borderId="4" xfId="13" applyNumberFormat="1" applyFont="1" applyFill="1" applyBorder="1" applyAlignment="1" applyProtection="1">
      <alignment vertical="center"/>
      <protection hidden="1"/>
    </xf>
    <xf numFmtId="165" fontId="10" fillId="2" borderId="4" xfId="13" applyNumberFormat="1" applyFont="1" applyFill="1" applyBorder="1" applyAlignment="1" applyProtection="1">
      <alignment vertical="center"/>
      <protection hidden="1"/>
    </xf>
    <xf numFmtId="166" fontId="12" fillId="2" borderId="4" xfId="2" applyNumberFormat="1" applyFont="1" applyFill="1" applyBorder="1" applyAlignment="1" applyProtection="1">
      <alignment vertical="center" shrinkToFit="1"/>
      <protection hidden="1"/>
    </xf>
    <xf numFmtId="166" fontId="15" fillId="2" borderId="4" xfId="2" applyNumberFormat="1" applyFont="1" applyFill="1" applyBorder="1" applyAlignment="1" applyProtection="1">
      <alignment vertical="center" shrinkToFit="1"/>
      <protection hidden="1"/>
    </xf>
    <xf numFmtId="169" fontId="12" fillId="2" borderId="0" xfId="2" applyNumberFormat="1" applyFont="1" applyFill="1" applyAlignment="1">
      <alignment horizontal="center" wrapText="1"/>
    </xf>
    <xf numFmtId="169" fontId="11" fillId="2" borderId="0" xfId="0" applyNumberFormat="1" applyFont="1" applyFill="1"/>
    <xf numFmtId="177" fontId="12" fillId="2" borderId="4" xfId="2" applyNumberFormat="1" applyFont="1" applyFill="1" applyBorder="1" applyAlignment="1" applyProtection="1">
      <alignment vertical="center" wrapText="1" shrinkToFit="1"/>
      <protection hidden="1"/>
    </xf>
    <xf numFmtId="177" fontId="15" fillId="2" borderId="4" xfId="2" applyNumberFormat="1" applyFont="1" applyFill="1" applyBorder="1" applyAlignment="1" applyProtection="1">
      <alignment vertical="justify" wrapText="1" shrinkToFit="1" readingOrder="1"/>
      <protection hidden="1"/>
    </xf>
    <xf numFmtId="177" fontId="10" fillId="2" borderId="4" xfId="2" applyNumberFormat="1" applyFont="1" applyFill="1" applyBorder="1" applyAlignment="1" applyProtection="1">
      <alignment vertical="center" wrapText="1" shrinkToFit="1"/>
      <protection hidden="1"/>
    </xf>
    <xf numFmtId="177" fontId="15" fillId="2" borderId="4" xfId="2" applyNumberFormat="1" applyFont="1" applyFill="1" applyBorder="1" applyAlignment="1" applyProtection="1">
      <alignment vertical="center" wrapText="1" shrinkToFit="1"/>
      <protection hidden="1"/>
    </xf>
    <xf numFmtId="0" fontId="16" fillId="0" borderId="4" xfId="2" applyNumberFormat="1" applyFont="1" applyFill="1" applyBorder="1" applyAlignment="1" applyProtection="1">
      <alignment horizontal="left" wrapText="1"/>
      <protection hidden="1"/>
    </xf>
    <xf numFmtId="0" fontId="9" fillId="0" borderId="4" xfId="0" applyNumberFormat="1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165" fontId="10" fillId="2" borderId="7" xfId="2" applyNumberFormat="1" applyFont="1" applyFill="1" applyBorder="1" applyAlignment="1" applyProtection="1">
      <alignment vertical="center" wrapText="1" shrinkToFit="1"/>
      <protection hidden="1"/>
    </xf>
    <xf numFmtId="169" fontId="6" fillId="0" borderId="0" xfId="2" applyNumberFormat="1" applyFont="1" applyAlignment="1">
      <alignment wrapText="1"/>
    </xf>
    <xf numFmtId="169" fontId="0" fillId="0" borderId="0" xfId="0" applyNumberFormat="1" applyAlignment="1">
      <alignment wrapText="1"/>
    </xf>
    <xf numFmtId="49" fontId="39" fillId="5" borderId="4" xfId="0" applyNumberFormat="1" applyFont="1" applyFill="1" applyBorder="1" applyAlignment="1">
      <alignment horizontal="center" vertical="center"/>
    </xf>
    <xf numFmtId="3" fontId="39" fillId="5" borderId="4" xfId="0" applyNumberFormat="1" applyFont="1" applyFill="1" applyBorder="1" applyAlignment="1">
      <alignment horizontal="center" vertical="center"/>
    </xf>
    <xf numFmtId="49" fontId="40" fillId="4" borderId="4" xfId="0" applyNumberFormat="1" applyFont="1" applyFill="1" applyBorder="1" applyAlignment="1">
      <alignment horizontal="center" vertical="center"/>
    </xf>
    <xf numFmtId="3" fontId="39" fillId="4" borderId="4" xfId="0" applyNumberFormat="1" applyFont="1" applyFill="1" applyBorder="1" applyAlignment="1">
      <alignment horizontal="center" vertical="center"/>
    </xf>
    <xf numFmtId="49" fontId="40" fillId="2" borderId="4" xfId="0" applyNumberFormat="1" applyFont="1" applyFill="1" applyBorder="1" applyAlignment="1">
      <alignment horizontal="center" vertical="center"/>
    </xf>
    <xf numFmtId="3" fontId="39" fillId="2" borderId="4" xfId="0" applyNumberFormat="1" applyFont="1" applyFill="1" applyBorder="1" applyAlignment="1">
      <alignment horizontal="center" vertical="center"/>
    </xf>
    <xf numFmtId="0" fontId="16" fillId="2" borderId="4" xfId="2" applyNumberFormat="1" applyFont="1" applyFill="1" applyBorder="1" applyAlignment="1" applyProtection="1">
      <alignment vertical="top" wrapText="1"/>
      <protection hidden="1"/>
    </xf>
    <xf numFmtId="0" fontId="16" fillId="2" borderId="4" xfId="2" applyNumberFormat="1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165" fontId="3" fillId="4" borderId="5" xfId="2" applyNumberFormat="1" applyFont="1" applyFill="1" applyBorder="1" applyAlignment="1" applyProtection="1">
      <alignment horizontal="center" vertical="center" wrapText="1"/>
      <protection hidden="1"/>
    </xf>
    <xf numFmtId="3" fontId="3" fillId="4" borderId="4" xfId="2" applyNumberFormat="1" applyFont="1" applyFill="1" applyBorder="1" applyAlignment="1" applyProtection="1">
      <alignment horizontal="center" vertical="center" wrapText="1"/>
      <protection hidden="1"/>
    </xf>
    <xf numFmtId="165" fontId="3" fillId="2" borderId="4" xfId="2" applyNumberFormat="1" applyFont="1" applyFill="1" applyBorder="1" applyAlignment="1" applyProtection="1">
      <alignment horizontal="center" vertical="center" wrapText="1"/>
      <protection hidden="1"/>
    </xf>
    <xf numFmtId="3" fontId="3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40" fillId="2" borderId="4" xfId="0" applyFont="1" applyFill="1" applyBorder="1" applyAlignment="1">
      <alignment horizontal="center" vertical="center"/>
    </xf>
    <xf numFmtId="3" fontId="40" fillId="2" borderId="4" xfId="0" applyNumberFormat="1" applyFont="1" applyFill="1" applyBorder="1" applyAlignment="1">
      <alignment horizontal="center" vertical="center"/>
    </xf>
    <xf numFmtId="165" fontId="16" fillId="2" borderId="5" xfId="2" applyNumberFormat="1" applyFont="1" applyFill="1" applyBorder="1" applyAlignment="1" applyProtection="1">
      <alignment horizontal="center" vertical="center" wrapText="1"/>
      <protection hidden="1"/>
    </xf>
    <xf numFmtId="3" fontId="16" fillId="2" borderId="4" xfId="2" applyNumberFormat="1" applyFont="1" applyFill="1" applyBorder="1" applyAlignment="1" applyProtection="1">
      <alignment horizontal="center" vertical="center" wrapText="1"/>
      <protection hidden="1"/>
    </xf>
    <xf numFmtId="165" fontId="3" fillId="2" borderId="5" xfId="2" applyNumberFormat="1" applyFont="1" applyFill="1" applyBorder="1" applyAlignment="1" applyProtection="1">
      <alignment horizontal="center" vertical="center" wrapText="1"/>
      <protection hidden="1"/>
    </xf>
    <xf numFmtId="49" fontId="39" fillId="5" borderId="3" xfId="0" applyNumberFormat="1" applyFont="1" applyFill="1" applyBorder="1" applyAlignment="1">
      <alignment horizontal="center" vertical="center"/>
    </xf>
    <xf numFmtId="49" fontId="39" fillId="4" borderId="3" xfId="0" applyNumberFormat="1" applyFont="1" applyFill="1" applyBorder="1" applyAlignment="1">
      <alignment horizontal="center" vertical="center"/>
    </xf>
    <xf numFmtId="49" fontId="39" fillId="2" borderId="3" xfId="0" applyNumberFormat="1" applyFont="1" applyFill="1" applyBorder="1" applyAlignment="1">
      <alignment horizontal="center" vertical="center"/>
    </xf>
    <xf numFmtId="49" fontId="40" fillId="2" borderId="3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49" fontId="39" fillId="4" borderId="4" xfId="0" applyNumberFormat="1" applyFont="1" applyFill="1" applyBorder="1" applyAlignment="1">
      <alignment horizontal="center" vertical="center"/>
    </xf>
    <xf numFmtId="49" fontId="39" fillId="2" borderId="4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/>
    </xf>
    <xf numFmtId="0" fontId="32" fillId="0" borderId="0" xfId="0" applyFont="1"/>
    <xf numFmtId="165" fontId="3" fillId="5" borderId="4" xfId="2" applyNumberFormat="1" applyFont="1" applyFill="1" applyBorder="1" applyAlignment="1" applyProtection="1">
      <alignment horizontal="center" vertical="center" wrapText="1"/>
      <protection hidden="1"/>
    </xf>
    <xf numFmtId="3" fontId="3" fillId="5" borderId="4" xfId="2" applyNumberFormat="1" applyFont="1" applyFill="1" applyBorder="1" applyAlignment="1" applyProtection="1">
      <alignment horizontal="center" vertical="center" wrapText="1"/>
      <protection hidden="1"/>
    </xf>
    <xf numFmtId="165" fontId="3" fillId="4" borderId="4" xfId="2" applyNumberFormat="1" applyFont="1" applyFill="1" applyBorder="1" applyAlignment="1" applyProtection="1">
      <alignment horizontal="center" vertical="center" wrapText="1"/>
      <protection hidden="1"/>
    </xf>
    <xf numFmtId="0" fontId="3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 vertical="center" wrapText="1"/>
    </xf>
    <xf numFmtId="49" fontId="16" fillId="2" borderId="4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 vertical="top" wrapText="1"/>
    </xf>
    <xf numFmtId="0" fontId="43" fillId="2" borderId="0" xfId="0" applyFont="1" applyFill="1" applyAlignment="1">
      <alignment wrapText="1"/>
    </xf>
    <xf numFmtId="169" fontId="7" fillId="2" borderId="0" xfId="0" applyNumberFormat="1" applyFont="1" applyFill="1" applyBorder="1" applyAlignment="1">
      <alignment horizontal="right" vertical="center" wrapText="1"/>
    </xf>
    <xf numFmtId="0" fontId="43" fillId="2" borderId="0" xfId="0" applyFont="1" applyFill="1"/>
    <xf numFmtId="0" fontId="43" fillId="2" borderId="0" xfId="0" applyFont="1" applyFill="1" applyAlignment="1">
      <alignment horizontal="center"/>
    </xf>
    <xf numFmtId="176" fontId="43" fillId="2" borderId="0" xfId="0" applyNumberFormat="1" applyFont="1" applyFill="1"/>
    <xf numFmtId="177" fontId="43" fillId="2" borderId="0" xfId="0" applyNumberFormat="1" applyFont="1" applyFill="1"/>
    <xf numFmtId="178" fontId="43" fillId="2" borderId="0" xfId="0" applyNumberFormat="1" applyFont="1" applyFill="1"/>
    <xf numFmtId="0" fontId="43" fillId="2" borderId="0" xfId="0" applyFont="1" applyFill="1" applyBorder="1" applyAlignment="1">
      <alignment wrapText="1"/>
    </xf>
    <xf numFmtId="0" fontId="1" fillId="2" borderId="0" xfId="2" applyFont="1" applyFill="1" applyAlignment="1">
      <alignment horizontal="center"/>
    </xf>
    <xf numFmtId="0" fontId="1" fillId="2" borderId="0" xfId="2" applyFont="1" applyFill="1"/>
    <xf numFmtId="176" fontId="1" fillId="2" borderId="0" xfId="2" applyNumberFormat="1" applyFont="1" applyFill="1"/>
    <xf numFmtId="177" fontId="1" fillId="2" borderId="0" xfId="2" applyNumberFormat="1" applyFont="1" applyFill="1"/>
    <xf numFmtId="178" fontId="1" fillId="2" borderId="0" xfId="2" applyNumberFormat="1" applyFont="1" applyFill="1"/>
    <xf numFmtId="169" fontId="12" fillId="2" borderId="3" xfId="0" applyNumberFormat="1" applyFont="1" applyFill="1" applyBorder="1" applyAlignment="1">
      <alignment horizontal="right" vertical="center" wrapText="1"/>
    </xf>
    <xf numFmtId="0" fontId="44" fillId="2" borderId="0" xfId="0" applyFont="1" applyFill="1" applyAlignment="1">
      <alignment wrapText="1" shrinkToFit="1"/>
    </xf>
    <xf numFmtId="176" fontId="44" fillId="2" borderId="0" xfId="0" applyNumberFormat="1" applyFont="1" applyFill="1" applyAlignment="1">
      <alignment wrapText="1" shrinkToFit="1"/>
    </xf>
    <xf numFmtId="4" fontId="10" fillId="2" borderId="0" xfId="0" applyNumberFormat="1" applyFont="1" applyFill="1" applyAlignment="1">
      <alignment wrapText="1"/>
    </xf>
    <xf numFmtId="177" fontId="12" fillId="2" borderId="3" xfId="0" applyNumberFormat="1" applyFont="1" applyFill="1" applyBorder="1" applyAlignment="1">
      <alignment horizontal="right" vertical="center" wrapText="1"/>
    </xf>
    <xf numFmtId="169" fontId="44" fillId="2" borderId="0" xfId="0" applyNumberFormat="1" applyFont="1" applyFill="1" applyAlignment="1">
      <alignment wrapText="1" shrinkToFit="1"/>
    </xf>
    <xf numFmtId="178" fontId="44" fillId="2" borderId="0" xfId="0" applyNumberFormat="1" applyFont="1" applyFill="1" applyAlignment="1">
      <alignment wrapText="1" shrinkToFit="1"/>
    </xf>
    <xf numFmtId="0" fontId="43" fillId="2" borderId="0" xfId="0" applyFont="1" applyFill="1" applyAlignment="1">
      <alignment wrapText="1" shrinkToFit="1"/>
    </xf>
    <xf numFmtId="176" fontId="43" fillId="2" borderId="0" xfId="0" applyNumberFormat="1" applyFont="1" applyFill="1" applyAlignment="1">
      <alignment wrapText="1" shrinkToFit="1"/>
    </xf>
    <xf numFmtId="178" fontId="43" fillId="2" borderId="0" xfId="0" applyNumberFormat="1" applyFont="1" applyFill="1" applyAlignment="1">
      <alignment wrapText="1" shrinkToFit="1"/>
    </xf>
    <xf numFmtId="0" fontId="43" fillId="2" borderId="0" xfId="0" applyFont="1" applyFill="1" applyAlignment="1">
      <alignment vertical="justify" wrapText="1" shrinkToFit="1" readingOrder="1"/>
    </xf>
    <xf numFmtId="176" fontId="43" fillId="2" borderId="0" xfId="0" applyNumberFormat="1" applyFont="1" applyFill="1" applyAlignment="1">
      <alignment vertical="justify" wrapText="1" shrinkToFit="1" readingOrder="1"/>
    </xf>
    <xf numFmtId="178" fontId="43" fillId="2" borderId="0" xfId="0" applyNumberFormat="1" applyFont="1" applyFill="1" applyAlignment="1">
      <alignment vertical="justify" wrapText="1" shrinkToFit="1" readingOrder="1"/>
    </xf>
    <xf numFmtId="0" fontId="45" fillId="2" borderId="0" xfId="0" applyFont="1" applyFill="1" applyAlignment="1">
      <alignment wrapText="1" shrinkToFit="1"/>
    </xf>
    <xf numFmtId="176" fontId="45" fillId="2" borderId="0" xfId="0" applyNumberFormat="1" applyFont="1" applyFill="1" applyAlignment="1">
      <alignment wrapText="1" shrinkToFit="1"/>
    </xf>
    <xf numFmtId="178" fontId="45" fillId="2" borderId="0" xfId="0" applyNumberFormat="1" applyFont="1" applyFill="1" applyAlignment="1">
      <alignment wrapText="1" shrinkToFit="1"/>
    </xf>
    <xf numFmtId="0" fontId="46" fillId="2" borderId="0" xfId="0" applyFont="1" applyFill="1" applyAlignment="1">
      <alignment wrapText="1" shrinkToFit="1"/>
    </xf>
    <xf numFmtId="176" fontId="46" fillId="2" borderId="0" xfId="0" applyNumberFormat="1" applyFont="1" applyFill="1" applyAlignment="1">
      <alignment wrapText="1" shrinkToFit="1"/>
    </xf>
    <xf numFmtId="178" fontId="46" fillId="2" borderId="0" xfId="0" applyNumberFormat="1" applyFont="1" applyFill="1" applyAlignment="1">
      <alignment wrapText="1" shrinkToFit="1"/>
    </xf>
    <xf numFmtId="49" fontId="10" fillId="2" borderId="4" xfId="0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wrapText="1" shrinkToFit="1"/>
    </xf>
    <xf numFmtId="176" fontId="47" fillId="2" borderId="0" xfId="0" applyNumberFormat="1" applyFont="1" applyFill="1" applyAlignment="1">
      <alignment wrapText="1" shrinkToFit="1"/>
    </xf>
    <xf numFmtId="178" fontId="47" fillId="2" borderId="0" xfId="0" applyNumberFormat="1" applyFont="1" applyFill="1" applyAlignment="1">
      <alignment wrapText="1" shrinkToFit="1"/>
    </xf>
    <xf numFmtId="49" fontId="10" fillId="2" borderId="3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wrapText="1" shrinkToFit="1"/>
    </xf>
    <xf numFmtId="176" fontId="48" fillId="2" borderId="0" xfId="0" applyNumberFormat="1" applyFont="1" applyFill="1" applyAlignment="1">
      <alignment wrapText="1" shrinkToFit="1"/>
    </xf>
    <xf numFmtId="178" fontId="48" fillId="2" borderId="0" xfId="0" applyNumberFormat="1" applyFont="1" applyFill="1" applyAlignment="1">
      <alignment wrapText="1" shrinkToFit="1"/>
    </xf>
    <xf numFmtId="177" fontId="44" fillId="2" borderId="0" xfId="0" applyNumberFormat="1" applyFont="1" applyFill="1" applyAlignment="1">
      <alignment wrapText="1" shrinkToFit="1"/>
    </xf>
    <xf numFmtId="0" fontId="43" fillId="2" borderId="0" xfId="0" applyFont="1" applyFill="1" applyAlignment="1">
      <alignment horizontal="right"/>
    </xf>
    <xf numFmtId="169" fontId="12" fillId="0" borderId="0" xfId="2" applyNumberFormat="1" applyFont="1" applyAlignment="1">
      <alignment horizontal="center" wrapText="1"/>
    </xf>
    <xf numFmtId="169" fontId="10" fillId="0" borderId="2" xfId="2" applyNumberFormat="1" applyFont="1" applyFill="1" applyBorder="1" applyAlignment="1" applyProtection="1">
      <alignment horizontal="center" vertical="center" wrapText="1"/>
      <protection hidden="1"/>
    </xf>
    <xf numFmtId="169" fontId="10" fillId="0" borderId="14" xfId="2" applyNumberFormat="1" applyFont="1" applyFill="1" applyBorder="1" applyAlignment="1" applyProtection="1">
      <alignment horizontal="center" vertical="center" wrapText="1"/>
      <protection hidden="1"/>
    </xf>
    <xf numFmtId="169" fontId="3" fillId="5" borderId="4" xfId="2" applyNumberFormat="1" applyFont="1" applyFill="1" applyBorder="1" applyAlignment="1">
      <alignment horizontal="right" vertical="center"/>
    </xf>
    <xf numFmtId="169" fontId="3" fillId="5" borderId="4" xfId="0" applyNumberFormat="1" applyFont="1" applyFill="1" applyBorder="1" applyAlignment="1">
      <alignment horizontal="right" vertical="center"/>
    </xf>
    <xf numFmtId="169" fontId="3" fillId="4" borderId="4" xfId="2" applyNumberFormat="1" applyFont="1" applyFill="1" applyBorder="1" applyAlignment="1">
      <alignment horizontal="right" vertical="center"/>
    </xf>
    <xf numFmtId="169" fontId="3" fillId="4" borderId="4" xfId="2" applyNumberFormat="1" applyFont="1" applyFill="1" applyBorder="1" applyAlignment="1" applyProtection="1">
      <alignment horizontal="right" vertical="center" wrapText="1"/>
      <protection hidden="1"/>
    </xf>
    <xf numFmtId="169" fontId="3" fillId="2" borderId="4" xfId="2" applyNumberFormat="1" applyFont="1" applyFill="1" applyBorder="1" applyAlignment="1">
      <alignment horizontal="right" vertical="center"/>
    </xf>
    <xf numFmtId="169" fontId="3" fillId="2" borderId="4" xfId="2" applyNumberFormat="1" applyFont="1" applyFill="1" applyBorder="1" applyAlignment="1" applyProtection="1">
      <alignment horizontal="right" vertical="center" wrapText="1"/>
      <protection hidden="1"/>
    </xf>
    <xf numFmtId="169" fontId="16" fillId="0" borderId="4" xfId="2" applyNumberFormat="1" applyFont="1" applyFill="1" applyBorder="1" applyAlignment="1" applyProtection="1">
      <alignment vertical="top" wrapText="1"/>
      <protection hidden="1"/>
    </xf>
    <xf numFmtId="169" fontId="40" fillId="2" borderId="4" xfId="0" applyNumberFormat="1" applyFont="1" applyFill="1" applyBorder="1" applyAlignment="1">
      <alignment horizontal="right" vertical="center"/>
    </xf>
    <xf numFmtId="169" fontId="39" fillId="2" borderId="4" xfId="0" applyNumberFormat="1" applyFont="1" applyFill="1" applyBorder="1" applyAlignment="1">
      <alignment horizontal="right" vertical="center"/>
    </xf>
    <xf numFmtId="169" fontId="16" fillId="2" borderId="4" xfId="2" applyNumberFormat="1" applyFont="1" applyFill="1" applyBorder="1" applyAlignment="1" applyProtection="1">
      <alignment horizontal="right" vertical="center" wrapText="1"/>
      <protection hidden="1"/>
    </xf>
    <xf numFmtId="169" fontId="16" fillId="2" borderId="4" xfId="2" applyNumberFormat="1" applyFont="1" applyFill="1" applyBorder="1" applyAlignment="1">
      <alignment horizontal="right" vertical="center"/>
    </xf>
    <xf numFmtId="169" fontId="16" fillId="0" borderId="4" xfId="2" applyNumberFormat="1" applyFont="1" applyFill="1" applyBorder="1" applyAlignment="1">
      <alignment horizontal="right" vertical="center"/>
    </xf>
    <xf numFmtId="169" fontId="3" fillId="5" borderId="4" xfId="2" applyNumberFormat="1" applyFont="1" applyFill="1" applyBorder="1" applyAlignment="1" applyProtection="1">
      <alignment horizontal="right" vertical="center" wrapText="1"/>
      <protection hidden="1"/>
    </xf>
    <xf numFmtId="169" fontId="39" fillId="0" borderId="4" xfId="0" applyNumberFormat="1" applyFont="1" applyFill="1" applyBorder="1" applyAlignment="1">
      <alignment horizontal="right" vertical="center"/>
    </xf>
    <xf numFmtId="169" fontId="40" fillId="0" borderId="4" xfId="0" applyNumberFormat="1" applyFont="1" applyFill="1" applyBorder="1" applyAlignment="1">
      <alignment horizontal="right" vertical="center"/>
    </xf>
    <xf numFmtId="169" fontId="3" fillId="0" borderId="4" xfId="2" applyNumberFormat="1" applyFont="1" applyFill="1" applyBorder="1" applyAlignment="1">
      <alignment horizontal="right" vertical="center"/>
    </xf>
    <xf numFmtId="169" fontId="41" fillId="2" borderId="3" xfId="0" applyNumberFormat="1" applyFont="1" applyFill="1" applyBorder="1" applyAlignment="1">
      <alignment horizontal="right" vertical="center" wrapText="1"/>
    </xf>
    <xf numFmtId="169" fontId="42" fillId="3" borderId="0" xfId="2" applyNumberFormat="1" applyFont="1" applyFill="1"/>
    <xf numFmtId="169" fontId="43" fillId="2" borderId="0" xfId="0" applyNumberFormat="1" applyFont="1" applyFill="1"/>
    <xf numFmtId="0" fontId="32" fillId="2" borderId="0" xfId="0" applyFont="1" applyFill="1"/>
    <xf numFmtId="169" fontId="11" fillId="0" borderId="0" xfId="0" applyNumberFormat="1" applyFont="1"/>
    <xf numFmtId="0" fontId="11" fillId="6" borderId="0" xfId="0" applyFont="1" applyFill="1"/>
    <xf numFmtId="0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6" applyFont="1" applyFill="1" applyAlignment="1" applyProtection="1">
      <alignment horizontal="center" vertical="center" wrapText="1"/>
      <protection hidden="1"/>
    </xf>
    <xf numFmtId="0" fontId="3" fillId="2" borderId="6" xfId="6" applyFont="1" applyFill="1" applyBorder="1" applyAlignment="1" applyProtection="1">
      <alignment horizontal="center" vertical="center" wrapText="1"/>
      <protection hidden="1"/>
    </xf>
    <xf numFmtId="0" fontId="4" fillId="2" borderId="4" xfId="2" applyNumberFormat="1" applyFont="1" applyFill="1" applyBorder="1" applyAlignment="1" applyProtection="1">
      <alignment horizontal="center" vertical="center"/>
      <protection hidden="1"/>
    </xf>
    <xf numFmtId="0" fontId="30" fillId="2" borderId="4" xfId="0" applyFont="1" applyFill="1" applyBorder="1" applyAlignment="1">
      <alignment vertical="center"/>
    </xf>
    <xf numFmtId="0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165" fontId="10" fillId="2" borderId="7" xfId="2" applyNumberFormat="1" applyFont="1" applyFill="1" applyBorder="1" applyAlignment="1" applyProtection="1">
      <alignment horizontal="left" vertical="center" wrapText="1" shrinkToFit="1"/>
      <protection hidden="1"/>
    </xf>
    <xf numFmtId="165" fontId="10" fillId="2" borderId="8" xfId="2" applyNumberFormat="1" applyFont="1" applyFill="1" applyBorder="1" applyAlignment="1" applyProtection="1">
      <alignment horizontal="left" vertical="center" wrapText="1" shrinkToFit="1"/>
      <protection hidden="1"/>
    </xf>
    <xf numFmtId="165" fontId="10" fillId="2" borderId="7" xfId="2" applyNumberFormat="1" applyFont="1" applyFill="1" applyBorder="1" applyAlignment="1" applyProtection="1">
      <alignment vertical="center" wrapText="1" shrinkToFit="1"/>
      <protection hidden="1"/>
    </xf>
    <xf numFmtId="165" fontId="10" fillId="2" borderId="8" xfId="2" applyNumberFormat="1" applyFont="1" applyFill="1" applyBorder="1" applyAlignment="1" applyProtection="1">
      <alignment vertical="center" wrapText="1" shrinkToFit="1"/>
      <protection hidden="1"/>
    </xf>
    <xf numFmtId="165" fontId="10" fillId="2" borderId="4" xfId="2" applyNumberFormat="1" applyFont="1" applyFill="1" applyBorder="1" applyAlignment="1" applyProtection="1">
      <alignment vertical="center" wrapText="1" shrinkToFit="1"/>
      <protection hidden="1"/>
    </xf>
    <xf numFmtId="165" fontId="12" fillId="2" borderId="4" xfId="2" applyNumberFormat="1" applyFont="1" applyFill="1" applyBorder="1" applyAlignment="1" applyProtection="1">
      <alignment vertical="center" wrapText="1" shrinkToFit="1"/>
      <protection hidden="1"/>
    </xf>
    <xf numFmtId="165" fontId="15" fillId="2" borderId="4" xfId="2" applyNumberFormat="1" applyFont="1" applyFill="1" applyBorder="1" applyAlignment="1" applyProtection="1">
      <alignment vertical="center" wrapText="1" shrinkToFit="1"/>
      <protection hidden="1"/>
    </xf>
    <xf numFmtId="165" fontId="10" fillId="2" borderId="5" xfId="2" applyNumberFormat="1" applyFont="1" applyFill="1" applyBorder="1" applyAlignment="1" applyProtection="1">
      <alignment vertical="center" wrapText="1" shrinkToFit="1"/>
      <protection hidden="1"/>
    </xf>
    <xf numFmtId="0" fontId="5" fillId="2" borderId="4" xfId="2" applyNumberFormat="1" applyFont="1" applyFill="1" applyBorder="1" applyAlignment="1" applyProtection="1">
      <alignment horizontal="center" wrapText="1"/>
      <protection hidden="1"/>
    </xf>
    <xf numFmtId="165" fontId="15" fillId="2" borderId="7" xfId="2" applyNumberFormat="1" applyFont="1" applyFill="1" applyBorder="1" applyAlignment="1" applyProtection="1">
      <alignment vertical="justify" wrapText="1" shrinkToFit="1" readingOrder="1"/>
      <protection hidden="1"/>
    </xf>
    <xf numFmtId="165" fontId="15" fillId="2" borderId="8" xfId="2" applyNumberFormat="1" applyFont="1" applyFill="1" applyBorder="1" applyAlignment="1" applyProtection="1">
      <alignment vertical="justify" wrapText="1" shrinkToFit="1" readingOrder="1"/>
      <protection hidden="1"/>
    </xf>
    <xf numFmtId="165" fontId="15" fillId="2" borderId="5" xfId="2" applyNumberFormat="1" applyFont="1" applyFill="1" applyBorder="1" applyAlignment="1" applyProtection="1">
      <alignment vertical="justify" wrapText="1" shrinkToFit="1" readingOrder="1"/>
      <protection hidden="1"/>
    </xf>
    <xf numFmtId="165" fontId="10" fillId="2" borderId="5" xfId="2" applyNumberFormat="1" applyFont="1" applyFill="1" applyBorder="1" applyAlignment="1" applyProtection="1">
      <alignment horizontal="left" vertical="center" wrapText="1" shrinkToFit="1"/>
      <protection hidden="1"/>
    </xf>
    <xf numFmtId="165" fontId="15" fillId="2" borderId="7" xfId="2" applyNumberFormat="1" applyFont="1" applyFill="1" applyBorder="1" applyAlignment="1" applyProtection="1">
      <alignment horizontal="left" vertical="center" wrapText="1" shrinkToFit="1"/>
      <protection hidden="1"/>
    </xf>
    <xf numFmtId="165" fontId="15" fillId="2" borderId="8" xfId="2" applyNumberFormat="1" applyFont="1" applyFill="1" applyBorder="1" applyAlignment="1" applyProtection="1">
      <alignment horizontal="left" vertical="center" wrapText="1" shrinkToFit="1"/>
      <protection hidden="1"/>
    </xf>
    <xf numFmtId="165" fontId="15" fillId="2" borderId="5" xfId="2" applyNumberFormat="1" applyFont="1" applyFill="1" applyBorder="1" applyAlignment="1" applyProtection="1">
      <alignment horizontal="left" vertical="center" wrapText="1" shrinkToFit="1"/>
      <protection hidden="1"/>
    </xf>
    <xf numFmtId="0" fontId="10" fillId="2" borderId="4" xfId="0" applyFont="1" applyFill="1" applyBorder="1" applyAlignment="1">
      <alignment vertical="center" wrapText="1" shrinkToFit="1"/>
    </xf>
    <xf numFmtId="0" fontId="43" fillId="2" borderId="4" xfId="0" applyFont="1" applyFill="1" applyBorder="1" applyAlignment="1">
      <alignment vertical="center" wrapText="1" shrinkToFit="1"/>
    </xf>
    <xf numFmtId="165" fontId="15" fillId="2" borderId="7" xfId="2" applyNumberFormat="1" applyFont="1" applyFill="1" applyBorder="1" applyAlignment="1" applyProtection="1">
      <alignment vertical="center" wrapText="1" shrinkToFit="1"/>
      <protection hidden="1"/>
    </xf>
    <xf numFmtId="165" fontId="15" fillId="2" borderId="8" xfId="2" applyNumberFormat="1" applyFont="1" applyFill="1" applyBorder="1" applyAlignment="1" applyProtection="1">
      <alignment vertical="center" wrapText="1" shrinkToFit="1"/>
      <protection hidden="1"/>
    </xf>
    <xf numFmtId="165" fontId="15" fillId="2" borderId="5" xfId="2" applyNumberFormat="1" applyFont="1" applyFill="1" applyBorder="1" applyAlignment="1" applyProtection="1">
      <alignment vertical="center" wrapText="1" shrinkToFit="1"/>
      <protection hidden="1"/>
    </xf>
    <xf numFmtId="165" fontId="10" fillId="2" borderId="4" xfId="2" applyNumberFormat="1" applyFont="1" applyFill="1" applyBorder="1" applyAlignment="1" applyProtection="1">
      <alignment vertical="top" wrapText="1" shrinkToFit="1"/>
      <protection hidden="1"/>
    </xf>
    <xf numFmtId="165" fontId="10" fillId="2" borderId="7" xfId="2" applyNumberFormat="1" applyFont="1" applyFill="1" applyBorder="1" applyAlignment="1" applyProtection="1">
      <alignment horizontal="left" vertical="top" wrapText="1" shrinkToFit="1"/>
      <protection hidden="1"/>
    </xf>
    <xf numFmtId="165" fontId="10" fillId="2" borderId="8" xfId="2" applyNumberFormat="1" applyFont="1" applyFill="1" applyBorder="1" applyAlignment="1" applyProtection="1">
      <alignment horizontal="left" vertical="top" wrapText="1" shrinkToFit="1"/>
      <protection hidden="1"/>
    </xf>
    <xf numFmtId="165" fontId="10" fillId="2" borderId="5" xfId="2" applyNumberFormat="1" applyFont="1" applyFill="1" applyBorder="1" applyAlignment="1" applyProtection="1">
      <alignment horizontal="left" vertical="top" wrapText="1" shrinkToFit="1"/>
      <protection hidden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44" fillId="2" borderId="4" xfId="0" applyFont="1" applyFill="1" applyBorder="1" applyAlignment="1">
      <alignment vertical="center" wrapText="1" shrinkToFit="1"/>
    </xf>
    <xf numFmtId="165" fontId="12" fillId="2" borderId="7" xfId="2" applyNumberFormat="1" applyFont="1" applyFill="1" applyBorder="1" applyAlignment="1" applyProtection="1">
      <alignment horizontal="left" vertical="top" wrapText="1"/>
      <protection hidden="1"/>
    </xf>
    <xf numFmtId="165" fontId="12" fillId="2" borderId="8" xfId="2" applyNumberFormat="1" applyFont="1" applyFill="1" applyBorder="1" applyAlignment="1" applyProtection="1">
      <alignment horizontal="left" vertical="top" wrapText="1"/>
      <protection hidden="1"/>
    </xf>
    <xf numFmtId="165" fontId="12" fillId="2" borderId="5" xfId="2" applyNumberFormat="1" applyFont="1" applyFill="1" applyBorder="1" applyAlignment="1" applyProtection="1">
      <alignment horizontal="left" vertical="top" wrapText="1"/>
      <protection hidden="1"/>
    </xf>
    <xf numFmtId="0" fontId="12" fillId="2" borderId="7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0" fillId="2" borderId="7" xfId="2" applyNumberFormat="1" applyFont="1" applyFill="1" applyBorder="1" applyAlignment="1" applyProtection="1">
      <alignment horizontal="left" wrapText="1"/>
      <protection hidden="1"/>
    </xf>
    <xf numFmtId="0" fontId="10" fillId="2" borderId="8" xfId="2" applyNumberFormat="1" applyFont="1" applyFill="1" applyBorder="1" applyAlignment="1" applyProtection="1">
      <alignment horizontal="left" wrapText="1"/>
      <protection hidden="1"/>
    </xf>
    <xf numFmtId="0" fontId="10" fillId="2" borderId="5" xfId="2" applyNumberFormat="1" applyFont="1" applyFill="1" applyBorder="1" applyAlignment="1" applyProtection="1">
      <alignment horizontal="left" wrapText="1"/>
      <protection hidden="1"/>
    </xf>
    <xf numFmtId="165" fontId="12" fillId="2" borderId="7" xfId="2" applyNumberFormat="1" applyFont="1" applyFill="1" applyBorder="1" applyAlignment="1" applyProtection="1">
      <alignment vertical="center" wrapText="1" shrinkToFit="1"/>
      <protection hidden="1"/>
    </xf>
    <xf numFmtId="165" fontId="12" fillId="2" borderId="8" xfId="2" applyNumberFormat="1" applyFont="1" applyFill="1" applyBorder="1" applyAlignment="1" applyProtection="1">
      <alignment vertical="center" wrapText="1" shrinkToFit="1"/>
      <protection hidden="1"/>
    </xf>
    <xf numFmtId="165" fontId="12" fillId="2" borderId="5" xfId="2" applyNumberFormat="1" applyFont="1" applyFill="1" applyBorder="1" applyAlignment="1" applyProtection="1">
      <alignment vertical="center" wrapText="1" shrinkToFit="1"/>
      <protection hidden="1"/>
    </xf>
    <xf numFmtId="165" fontId="10" fillId="2" borderId="7" xfId="13" applyNumberFormat="1" applyFont="1" applyFill="1" applyBorder="1" applyAlignment="1" applyProtection="1">
      <alignment horizontal="left" vertical="top" wrapText="1"/>
      <protection hidden="1"/>
    </xf>
    <xf numFmtId="165" fontId="10" fillId="2" borderId="8" xfId="13" applyNumberFormat="1" applyFont="1" applyFill="1" applyBorder="1" applyAlignment="1" applyProtection="1">
      <alignment horizontal="left" vertical="top" wrapText="1"/>
      <protection hidden="1"/>
    </xf>
    <xf numFmtId="165" fontId="10" fillId="2" borderId="5" xfId="13" applyNumberFormat="1" applyFont="1" applyFill="1" applyBorder="1" applyAlignment="1" applyProtection="1">
      <alignment horizontal="left" vertical="top" wrapText="1"/>
      <protection hidden="1"/>
    </xf>
    <xf numFmtId="0" fontId="48" fillId="2" borderId="8" xfId="0" applyFont="1" applyFill="1" applyBorder="1" applyAlignment="1">
      <alignment vertical="center" wrapText="1" shrinkToFit="1"/>
    </xf>
    <xf numFmtId="0" fontId="48" fillId="2" borderId="5" xfId="0" applyFont="1" applyFill="1" applyBorder="1" applyAlignment="1">
      <alignment vertical="center" wrapText="1" shrinkToFit="1"/>
    </xf>
    <xf numFmtId="0" fontId="11" fillId="2" borderId="7" xfId="0" applyNumberFormat="1" applyFont="1" applyFill="1" applyBorder="1" applyAlignment="1">
      <alignment horizontal="left" vertical="center" wrapText="1"/>
    </xf>
    <xf numFmtId="0" fontId="11" fillId="2" borderId="8" xfId="0" applyNumberFormat="1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left" vertical="center" wrapText="1"/>
    </xf>
    <xf numFmtId="165" fontId="10" fillId="2" borderId="4" xfId="2" applyNumberFormat="1" applyFont="1" applyFill="1" applyBorder="1" applyAlignment="1" applyProtection="1">
      <alignment horizontal="left" vertical="center" wrapText="1" shrinkToFit="1"/>
      <protection hidden="1"/>
    </xf>
    <xf numFmtId="0" fontId="10" fillId="2" borderId="7" xfId="0" applyFont="1" applyFill="1" applyBorder="1" applyAlignment="1">
      <alignment vertical="center" wrapText="1" shrinkToFit="1"/>
    </xf>
    <xf numFmtId="0" fontId="10" fillId="2" borderId="8" xfId="0" applyFont="1" applyFill="1" applyBorder="1" applyAlignment="1">
      <alignment vertical="center" wrapText="1" shrinkToFit="1"/>
    </xf>
    <xf numFmtId="0" fontId="10" fillId="2" borderId="5" xfId="0" applyFont="1" applyFill="1" applyBorder="1" applyAlignment="1">
      <alignment vertical="center" wrapText="1" shrinkToFit="1"/>
    </xf>
    <xf numFmtId="169" fontId="6" fillId="0" borderId="0" xfId="2" applyNumberFormat="1" applyFont="1" applyAlignment="1">
      <alignment horizontal="left" vertical="top" wrapText="1"/>
    </xf>
    <xf numFmtId="0" fontId="3" fillId="0" borderId="0" xfId="2" applyFont="1" applyAlignment="1">
      <alignment horizontal="center" wrapText="1"/>
    </xf>
    <xf numFmtId="0" fontId="0" fillId="0" borderId="0" xfId="0" applyAlignment="1"/>
    <xf numFmtId="0" fontId="26" fillId="2" borderId="0" xfId="14" applyFont="1" applyFill="1" applyProtection="1">
      <protection hidden="1"/>
    </xf>
    <xf numFmtId="0" fontId="26" fillId="2" borderId="0" xfId="14" applyFont="1" applyFill="1"/>
    <xf numFmtId="171" fontId="26" fillId="2" borderId="0" xfId="14" applyNumberFormat="1" applyFont="1" applyFill="1"/>
    <xf numFmtId="0" fontId="33" fillId="2" borderId="0" xfId="0" applyFont="1" applyFill="1" applyAlignment="1">
      <alignment horizontal="left"/>
    </xf>
    <xf numFmtId="171" fontId="26" fillId="2" borderId="0" xfId="14" applyNumberFormat="1" applyFont="1" applyFill="1" applyProtection="1">
      <protection hidden="1"/>
    </xf>
    <xf numFmtId="0" fontId="33" fillId="2" borderId="0" xfId="0" applyFont="1" applyFill="1" applyAlignment="1">
      <alignment horizontal="left"/>
    </xf>
    <xf numFmtId="0" fontId="27" fillId="2" borderId="0" xfId="14" applyNumberFormat="1" applyFont="1" applyFill="1" applyAlignment="1" applyProtection="1">
      <alignment horizontal="center" wrapText="1"/>
      <protection hidden="1"/>
    </xf>
    <xf numFmtId="0" fontId="27" fillId="2" borderId="0" xfId="14" applyFont="1" applyFill="1"/>
    <xf numFmtId="0" fontId="27" fillId="2" borderId="0" xfId="14" applyNumberFormat="1" applyFont="1" applyFill="1" applyAlignment="1" applyProtection="1">
      <alignment horizontal="center" wrapText="1"/>
      <protection hidden="1"/>
    </xf>
    <xf numFmtId="171" fontId="26" fillId="2" borderId="0" xfId="14" applyNumberFormat="1" applyFont="1" applyFill="1" applyBorder="1" applyAlignment="1" applyProtection="1">
      <alignment horizontal="right"/>
      <protection hidden="1"/>
    </xf>
    <xf numFmtId="171" fontId="27" fillId="2" borderId="0" xfId="14" applyNumberFormat="1" applyFont="1" applyFill="1"/>
    <xf numFmtId="0" fontId="21" fillId="2" borderId="11" xfId="14" applyNumberFormat="1" applyFont="1" applyFill="1" applyBorder="1" applyAlignment="1" applyProtection="1">
      <alignment horizontal="center" vertical="center"/>
      <protection hidden="1"/>
    </xf>
    <xf numFmtId="0" fontId="21" fillId="2" borderId="11" xfId="14" applyNumberFormat="1" applyFont="1" applyFill="1" applyBorder="1" applyAlignment="1" applyProtection="1">
      <alignment horizontal="center" vertical="center" wrapText="1"/>
      <protection hidden="1"/>
    </xf>
    <xf numFmtId="171" fontId="21" fillId="2" borderId="11" xfId="14" applyNumberFormat="1" applyFont="1" applyFill="1" applyBorder="1" applyAlignment="1" applyProtection="1">
      <alignment horizontal="center" wrapText="1"/>
      <protection hidden="1"/>
    </xf>
    <xf numFmtId="0" fontId="21" fillId="2" borderId="3" xfId="14" applyNumberFormat="1" applyFont="1" applyFill="1" applyBorder="1" applyAlignment="1" applyProtection="1">
      <alignment horizontal="center" vertical="center"/>
      <protection hidden="1"/>
    </xf>
    <xf numFmtId="0" fontId="21" fillId="2" borderId="3" xfId="14" applyNumberFormat="1" applyFont="1" applyFill="1" applyBorder="1" applyAlignment="1" applyProtection="1">
      <alignment horizontal="center" vertical="center" wrapText="1"/>
      <protection hidden="1"/>
    </xf>
    <xf numFmtId="171" fontId="21" fillId="2" borderId="3" xfId="14" applyNumberFormat="1" applyFont="1" applyFill="1" applyBorder="1" applyAlignment="1" applyProtection="1">
      <alignment horizontal="center" wrapText="1"/>
      <protection hidden="1"/>
    </xf>
    <xf numFmtId="0" fontId="22" fillId="2" borderId="4" xfId="14" applyNumberFormat="1" applyFont="1" applyFill="1" applyBorder="1" applyAlignment="1" applyProtection="1">
      <alignment horizontal="center" vertical="center"/>
      <protection hidden="1"/>
    </xf>
    <xf numFmtId="0" fontId="22" fillId="2" borderId="4" xfId="14" applyNumberFormat="1" applyFont="1" applyFill="1" applyBorder="1" applyAlignment="1" applyProtection="1">
      <alignment horizontal="center" vertical="center" wrapText="1"/>
      <protection hidden="1"/>
    </xf>
    <xf numFmtId="1" fontId="22" fillId="2" borderId="4" xfId="14" applyNumberFormat="1" applyFont="1" applyFill="1" applyBorder="1" applyAlignment="1" applyProtection="1">
      <alignment horizontal="center" vertical="center"/>
      <protection hidden="1"/>
    </xf>
    <xf numFmtId="0" fontId="18" fillId="2" borderId="4" xfId="14" applyNumberFormat="1" applyFont="1" applyFill="1" applyBorder="1" applyAlignment="1" applyProtection="1">
      <alignment wrapText="1"/>
      <protection hidden="1"/>
    </xf>
    <xf numFmtId="167" fontId="18" fillId="2" borderId="4" xfId="14" applyNumberFormat="1" applyFont="1" applyFill="1" applyBorder="1" applyAlignment="1" applyProtection="1">
      <alignment wrapText="1"/>
      <protection hidden="1"/>
    </xf>
    <xf numFmtId="169" fontId="18" fillId="2" borderId="4" xfId="14" applyNumberFormat="1" applyFont="1" applyFill="1" applyBorder="1" applyAlignment="1" applyProtection="1">
      <protection hidden="1"/>
    </xf>
    <xf numFmtId="169" fontId="18" fillId="2" borderId="0" xfId="14" applyNumberFormat="1" applyFont="1" applyFill="1"/>
    <xf numFmtId="176" fontId="18" fillId="2" borderId="0" xfId="14" applyNumberFormat="1" applyFont="1" applyFill="1"/>
    <xf numFmtId="0" fontId="18" fillId="2" borderId="0" xfId="14" applyFont="1" applyFill="1"/>
    <xf numFmtId="0" fontId="24" fillId="2" borderId="4" xfId="14" applyNumberFormat="1" applyFont="1" applyFill="1" applyBorder="1" applyAlignment="1" applyProtection="1">
      <alignment wrapText="1"/>
      <protection hidden="1"/>
    </xf>
    <xf numFmtId="167" fontId="24" fillId="2" borderId="4" xfId="14" applyNumberFormat="1" applyFont="1" applyFill="1" applyBorder="1" applyAlignment="1" applyProtection="1">
      <alignment wrapText="1"/>
      <protection hidden="1"/>
    </xf>
    <xf numFmtId="169" fontId="24" fillId="2" borderId="4" xfId="14" applyNumberFormat="1" applyFont="1" applyFill="1" applyBorder="1" applyAlignment="1" applyProtection="1">
      <protection hidden="1"/>
    </xf>
    <xf numFmtId="0" fontId="24" fillId="2" borderId="0" xfId="14" applyFont="1" applyFill="1"/>
    <xf numFmtId="176" fontId="24" fillId="2" borderId="0" xfId="14" applyNumberFormat="1" applyFont="1" applyFill="1"/>
    <xf numFmtId="169" fontId="24" fillId="2" borderId="0" xfId="14" applyNumberFormat="1" applyFont="1" applyFill="1"/>
    <xf numFmtId="0" fontId="23" fillId="2" borderId="4" xfId="14" applyNumberFormat="1" applyFont="1" applyFill="1" applyBorder="1" applyAlignment="1" applyProtection="1">
      <alignment wrapText="1"/>
      <protection hidden="1"/>
    </xf>
    <xf numFmtId="167" fontId="23" fillId="2" borderId="4" xfId="14" applyNumberFormat="1" applyFont="1" applyFill="1" applyBorder="1" applyAlignment="1" applyProtection="1">
      <alignment wrapText="1"/>
      <protection hidden="1"/>
    </xf>
    <xf numFmtId="169" fontId="23" fillId="2" borderId="4" xfId="14" applyNumberFormat="1" applyFont="1" applyFill="1" applyBorder="1" applyAlignment="1" applyProtection="1">
      <protection hidden="1"/>
    </xf>
    <xf numFmtId="0" fontId="23" fillId="2" borderId="0" xfId="14" applyFont="1" applyFill="1"/>
    <xf numFmtId="176" fontId="23" fillId="2" borderId="0" xfId="14" applyNumberFormat="1" applyFont="1" applyFill="1"/>
    <xf numFmtId="49" fontId="19" fillId="2" borderId="12" xfId="2" applyNumberFormat="1" applyFont="1" applyFill="1" applyBorder="1" applyAlignment="1" applyProtection="1">
      <alignment horizontal="left" wrapText="1"/>
      <protection hidden="1"/>
    </xf>
    <xf numFmtId="0" fontId="25" fillId="2" borderId="4" xfId="14" applyNumberFormat="1" applyFont="1" applyFill="1" applyBorder="1" applyAlignment="1" applyProtection="1">
      <alignment wrapText="1"/>
      <protection hidden="1"/>
    </xf>
    <xf numFmtId="167" fontId="25" fillId="2" borderId="4" xfId="14" applyNumberFormat="1" applyFont="1" applyFill="1" applyBorder="1" applyAlignment="1" applyProtection="1">
      <alignment wrapText="1"/>
      <protection hidden="1"/>
    </xf>
    <xf numFmtId="169" fontId="25" fillId="2" borderId="4" xfId="14" applyNumberFormat="1" applyFont="1" applyFill="1" applyBorder="1" applyAlignment="1" applyProtection="1">
      <protection hidden="1"/>
    </xf>
    <xf numFmtId="169" fontId="24" fillId="2" borderId="4" xfId="14" applyNumberFormat="1" applyFont="1" applyFill="1" applyBorder="1"/>
    <xf numFmtId="0" fontId="20" fillId="2" borderId="4" xfId="0" applyFont="1" applyFill="1" applyBorder="1" applyAlignment="1">
      <alignment wrapText="1"/>
    </xf>
    <xf numFmtId="49" fontId="20" fillId="2" borderId="4" xfId="0" applyNumberFormat="1" applyFont="1" applyFill="1" applyBorder="1" applyAlignment="1">
      <alignment horizontal="right"/>
    </xf>
    <xf numFmtId="167" fontId="18" fillId="2" borderId="4" xfId="14" applyNumberFormat="1" applyFont="1" applyFill="1" applyBorder="1" applyAlignment="1" applyProtection="1">
      <alignment horizontal="right" wrapText="1"/>
      <protection hidden="1"/>
    </xf>
    <xf numFmtId="0" fontId="19" fillId="2" borderId="4" xfId="0" applyFont="1" applyFill="1" applyBorder="1" applyAlignment="1">
      <alignment wrapText="1"/>
    </xf>
    <xf numFmtId="49" fontId="19" fillId="2" borderId="4" xfId="0" applyNumberFormat="1" applyFont="1" applyFill="1" applyBorder="1" applyAlignment="1">
      <alignment horizontal="right"/>
    </xf>
    <xf numFmtId="0" fontId="24" fillId="2" borderId="11" xfId="14" applyNumberFormat="1" applyFont="1" applyFill="1" applyBorder="1" applyAlignment="1" applyProtection="1">
      <alignment wrapText="1"/>
      <protection hidden="1"/>
    </xf>
    <xf numFmtId="167" fontId="24" fillId="2" borderId="11" xfId="14" applyNumberFormat="1" applyFont="1" applyFill="1" applyBorder="1" applyAlignment="1" applyProtection="1">
      <alignment wrapText="1"/>
      <protection hidden="1"/>
    </xf>
    <xf numFmtId="169" fontId="24" fillId="2" borderId="11" xfId="15" applyNumberFormat="1" applyFont="1" applyFill="1" applyBorder="1" applyAlignment="1" applyProtection="1">
      <protection hidden="1"/>
    </xf>
    <xf numFmtId="0" fontId="18" fillId="2" borderId="9" xfId="14" applyNumberFormat="1" applyFont="1" applyFill="1" applyBorder="1" applyAlignment="1" applyProtection="1">
      <alignment horizontal="left"/>
      <protection hidden="1"/>
    </xf>
    <xf numFmtId="0" fontId="18" fillId="2" borderId="10" xfId="14" applyNumberFormat="1" applyFont="1" applyFill="1" applyBorder="1" applyAlignment="1" applyProtection="1">
      <alignment horizontal="left"/>
      <protection hidden="1"/>
    </xf>
    <xf numFmtId="0" fontId="18" fillId="2" borderId="13" xfId="14" applyNumberFormat="1" applyFont="1" applyFill="1" applyBorder="1" applyAlignment="1" applyProtection="1">
      <alignment horizontal="left"/>
      <protection hidden="1"/>
    </xf>
    <xf numFmtId="169" fontId="23" fillId="2" borderId="2" xfId="14" applyNumberFormat="1" applyFont="1" applyFill="1" applyBorder="1" applyAlignment="1" applyProtection="1">
      <alignment horizontal="right" vertical="center"/>
      <protection hidden="1"/>
    </xf>
    <xf numFmtId="0" fontId="22" fillId="2" borderId="0" xfId="14" applyNumberFormat="1" applyFont="1" applyFill="1" applyBorder="1" applyAlignment="1" applyProtection="1">
      <alignment wrapText="1"/>
      <protection hidden="1"/>
    </xf>
    <xf numFmtId="167" fontId="22" fillId="2" borderId="0" xfId="14" applyNumberFormat="1" applyFont="1" applyFill="1" applyBorder="1" applyAlignment="1" applyProtection="1">
      <alignment wrapText="1"/>
      <protection hidden="1"/>
    </xf>
    <xf numFmtId="171" fontId="22" fillId="2" borderId="0" xfId="14" applyNumberFormat="1" applyFont="1" applyFill="1" applyBorder="1" applyAlignment="1" applyProtection="1">
      <protection hidden="1"/>
    </xf>
    <xf numFmtId="0" fontId="26" fillId="2" borderId="0" xfId="14" applyFont="1" applyFill="1" applyBorder="1"/>
    <xf numFmtId="171" fontId="26" fillId="2" borderId="0" xfId="14" applyNumberFormat="1" applyFont="1" applyFill="1" applyBorder="1"/>
    <xf numFmtId="171" fontId="22" fillId="2" borderId="0" xfId="15" applyNumberFormat="1" applyFont="1" applyFill="1" applyBorder="1" applyAlignment="1" applyProtection="1">
      <protection hidden="1"/>
    </xf>
    <xf numFmtId="171" fontId="28" fillId="2" borderId="0" xfId="14" applyNumberFormat="1" applyFont="1" applyFill="1"/>
    <xf numFmtId="0" fontId="28" fillId="2" borderId="0" xfId="14" applyFont="1" applyFill="1"/>
    <xf numFmtId="0" fontId="27" fillId="2" borderId="0" xfId="14" applyNumberFormat="1" applyFont="1" applyFill="1" applyBorder="1" applyAlignment="1" applyProtection="1">
      <alignment wrapText="1"/>
      <protection hidden="1"/>
    </xf>
    <xf numFmtId="167" fontId="27" fillId="2" borderId="0" xfId="14" applyNumberFormat="1" applyFont="1" applyFill="1" applyBorder="1" applyAlignment="1" applyProtection="1">
      <alignment wrapText="1"/>
      <protection hidden="1"/>
    </xf>
    <xf numFmtId="171" fontId="27" fillId="2" borderId="0" xfId="14" applyNumberFormat="1" applyFont="1" applyFill="1" applyBorder="1" applyAlignment="1" applyProtection="1">
      <protection hidden="1"/>
    </xf>
    <xf numFmtId="0" fontId="29" fillId="2" borderId="0" xfId="14" applyNumberFormat="1" applyFont="1" applyFill="1" applyBorder="1" applyAlignment="1" applyProtection="1">
      <alignment wrapText="1"/>
      <protection hidden="1"/>
    </xf>
    <xf numFmtId="0" fontId="26" fillId="2" borderId="0" xfId="14" applyFont="1" applyFill="1" applyAlignment="1"/>
    <xf numFmtId="4" fontId="53" fillId="2" borderId="0" xfId="0" applyNumberFormat="1" applyFont="1" applyFill="1" applyBorder="1" applyAlignment="1" applyProtection="1">
      <protection hidden="1"/>
    </xf>
    <xf numFmtId="172" fontId="53" fillId="2" borderId="0" xfId="0" applyNumberFormat="1" applyFont="1" applyFill="1" applyBorder="1" applyAlignment="1" applyProtection="1">
      <alignment wrapText="1"/>
      <protection hidden="1"/>
    </xf>
    <xf numFmtId="4" fontId="55" fillId="2" borderId="0" xfId="0" applyNumberFormat="1" applyFont="1" applyFill="1" applyBorder="1"/>
    <xf numFmtId="0" fontId="50" fillId="2" borderId="0" xfId="0" applyFont="1" applyFill="1" applyBorder="1"/>
    <xf numFmtId="4" fontId="50" fillId="2" borderId="0" xfId="0" applyNumberFormat="1" applyFont="1" applyFill="1" applyBorder="1"/>
    <xf numFmtId="172" fontId="53" fillId="2" borderId="0" xfId="0" applyNumberFormat="1" applyFont="1" applyFill="1" applyBorder="1" applyAlignment="1" applyProtection="1">
      <alignment horizontal="left" vertical="top" wrapText="1"/>
      <protection hidden="1"/>
    </xf>
    <xf numFmtId="182" fontId="49" fillId="2" borderId="0" xfId="0" applyNumberFormat="1" applyFont="1" applyFill="1" applyBorder="1" applyAlignment="1" applyProtection="1">
      <protection hidden="1"/>
    </xf>
    <xf numFmtId="0" fontId="58" fillId="2" borderId="0" xfId="0" applyFont="1" applyFill="1" applyBorder="1" applyProtection="1">
      <protection hidden="1"/>
    </xf>
    <xf numFmtId="0" fontId="49" fillId="2" borderId="0" xfId="0" applyFont="1" applyFill="1" applyBorder="1" applyProtection="1">
      <protection hidden="1"/>
    </xf>
    <xf numFmtId="0" fontId="59" fillId="2" borderId="0" xfId="0" applyNumberFormat="1" applyFont="1" applyFill="1" applyBorder="1" applyAlignment="1" applyProtection="1">
      <protection hidden="1"/>
    </xf>
    <xf numFmtId="0" fontId="49" fillId="2" borderId="0" xfId="0" applyFont="1" applyFill="1" applyBorder="1"/>
    <xf numFmtId="0" fontId="50" fillId="2" borderId="0" xfId="0" applyFont="1" applyFill="1" applyBorder="1" applyAlignment="1">
      <alignment horizontal="left"/>
    </xf>
    <xf numFmtId="0" fontId="50" fillId="2" borderId="0" xfId="0" applyFont="1" applyFill="1" applyBorder="1" applyAlignment="1">
      <alignment horizontal="left"/>
    </xf>
    <xf numFmtId="4" fontId="51" fillId="2" borderId="0" xfId="0" applyNumberFormat="1" applyFont="1" applyFill="1" applyBorder="1"/>
    <xf numFmtId="183" fontId="52" fillId="2" borderId="0" xfId="1" applyFont="1" applyFill="1" applyBorder="1" applyAlignment="1" applyProtection="1">
      <alignment horizontal="center" vertical="center" wrapText="1"/>
      <protection hidden="1"/>
    </xf>
    <xf numFmtId="183" fontId="52" fillId="2" borderId="0" xfId="1" applyFont="1" applyFill="1" applyBorder="1" applyAlignment="1" applyProtection="1">
      <alignment horizontal="center" vertical="center"/>
      <protection hidden="1"/>
    </xf>
    <xf numFmtId="183" fontId="52" fillId="2" borderId="0" xfId="1" applyFont="1" applyFill="1" applyBorder="1" applyAlignment="1" applyProtection="1">
      <alignment horizontal="center"/>
      <protection hidden="1"/>
    </xf>
    <xf numFmtId="183" fontId="52" fillId="2" borderId="0" xfId="1" applyFont="1" applyFill="1" applyBorder="1" applyAlignment="1" applyProtection="1">
      <alignment horizontal="center" wrapText="1"/>
      <protection hidden="1"/>
    </xf>
    <xf numFmtId="183" fontId="52" fillId="12" borderId="0" xfId="1" applyFont="1" applyFill="1" applyBorder="1" applyAlignment="1" applyProtection="1">
      <alignment horizontal="center"/>
      <protection hidden="1"/>
    </xf>
    <xf numFmtId="183" fontId="52" fillId="12" borderId="0" xfId="1" applyFont="1" applyFill="1" applyBorder="1" applyAlignment="1" applyProtection="1">
      <alignment horizontal="center" vertical="center" wrapText="1"/>
      <protection hidden="1"/>
    </xf>
    <xf numFmtId="4" fontId="52" fillId="2" borderId="0" xfId="1" applyNumberFormat="1" applyFont="1" applyFill="1" applyBorder="1" applyAlignment="1" applyProtection="1">
      <alignment horizontal="center" vertical="center" wrapText="1"/>
      <protection hidden="1"/>
    </xf>
    <xf numFmtId="4" fontId="52" fillId="2" borderId="0" xfId="1" applyNumberFormat="1" applyFont="1" applyFill="1" applyBorder="1" applyAlignment="1" applyProtection="1">
      <alignment horizontal="center" vertical="center" wrapText="1"/>
      <protection hidden="1"/>
    </xf>
    <xf numFmtId="183" fontId="52" fillId="2" borderId="0" xfId="1" applyFont="1" applyFill="1" applyBorder="1" applyAlignment="1" applyProtection="1">
      <protection hidden="1"/>
    </xf>
    <xf numFmtId="183" fontId="52" fillId="12" borderId="0" xfId="1" applyFont="1" applyFill="1" applyBorder="1" applyAlignment="1" applyProtection="1">
      <protection hidden="1"/>
    </xf>
    <xf numFmtId="4" fontId="53" fillId="2" borderId="0" xfId="0" applyNumberFormat="1" applyFont="1" applyFill="1" applyBorder="1" applyAlignment="1" applyProtection="1">
      <alignment wrapText="1"/>
      <protection hidden="1"/>
    </xf>
    <xf numFmtId="183" fontId="54" fillId="2" borderId="0" xfId="1" applyFont="1" applyFill="1" applyBorder="1" applyAlignment="1" applyProtection="1">
      <alignment horizontal="center" vertical="center"/>
      <protection hidden="1"/>
    </xf>
    <xf numFmtId="183" fontId="54" fillId="12" borderId="0" xfId="1" applyFont="1" applyFill="1" applyBorder="1" applyAlignment="1" applyProtection="1">
      <alignment horizontal="center" vertical="center"/>
      <protection hidden="1"/>
    </xf>
    <xf numFmtId="4" fontId="54" fillId="2" borderId="0" xfId="1" applyNumberFormat="1" applyFont="1" applyFill="1" applyBorder="1" applyAlignment="1" applyProtection="1">
      <alignment horizontal="center" vertical="center"/>
      <protection hidden="1"/>
    </xf>
    <xf numFmtId="172" fontId="53" fillId="2" borderId="0" xfId="0" applyNumberFormat="1" applyFont="1" applyFill="1" applyBorder="1" applyAlignment="1" applyProtection="1">
      <alignment horizontal="left" vertical="top" wrapText="1"/>
      <protection hidden="1"/>
    </xf>
    <xf numFmtId="172" fontId="55" fillId="2" borderId="0" xfId="0" applyNumberFormat="1" applyFont="1" applyFill="1" applyBorder="1" applyAlignment="1" applyProtection="1">
      <alignment horizontal="center" wrapText="1"/>
      <protection hidden="1"/>
    </xf>
    <xf numFmtId="172" fontId="55" fillId="2" borderId="0" xfId="0" applyNumberFormat="1" applyFont="1" applyFill="1" applyBorder="1" applyAlignment="1" applyProtection="1">
      <alignment wrapText="1"/>
      <protection hidden="1"/>
    </xf>
    <xf numFmtId="14" fontId="55" fillId="2" borderId="0" xfId="0" applyNumberFormat="1" applyFont="1" applyFill="1" applyBorder="1" applyAlignment="1" applyProtection="1">
      <alignment wrapText="1"/>
      <protection hidden="1"/>
    </xf>
    <xf numFmtId="4" fontId="55" fillId="2" borderId="0" xfId="0" applyNumberFormat="1" applyFont="1" applyFill="1" applyBorder="1" applyAlignment="1" applyProtection="1">
      <alignment wrapText="1"/>
      <protection hidden="1"/>
    </xf>
    <xf numFmtId="0" fontId="55" fillId="2" borderId="0" xfId="0" applyFont="1" applyFill="1" applyBorder="1" applyAlignment="1">
      <alignment wrapText="1"/>
    </xf>
    <xf numFmtId="4" fontId="55" fillId="2" borderId="0" xfId="0" applyNumberFormat="1" applyFont="1" applyFill="1" applyBorder="1" applyAlignment="1">
      <alignment wrapText="1"/>
    </xf>
    <xf numFmtId="0" fontId="55" fillId="2" borderId="0" xfId="0" applyNumberFormat="1" applyFont="1" applyFill="1" applyBorder="1" applyAlignment="1" applyProtection="1">
      <alignment wrapText="1"/>
      <protection hidden="1"/>
    </xf>
    <xf numFmtId="0" fontId="55" fillId="2" borderId="0" xfId="0" applyFont="1" applyFill="1" applyBorder="1" applyAlignment="1">
      <alignment vertical="top" wrapText="1"/>
    </xf>
    <xf numFmtId="0" fontId="53" fillId="2" borderId="0" xfId="0" applyFont="1" applyFill="1" applyBorder="1" applyAlignment="1">
      <alignment wrapText="1"/>
    </xf>
    <xf numFmtId="1" fontId="55" fillId="2" borderId="0" xfId="0" applyNumberFormat="1" applyFont="1" applyFill="1" applyBorder="1" applyAlignment="1" applyProtection="1">
      <alignment horizontal="left" wrapText="1"/>
      <protection hidden="1"/>
    </xf>
    <xf numFmtId="182" fontId="55" fillId="2" borderId="0" xfId="2" applyNumberFormat="1" applyFont="1" applyFill="1" applyBorder="1" applyAlignment="1" applyProtection="1">
      <alignment wrapText="1"/>
      <protection hidden="1"/>
    </xf>
    <xf numFmtId="0" fontId="55" fillId="2" borderId="0" xfId="0" applyFont="1" applyFill="1" applyBorder="1" applyAlignment="1">
      <alignment horizontal="left" vertical="top" wrapText="1"/>
    </xf>
    <xf numFmtId="164" fontId="55" fillId="2" borderId="0" xfId="0" applyNumberFormat="1" applyFont="1" applyFill="1" applyBorder="1" applyAlignment="1" applyProtection="1">
      <alignment wrapText="1"/>
      <protection hidden="1"/>
    </xf>
    <xf numFmtId="4" fontId="55" fillId="2" borderId="0" xfId="0" applyNumberFormat="1" applyFont="1" applyFill="1" applyBorder="1" applyAlignment="1">
      <alignment horizontal="left" vertical="top" wrapText="1"/>
    </xf>
    <xf numFmtId="184" fontId="56" fillId="2" borderId="0" xfId="1" applyNumberFormat="1" applyFont="1" applyFill="1" applyBorder="1" applyAlignment="1" applyProtection="1">
      <alignment horizontal="left" vertical="center" wrapText="1"/>
      <protection hidden="1"/>
    </xf>
    <xf numFmtId="172" fontId="53" fillId="2" borderId="0" xfId="0" applyNumberFormat="1" applyFont="1" applyFill="1" applyBorder="1" applyAlignment="1" applyProtection="1">
      <alignment wrapText="1"/>
      <protection hidden="1"/>
    </xf>
    <xf numFmtId="164" fontId="53" fillId="2" borderId="0" xfId="0" applyNumberFormat="1" applyFont="1" applyFill="1" applyBorder="1" applyAlignment="1" applyProtection="1">
      <alignment wrapText="1"/>
      <protection hidden="1"/>
    </xf>
    <xf numFmtId="182" fontId="53" fillId="2" borderId="0" xfId="0" applyNumberFormat="1" applyFont="1" applyFill="1" applyBorder="1" applyAlignment="1" applyProtection="1">
      <protection hidden="1"/>
    </xf>
    <xf numFmtId="182" fontId="53" fillId="2" borderId="0" xfId="0" applyNumberFormat="1" applyFont="1" applyFill="1" applyBorder="1" applyAlignment="1" applyProtection="1">
      <alignment wrapText="1"/>
      <protection hidden="1"/>
    </xf>
    <xf numFmtId="0" fontId="49" fillId="2" borderId="0" xfId="0" applyNumberFormat="1" applyFont="1" applyFill="1" applyBorder="1" applyAlignment="1" applyProtection="1">
      <protection hidden="1"/>
    </xf>
    <xf numFmtId="0" fontId="57" fillId="2" borderId="0" xfId="0" applyNumberFormat="1" applyFont="1" applyFill="1" applyBorder="1" applyAlignment="1" applyProtection="1">
      <protection hidden="1"/>
    </xf>
    <xf numFmtId="0" fontId="58" fillId="2" borderId="0" xfId="0" applyNumberFormat="1" applyFont="1" applyFill="1" applyBorder="1" applyAlignment="1" applyProtection="1">
      <protection hidden="1"/>
    </xf>
    <xf numFmtId="0" fontId="58" fillId="2" borderId="0" xfId="0" applyNumberFormat="1" applyFont="1" applyFill="1" applyBorder="1" applyAlignment="1" applyProtection="1">
      <alignment horizontal="center" vertical="center"/>
      <protection hidden="1"/>
    </xf>
    <xf numFmtId="0" fontId="55" fillId="2" borderId="0" xfId="0" applyNumberFormat="1" applyFont="1" applyFill="1" applyBorder="1" applyAlignment="1" applyProtection="1">
      <protection hidden="1"/>
    </xf>
    <xf numFmtId="0" fontId="5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9" fillId="2" borderId="0" xfId="0" applyNumberFormat="1" applyFont="1" applyFill="1" applyBorder="1" applyAlignment="1" applyProtection="1">
      <alignment horizontal="centerContinuous" vertical="center"/>
      <protection hidden="1"/>
    </xf>
    <xf numFmtId="0" fontId="59" fillId="2" borderId="0" xfId="0" applyNumberFormat="1" applyFont="1" applyFill="1" applyBorder="1" applyAlignment="1" applyProtection="1">
      <alignment horizontal="centerContinuous"/>
      <protection hidden="1"/>
    </xf>
    <xf numFmtId="0" fontId="59" fillId="2" borderId="0" xfId="0" applyNumberFormat="1" applyFont="1" applyFill="1" applyBorder="1" applyAlignment="1" applyProtection="1">
      <alignment horizontal="center" wrapText="1"/>
      <protection hidden="1"/>
    </xf>
    <xf numFmtId="0" fontId="59" fillId="2" borderId="0" xfId="0" applyNumberFormat="1" applyFont="1" applyFill="1" applyBorder="1" applyAlignment="1" applyProtection="1">
      <alignment horizontal="center"/>
      <protection hidden="1"/>
    </xf>
    <xf numFmtId="0" fontId="5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9" fillId="2" borderId="0" xfId="0" applyNumberFormat="1" applyFont="1" applyFill="1" applyBorder="1" applyAlignment="1" applyProtection="1">
      <alignment horizontal="centerContinuous"/>
      <protection hidden="1"/>
    </xf>
    <xf numFmtId="0" fontId="53" fillId="2" borderId="0" xfId="0" applyNumberFormat="1" applyFont="1" applyFill="1" applyBorder="1" applyAlignment="1" applyProtection="1">
      <alignment horizontal="center" vertical="center"/>
      <protection hidden="1"/>
    </xf>
    <xf numFmtId="3" fontId="55" fillId="2" borderId="0" xfId="0" applyNumberFormat="1" applyFont="1" applyFill="1" applyBorder="1"/>
    <xf numFmtId="4" fontId="49" fillId="2" borderId="0" xfId="0" applyNumberFormat="1" applyFont="1" applyFill="1" applyBorder="1"/>
    <xf numFmtId="0" fontId="55" fillId="2" borderId="0" xfId="0" applyFont="1" applyFill="1" applyBorder="1"/>
    <xf numFmtId="172" fontId="51" fillId="2" borderId="0" xfId="0" applyNumberFormat="1" applyFont="1" applyFill="1" applyBorder="1" applyAlignment="1" applyProtection="1">
      <alignment wrapText="1"/>
      <protection hidden="1"/>
    </xf>
    <xf numFmtId="182" fontId="55" fillId="2" borderId="0" xfId="2" applyNumberFormat="1" applyFont="1" applyFill="1" applyBorder="1" applyAlignment="1" applyProtection="1">
      <protection hidden="1"/>
    </xf>
    <xf numFmtId="4" fontId="60" fillId="2" borderId="0" xfId="0" applyNumberFormat="1" applyFont="1" applyFill="1" applyBorder="1"/>
    <xf numFmtId="182" fontId="60" fillId="2" borderId="0" xfId="0" applyNumberFormat="1" applyFont="1" applyFill="1" applyBorder="1" applyAlignment="1" applyProtection="1">
      <protection hidden="1"/>
    </xf>
    <xf numFmtId="0" fontId="55" fillId="2" borderId="0" xfId="0" applyFont="1" applyFill="1" applyBorder="1" applyAlignment="1">
      <alignment horizontal="left" wrapText="1"/>
    </xf>
    <xf numFmtId="0" fontId="55" fillId="2" borderId="0" xfId="0" applyFont="1" applyFill="1" applyBorder="1" applyAlignment="1">
      <alignment horizontal="left" vertical="top" wrapText="1"/>
    </xf>
    <xf numFmtId="0" fontId="61" fillId="2" borderId="0" xfId="0" applyNumberFormat="1" applyFont="1" applyFill="1" applyBorder="1" applyAlignment="1" applyProtection="1">
      <protection hidden="1"/>
    </xf>
    <xf numFmtId="182" fontId="57" fillId="2" borderId="0" xfId="0" applyNumberFormat="1" applyFont="1" applyFill="1" applyBorder="1" applyAlignment="1" applyProtection="1">
      <protection hidden="1"/>
    </xf>
    <xf numFmtId="0" fontId="57" fillId="2" borderId="0" xfId="0" applyFont="1" applyFill="1" applyBorder="1"/>
    <xf numFmtId="183" fontId="62" fillId="2" borderId="0" xfId="1" applyFont="1" applyFill="1" applyBorder="1" applyAlignment="1" applyProtection="1">
      <protection hidden="1"/>
    </xf>
    <xf numFmtId="183" fontId="62" fillId="2" borderId="0" xfId="1" applyFont="1" applyFill="1" applyBorder="1" applyAlignment="1" applyProtection="1">
      <alignment horizontal="center" vertical="center"/>
      <protection hidden="1"/>
    </xf>
    <xf numFmtId="183" fontId="62" fillId="12" borderId="0" xfId="1" applyFont="1" applyFill="1" applyBorder="1" applyAlignment="1" applyProtection="1">
      <protection hidden="1"/>
    </xf>
    <xf numFmtId="183" fontId="63" fillId="2" borderId="0" xfId="1" applyFont="1" applyFill="1" applyBorder="1" applyAlignment="1" applyProtection="1">
      <protection hidden="1"/>
    </xf>
    <xf numFmtId="183" fontId="64" fillId="2" borderId="0" xfId="1" applyFont="1" applyFill="1" applyBorder="1" applyAlignment="1" applyProtection="1">
      <protection hidden="1"/>
    </xf>
    <xf numFmtId="183" fontId="64" fillId="12" borderId="0" xfId="1" applyFont="1" applyFill="1" applyBorder="1" applyAlignment="1" applyProtection="1">
      <protection hidden="1"/>
    </xf>
    <xf numFmtId="184" fontId="54" fillId="2" borderId="0" xfId="1" applyNumberFormat="1" applyFont="1" applyFill="1" applyBorder="1" applyAlignment="1" applyProtection="1">
      <alignment wrapText="1"/>
      <protection hidden="1"/>
    </xf>
    <xf numFmtId="183" fontId="64" fillId="13" borderId="0" xfId="1" applyFont="1" applyFill="1" applyBorder="1" applyAlignment="1"/>
    <xf numFmtId="183" fontId="64" fillId="2" borderId="0" xfId="1" applyFont="1" applyFill="1" applyBorder="1" applyAlignment="1"/>
    <xf numFmtId="4" fontId="64" fillId="2" borderId="0" xfId="1" applyNumberFormat="1" applyFont="1" applyFill="1" applyBorder="1" applyAlignment="1"/>
    <xf numFmtId="4" fontId="54" fillId="2" borderId="0" xfId="1" applyNumberFormat="1" applyFont="1" applyFill="1" applyBorder="1" applyAlignment="1" applyProtection="1">
      <protection hidden="1"/>
    </xf>
    <xf numFmtId="184" fontId="56" fillId="7" borderId="0" xfId="1" applyNumberFormat="1" applyFont="1" applyFill="1" applyBorder="1" applyAlignment="1" applyProtection="1">
      <alignment horizontal="left" vertical="center" wrapText="1"/>
      <protection hidden="1"/>
    </xf>
    <xf numFmtId="185" fontId="56" fillId="7" borderId="0" xfId="1" applyNumberFormat="1" applyFont="1" applyFill="1" applyBorder="1" applyAlignment="1">
      <alignment horizontal="left" vertical="center"/>
    </xf>
    <xf numFmtId="186" fontId="56" fillId="7" borderId="0" xfId="1" applyNumberFormat="1" applyFont="1" applyFill="1" applyBorder="1" applyAlignment="1">
      <alignment horizontal="left" vertical="center"/>
    </xf>
    <xf numFmtId="183" fontId="56" fillId="7" borderId="0" xfId="1" applyFont="1" applyFill="1" applyBorder="1" applyAlignment="1">
      <alignment horizontal="left" vertical="center" wrapText="1"/>
    </xf>
    <xf numFmtId="4" fontId="56" fillId="7" borderId="0" xfId="1" applyNumberFormat="1" applyFont="1" applyFill="1" applyBorder="1" applyAlignment="1">
      <alignment horizontal="left" vertical="center"/>
    </xf>
    <xf numFmtId="4" fontId="56" fillId="7" borderId="0" xfId="1" applyNumberFormat="1" applyFont="1" applyFill="1" applyBorder="1" applyAlignment="1" applyProtection="1">
      <alignment horizontal="left" vertical="center"/>
      <protection hidden="1"/>
    </xf>
    <xf numFmtId="4" fontId="56" fillId="7" borderId="0" xfId="1" applyNumberFormat="1" applyFont="1" applyFill="1" applyBorder="1" applyAlignment="1">
      <alignment horizontal="left" vertical="center" wrapText="1"/>
    </xf>
    <xf numFmtId="184" fontId="56" fillId="8" borderId="0" xfId="1" applyNumberFormat="1" applyFont="1" applyFill="1" applyBorder="1" applyAlignment="1" applyProtection="1">
      <alignment horizontal="left" vertical="center" wrapText="1"/>
      <protection hidden="1"/>
    </xf>
    <xf numFmtId="185" fontId="56" fillId="8" borderId="0" xfId="1" applyNumberFormat="1" applyFont="1" applyFill="1" applyBorder="1" applyAlignment="1">
      <alignment horizontal="left" vertical="center"/>
    </xf>
    <xf numFmtId="186" fontId="56" fillId="8" borderId="0" xfId="1" applyNumberFormat="1" applyFont="1" applyFill="1" applyBorder="1" applyAlignment="1">
      <alignment horizontal="left" vertical="center"/>
    </xf>
    <xf numFmtId="49" fontId="56" fillId="8" borderId="0" xfId="1" applyNumberFormat="1" applyFont="1" applyFill="1" applyBorder="1" applyAlignment="1">
      <alignment horizontal="left" vertical="center"/>
    </xf>
    <xf numFmtId="183" fontId="56" fillId="8" borderId="0" xfId="1" applyFont="1" applyFill="1" applyBorder="1" applyAlignment="1">
      <alignment horizontal="left" vertical="center" wrapText="1"/>
    </xf>
    <xf numFmtId="4" fontId="56" fillId="8" borderId="0" xfId="1" applyNumberFormat="1" applyFont="1" applyFill="1" applyBorder="1" applyAlignment="1">
      <alignment horizontal="left" vertical="center" wrapText="1"/>
    </xf>
    <xf numFmtId="4" fontId="56" fillId="8" borderId="0" xfId="1" applyNumberFormat="1" applyFont="1" applyFill="1" applyBorder="1" applyAlignment="1" applyProtection="1">
      <alignment horizontal="left" vertical="center"/>
      <protection hidden="1"/>
    </xf>
    <xf numFmtId="170" fontId="55" fillId="2" borderId="0" xfId="12" applyNumberFormat="1" applyFont="1" applyFill="1" applyBorder="1" applyAlignment="1" applyProtection="1">
      <protection hidden="1"/>
    </xf>
    <xf numFmtId="166" fontId="55" fillId="2" borderId="0" xfId="12" applyNumberFormat="1" applyFont="1" applyFill="1" applyBorder="1" applyAlignment="1" applyProtection="1">
      <protection hidden="1"/>
    </xf>
    <xf numFmtId="164" fontId="55" fillId="2" borderId="0" xfId="12" applyNumberFormat="1" applyFont="1" applyFill="1" applyBorder="1" applyAlignment="1" applyProtection="1">
      <protection hidden="1"/>
    </xf>
    <xf numFmtId="185" fontId="56" fillId="2" borderId="0" xfId="1" applyNumberFormat="1" applyFont="1" applyFill="1" applyBorder="1" applyAlignment="1">
      <alignment horizontal="left" vertical="center"/>
    </xf>
    <xf numFmtId="186" fontId="56" fillId="2" borderId="0" xfId="1" applyNumberFormat="1" applyFont="1" applyFill="1" applyBorder="1" applyAlignment="1">
      <alignment horizontal="left" vertical="center"/>
    </xf>
    <xf numFmtId="187" fontId="56" fillId="2" borderId="0" xfId="1" applyNumberFormat="1" applyFont="1" applyFill="1" applyBorder="1" applyAlignment="1">
      <alignment horizontal="left" vertical="center"/>
    </xf>
    <xf numFmtId="183" fontId="56" fillId="2" borderId="0" xfId="1" applyFont="1" applyFill="1" applyBorder="1" applyAlignment="1">
      <alignment horizontal="left" vertical="center" wrapText="1"/>
    </xf>
    <xf numFmtId="4" fontId="56" fillId="2" borderId="0" xfId="1" applyNumberFormat="1" applyFont="1" applyFill="1" applyBorder="1" applyAlignment="1">
      <alignment horizontal="left" vertical="center" wrapText="1"/>
    </xf>
    <xf numFmtId="4" fontId="56" fillId="2" borderId="0" xfId="1" applyNumberFormat="1" applyFont="1" applyFill="1" applyBorder="1" applyAlignment="1" applyProtection="1">
      <alignment horizontal="left" vertical="center"/>
      <protection hidden="1"/>
    </xf>
    <xf numFmtId="184" fontId="56" fillId="9" borderId="0" xfId="1" applyNumberFormat="1" applyFont="1" applyFill="1" applyBorder="1" applyAlignment="1" applyProtection="1">
      <alignment horizontal="left" vertical="center" wrapText="1"/>
      <protection hidden="1"/>
    </xf>
    <xf numFmtId="185" fontId="56" fillId="9" borderId="0" xfId="1" applyNumberFormat="1" applyFont="1" applyFill="1" applyBorder="1" applyAlignment="1">
      <alignment horizontal="left" vertical="center"/>
    </xf>
    <xf numFmtId="186" fontId="56" fillId="9" borderId="0" xfId="1" applyNumberFormat="1" applyFont="1" applyFill="1" applyBorder="1" applyAlignment="1">
      <alignment horizontal="left" vertical="center"/>
    </xf>
    <xf numFmtId="187" fontId="56" fillId="9" borderId="0" xfId="1" applyNumberFormat="1" applyFont="1" applyFill="1" applyBorder="1" applyAlignment="1">
      <alignment horizontal="left" vertical="center"/>
    </xf>
    <xf numFmtId="183" fontId="56" fillId="9" borderId="0" xfId="1" applyFont="1" applyFill="1" applyBorder="1" applyAlignment="1">
      <alignment horizontal="left" vertical="center" wrapText="1"/>
    </xf>
    <xf numFmtId="4" fontId="56" fillId="9" borderId="0" xfId="1" applyNumberFormat="1" applyFont="1" applyFill="1" applyBorder="1" applyAlignment="1">
      <alignment horizontal="left" vertical="center" wrapText="1"/>
    </xf>
    <xf numFmtId="4" fontId="56" fillId="9" borderId="0" xfId="1" applyNumberFormat="1" applyFont="1" applyFill="1" applyBorder="1" applyAlignment="1" applyProtection="1">
      <alignment horizontal="left" vertical="center"/>
      <protection hidden="1"/>
    </xf>
    <xf numFmtId="184" fontId="56" fillId="10" borderId="0" xfId="1" applyNumberFormat="1" applyFont="1" applyFill="1" applyBorder="1" applyAlignment="1" applyProtection="1">
      <alignment horizontal="left" vertical="center" wrapText="1"/>
      <protection hidden="1"/>
    </xf>
    <xf numFmtId="185" fontId="56" fillId="10" borderId="0" xfId="1" applyNumberFormat="1" applyFont="1" applyFill="1" applyBorder="1" applyAlignment="1">
      <alignment horizontal="left" vertical="center"/>
    </xf>
    <xf numFmtId="186" fontId="56" fillId="10" borderId="0" xfId="1" applyNumberFormat="1" applyFont="1" applyFill="1" applyBorder="1" applyAlignment="1">
      <alignment horizontal="left" vertical="center"/>
    </xf>
    <xf numFmtId="187" fontId="56" fillId="10" borderId="0" xfId="1" applyNumberFormat="1" applyFont="1" applyFill="1" applyBorder="1" applyAlignment="1">
      <alignment horizontal="left" vertical="center"/>
    </xf>
    <xf numFmtId="183" fontId="56" fillId="10" borderId="0" xfId="1" applyFont="1" applyFill="1" applyBorder="1" applyAlignment="1">
      <alignment horizontal="left" vertical="center" wrapText="1"/>
    </xf>
    <xf numFmtId="4" fontId="56" fillId="10" borderId="0" xfId="1" applyNumberFormat="1" applyFont="1" applyFill="1" applyBorder="1" applyAlignment="1">
      <alignment horizontal="left" vertical="center" wrapText="1"/>
    </xf>
    <xf numFmtId="4" fontId="56" fillId="10" borderId="0" xfId="1" applyNumberFormat="1" applyFont="1" applyFill="1" applyBorder="1" applyAlignment="1" applyProtection="1">
      <alignment horizontal="left" vertical="center"/>
      <protection hidden="1"/>
    </xf>
    <xf numFmtId="4" fontId="65" fillId="9" borderId="0" xfId="1" applyNumberFormat="1" applyFont="1" applyFill="1" applyBorder="1" applyAlignment="1" applyProtection="1">
      <alignment horizontal="left" vertical="center" wrapText="1"/>
      <protection hidden="1"/>
    </xf>
    <xf numFmtId="4" fontId="56" fillId="2" borderId="0" xfId="1" applyNumberFormat="1" applyFont="1" applyFill="1" applyBorder="1" applyAlignment="1">
      <alignment horizontal="left" vertical="center"/>
    </xf>
    <xf numFmtId="164" fontId="55" fillId="2" borderId="0" xfId="0" applyNumberFormat="1" applyFont="1" applyFill="1" applyBorder="1" applyAlignment="1" applyProtection="1">
      <protection hidden="1"/>
    </xf>
    <xf numFmtId="4" fontId="56" fillId="2" borderId="0" xfId="1" applyNumberFormat="1" applyFont="1" applyFill="1" applyBorder="1" applyAlignment="1">
      <alignment wrapText="1"/>
    </xf>
    <xf numFmtId="2" fontId="56" fillId="2" borderId="0" xfId="1" applyNumberFormat="1" applyFont="1" applyFill="1" applyBorder="1" applyAlignment="1">
      <alignment horizontal="left" vertical="center" wrapText="1"/>
    </xf>
    <xf numFmtId="186" fontId="67" fillId="2" borderId="0" xfId="0" applyNumberFormat="1" applyFont="1" applyFill="1" applyBorder="1" applyAlignment="1">
      <alignment horizontal="left" vertical="center"/>
    </xf>
    <xf numFmtId="183" fontId="67" fillId="2" borderId="0" xfId="1" applyFont="1" applyFill="1" applyBorder="1" applyAlignment="1">
      <alignment horizontal="left" vertical="center" wrapText="1"/>
    </xf>
    <xf numFmtId="0" fontId="67" fillId="2" borderId="0" xfId="0" applyFont="1" applyFill="1" applyBorder="1" applyAlignment="1">
      <alignment horizontal="left" vertical="center"/>
    </xf>
    <xf numFmtId="188" fontId="67" fillId="2" borderId="0" xfId="2" applyNumberFormat="1" applyFont="1" applyFill="1" applyBorder="1" applyAlignment="1" applyProtection="1">
      <alignment horizontal="left" vertical="center"/>
      <protection hidden="1"/>
    </xf>
    <xf numFmtId="165" fontId="67" fillId="2" borderId="0" xfId="2" applyNumberFormat="1" applyFont="1" applyFill="1" applyBorder="1" applyAlignment="1" applyProtection="1">
      <alignment horizontal="left" vertical="center"/>
      <protection hidden="1"/>
    </xf>
    <xf numFmtId="184" fontId="56" fillId="14" borderId="0" xfId="1" applyNumberFormat="1" applyFont="1" applyFill="1" applyBorder="1" applyAlignment="1" applyProtection="1">
      <alignment horizontal="left" vertical="center" wrapText="1"/>
      <protection hidden="1"/>
    </xf>
    <xf numFmtId="185" fontId="56" fillId="14" borderId="0" xfId="1" applyNumberFormat="1" applyFont="1" applyFill="1" applyBorder="1" applyAlignment="1">
      <alignment horizontal="left" vertical="center"/>
    </xf>
    <xf numFmtId="186" fontId="56" fillId="14" borderId="0" xfId="1" applyNumberFormat="1" applyFont="1" applyFill="1" applyBorder="1" applyAlignment="1">
      <alignment horizontal="left" vertical="center"/>
    </xf>
    <xf numFmtId="188" fontId="67" fillId="14" borderId="0" xfId="2" applyNumberFormat="1" applyFont="1" applyFill="1" applyBorder="1" applyAlignment="1" applyProtection="1">
      <alignment horizontal="left" vertical="center"/>
      <protection hidden="1"/>
    </xf>
    <xf numFmtId="165" fontId="67" fillId="14" borderId="0" xfId="2" applyNumberFormat="1" applyFont="1" applyFill="1" applyBorder="1" applyAlignment="1" applyProtection="1">
      <alignment horizontal="left" vertical="center"/>
      <protection hidden="1"/>
    </xf>
    <xf numFmtId="183" fontId="56" fillId="14" borderId="0" xfId="1" applyFont="1" applyFill="1" applyBorder="1" applyAlignment="1">
      <alignment horizontal="left" vertical="center" wrapText="1"/>
    </xf>
    <xf numFmtId="4" fontId="56" fillId="14" borderId="0" xfId="1" applyNumberFormat="1" applyFont="1" applyFill="1" applyBorder="1" applyAlignment="1">
      <alignment horizontal="left" vertical="center"/>
    </xf>
    <xf numFmtId="188" fontId="69" fillId="2" borderId="0" xfId="2" applyNumberFormat="1" applyFont="1" applyFill="1" applyBorder="1" applyAlignment="1" applyProtection="1">
      <alignment horizontal="left" vertical="center"/>
      <protection hidden="1"/>
    </xf>
    <xf numFmtId="4" fontId="67" fillId="2" borderId="0" xfId="2" applyNumberFormat="1" applyFont="1" applyFill="1" applyBorder="1" applyAlignment="1" applyProtection="1">
      <alignment horizontal="left" vertical="center" wrapText="1"/>
      <protection hidden="1"/>
    </xf>
    <xf numFmtId="2" fontId="55" fillId="2" borderId="0" xfId="0" applyNumberFormat="1" applyFont="1" applyFill="1" applyBorder="1" applyAlignment="1">
      <alignment wrapText="1"/>
    </xf>
    <xf numFmtId="4" fontId="67" fillId="2" borderId="0" xfId="2" applyNumberFormat="1" applyFont="1" applyFill="1" applyBorder="1" applyAlignment="1" applyProtection="1">
      <alignment horizontal="left" vertical="center"/>
      <protection hidden="1"/>
    </xf>
    <xf numFmtId="189" fontId="67" fillId="2" borderId="0" xfId="2" applyNumberFormat="1" applyFont="1" applyFill="1" applyBorder="1" applyAlignment="1" applyProtection="1">
      <alignment horizontal="left" vertical="center"/>
      <protection hidden="1"/>
    </xf>
    <xf numFmtId="190" fontId="67" fillId="2" borderId="0" xfId="2" applyNumberFormat="1" applyFont="1" applyFill="1" applyBorder="1" applyAlignment="1" applyProtection="1">
      <alignment horizontal="left" vertical="center" wrapText="1"/>
      <protection hidden="1"/>
    </xf>
    <xf numFmtId="2" fontId="70" fillId="2" borderId="0" xfId="0" applyNumberFormat="1" applyFont="1" applyFill="1" applyBorder="1" applyAlignment="1">
      <alignment wrapText="1"/>
    </xf>
    <xf numFmtId="2" fontId="70" fillId="2" borderId="0" xfId="0" applyNumberFormat="1" applyFont="1" applyFill="1" applyBorder="1" applyAlignment="1">
      <alignment wrapText="1"/>
    </xf>
    <xf numFmtId="184" fontId="67" fillId="2" borderId="0" xfId="2" applyNumberFormat="1" applyFont="1" applyFill="1" applyBorder="1" applyAlignment="1" applyProtection="1">
      <alignment horizontal="left" vertical="center" wrapText="1"/>
      <protection hidden="1"/>
    </xf>
    <xf numFmtId="191" fontId="67" fillId="2" borderId="0" xfId="2" applyNumberFormat="1" applyFont="1" applyFill="1" applyBorder="1" applyAlignment="1" applyProtection="1">
      <alignment horizontal="left" vertical="center"/>
      <protection hidden="1"/>
    </xf>
    <xf numFmtId="192" fontId="67" fillId="2" borderId="0" xfId="2" applyNumberFormat="1" applyFont="1" applyFill="1" applyBorder="1" applyAlignment="1" applyProtection="1">
      <alignment horizontal="left" vertical="center"/>
      <protection hidden="1"/>
    </xf>
    <xf numFmtId="193" fontId="67" fillId="2" borderId="0" xfId="2" applyNumberFormat="1" applyFont="1" applyFill="1" applyBorder="1" applyAlignment="1" applyProtection="1">
      <alignment horizontal="left" vertical="center"/>
      <protection hidden="1"/>
    </xf>
    <xf numFmtId="194" fontId="56" fillId="2" borderId="0" xfId="1" applyNumberFormat="1" applyFont="1" applyFill="1" applyBorder="1" applyAlignment="1">
      <alignment horizontal="left" vertical="center" wrapText="1"/>
    </xf>
    <xf numFmtId="183" fontId="56" fillId="2" borderId="0" xfId="1" applyFont="1" applyFill="1" applyBorder="1" applyAlignment="1">
      <alignment horizontal="left" vertical="top" wrapText="1"/>
    </xf>
    <xf numFmtId="184" fontId="67" fillId="11" borderId="0" xfId="2" applyNumberFormat="1" applyFont="1" applyFill="1" applyBorder="1" applyAlignment="1" applyProtection="1">
      <alignment horizontal="left" vertical="center" wrapText="1"/>
      <protection hidden="1"/>
    </xf>
    <xf numFmtId="184" fontId="56" fillId="11" borderId="0" xfId="1" applyNumberFormat="1" applyFont="1" applyFill="1" applyBorder="1" applyAlignment="1" applyProtection="1">
      <alignment horizontal="left" vertical="center" wrapText="1"/>
      <protection hidden="1"/>
    </xf>
    <xf numFmtId="185" fontId="56" fillId="11" borderId="0" xfId="1" applyNumberFormat="1" applyFont="1" applyFill="1" applyBorder="1" applyAlignment="1">
      <alignment horizontal="left" vertical="center"/>
    </xf>
    <xf numFmtId="191" fontId="67" fillId="11" borderId="0" xfId="2" applyNumberFormat="1" applyFont="1" applyFill="1" applyBorder="1" applyAlignment="1" applyProtection="1">
      <alignment horizontal="left" vertical="center"/>
      <protection hidden="1"/>
    </xf>
    <xf numFmtId="192" fontId="67" fillId="11" borderId="0" xfId="2" applyNumberFormat="1" applyFont="1" applyFill="1" applyBorder="1" applyAlignment="1" applyProtection="1">
      <alignment horizontal="left" vertical="center"/>
      <protection hidden="1"/>
    </xf>
    <xf numFmtId="188" fontId="67" fillId="11" borderId="0" xfId="2" applyNumberFormat="1" applyFont="1" applyFill="1" applyBorder="1" applyAlignment="1" applyProtection="1">
      <alignment horizontal="left" vertical="center"/>
      <protection hidden="1"/>
    </xf>
    <xf numFmtId="165" fontId="67" fillId="11" borderId="0" xfId="2" applyNumberFormat="1" applyFont="1" applyFill="1" applyBorder="1" applyAlignment="1" applyProtection="1">
      <alignment horizontal="left" vertical="center"/>
      <protection hidden="1"/>
    </xf>
    <xf numFmtId="190" fontId="67" fillId="11" borderId="0" xfId="2" applyNumberFormat="1" applyFont="1" applyFill="1" applyBorder="1" applyAlignment="1" applyProtection="1">
      <alignment horizontal="left" vertical="center" wrapText="1"/>
      <protection hidden="1"/>
    </xf>
    <xf numFmtId="193" fontId="67" fillId="11" borderId="0" xfId="2" applyNumberFormat="1" applyFont="1" applyFill="1" applyBorder="1" applyAlignment="1" applyProtection="1">
      <alignment horizontal="left" vertical="center"/>
      <protection hidden="1"/>
    </xf>
    <xf numFmtId="194" fontId="56" fillId="11" borderId="0" xfId="1" applyNumberFormat="1" applyFont="1" applyFill="1" applyBorder="1" applyAlignment="1">
      <alignment horizontal="left" vertical="center" wrapText="1"/>
    </xf>
    <xf numFmtId="183" fontId="56" fillId="11" borderId="0" xfId="1" applyFont="1" applyFill="1" applyBorder="1" applyAlignment="1">
      <alignment horizontal="left" vertical="center" wrapText="1"/>
    </xf>
    <xf numFmtId="4" fontId="56" fillId="11" borderId="0" xfId="1" applyNumberFormat="1" applyFont="1" applyFill="1" applyBorder="1" applyAlignment="1">
      <alignment horizontal="left" vertical="center"/>
    </xf>
    <xf numFmtId="4" fontId="56" fillId="11" borderId="0" xfId="1" applyNumberFormat="1" applyFont="1" applyFill="1" applyBorder="1" applyAlignment="1" applyProtection="1">
      <alignment horizontal="left" vertical="center"/>
      <protection hidden="1"/>
    </xf>
    <xf numFmtId="183" fontId="56" fillId="2" borderId="0" xfId="1" applyFont="1" applyFill="1" applyBorder="1" applyAlignment="1" applyProtection="1">
      <protection hidden="1"/>
    </xf>
    <xf numFmtId="193" fontId="56" fillId="2" borderId="0" xfId="1" applyNumberFormat="1" applyFont="1" applyFill="1" applyBorder="1" applyAlignment="1" applyProtection="1">
      <protection hidden="1"/>
    </xf>
    <xf numFmtId="0" fontId="71" fillId="2" borderId="0" xfId="0" applyFont="1" applyFill="1" applyBorder="1"/>
    <xf numFmtId="195" fontId="55" fillId="2" borderId="0" xfId="0" applyNumberFormat="1" applyFont="1" applyFill="1" applyBorder="1"/>
    <xf numFmtId="4" fontId="70" fillId="2" borderId="0" xfId="0" applyNumberFormat="1" applyFont="1" applyFill="1" applyBorder="1"/>
    <xf numFmtId="4" fontId="49" fillId="2" borderId="0" xfId="0" applyNumberFormat="1" applyFont="1" applyFill="1" applyBorder="1" applyAlignment="1">
      <alignment wrapText="1"/>
    </xf>
    <xf numFmtId="0" fontId="71" fillId="2" borderId="0" xfId="0" applyFont="1" applyFill="1" applyBorder="1" applyAlignment="1">
      <alignment horizontal="left"/>
    </xf>
    <xf numFmtId="0" fontId="49" fillId="2" borderId="0" xfId="0" applyFont="1" applyFill="1" applyBorder="1" applyAlignment="1">
      <alignment horizontal="left"/>
    </xf>
    <xf numFmtId="195" fontId="49" fillId="2" borderId="0" xfId="0" applyNumberFormat="1" applyFont="1" applyFill="1" applyBorder="1"/>
    <xf numFmtId="0" fontId="71" fillId="2" borderId="0" xfId="0" applyFont="1" applyFill="1" applyBorder="1" applyAlignment="1">
      <alignment horizontal="left"/>
    </xf>
    <xf numFmtId="0" fontId="72" fillId="2" borderId="0" xfId="0" applyFont="1" applyFill="1" applyBorder="1"/>
    <xf numFmtId="4" fontId="71" fillId="2" borderId="0" xfId="0" applyNumberFormat="1" applyFont="1" applyFill="1" applyBorder="1"/>
    <xf numFmtId="0" fontId="49" fillId="2" borderId="0" xfId="0" applyFont="1" applyFill="1" applyBorder="1" applyAlignment="1">
      <alignment wrapText="1"/>
    </xf>
    <xf numFmtId="0" fontId="71" fillId="2" borderId="0" xfId="0" applyFont="1" applyFill="1" applyBorder="1" applyAlignment="1">
      <alignment horizontal="left" wrapText="1"/>
    </xf>
    <xf numFmtId="2" fontId="56" fillId="2" borderId="0" xfId="1" applyNumberFormat="1" applyFont="1" applyFill="1" applyBorder="1" applyAlignment="1">
      <alignment horizontal="left" vertical="center" wrapText="1"/>
    </xf>
    <xf numFmtId="2" fontId="73" fillId="2" borderId="0" xfId="1" applyNumberFormat="1" applyFont="1" applyFill="1" applyBorder="1" applyAlignment="1">
      <alignment vertical="center" wrapText="1"/>
    </xf>
    <xf numFmtId="2" fontId="56" fillId="2" borderId="0" xfId="1" applyNumberFormat="1" applyFont="1" applyFill="1" applyBorder="1" applyAlignment="1">
      <alignment vertical="center" wrapText="1"/>
    </xf>
  </cellXfs>
  <cellStyles count="16">
    <cellStyle name="Excel Built-in Normal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 3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_tmp" xfId="12"/>
    <cellStyle name="Обычный_Tmp1" xfId="13"/>
    <cellStyle name="Обычный_Tmp2" xfId="14"/>
    <cellStyle name="Обычный_Tmp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73;&#1102;&#1076;&#1078;&#1077;&#1090;%20&#1085;&#1072;%202022/&#1041;&#1102;&#1076;&#1078;&#1077;&#1090;%20&#1085;&#1072;%2022%20&#1047;&#1056;/&#1041;&#1102;&#1076;&#1078;&#1077;&#1090;%20&#1085;&#1072;%202022-2024&#1075;&#1075;/&#1056;&#1057;&#1044;%20&#1085;&#1072;%2022/&#1042;%20&#1089;&#1095;.%20&#1087;&#1072;&#1083;&#1072;&#1090;&#1091;%20-%20&#1075;&#1086;&#1090;&#1086;&#1074;&#1086;/1.%204,5,6%20%20&#1076;&#1083;&#1103;%20&#1089;&#1095;.%20&#1087;&#1072;&#1083;&#1072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4"/>
      <sheetName val="Прил. 5"/>
      <sheetName val="Прил. 6"/>
      <sheetName val="Анализ для депфина"/>
      <sheetName val="Проект на 20-22г отраб.с ДФ "/>
      <sheetName val="4"/>
      <sheetName val="до 1 знака"/>
      <sheetName val="Лист1"/>
      <sheetName val="Лист3"/>
    </sheetNames>
    <sheetDataSet>
      <sheetData sheetId="0" refreshError="1"/>
      <sheetData sheetId="1" refreshError="1"/>
      <sheetData sheetId="2" refreshError="1">
        <row r="43">
          <cell r="A43" t="str">
            <v>Основное мероприятие: 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здоровья.</v>
          </cell>
        </row>
        <row r="47">
          <cell r="A47" t="str">
            <v>Основное мероприятие: Укрепление пожарной безопасности в поселении.</v>
          </cell>
        </row>
        <row r="92">
          <cell r="D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A24" workbookViewId="0">
      <selection activeCell="A48" sqref="A48:XFD48"/>
    </sheetView>
  </sheetViews>
  <sheetFormatPr defaultColWidth="8" defaultRowHeight="13.2"/>
  <cols>
    <col min="1" max="1" width="53.33203125" style="244" customWidth="1"/>
    <col min="2" max="3" width="5.88671875" style="244" customWidth="1"/>
    <col min="4" max="4" width="19" style="245" customWidth="1"/>
    <col min="5" max="6" width="15.33203125" style="245" customWidth="1"/>
    <col min="7" max="7" width="10.109375" style="244" hidden="1" customWidth="1"/>
    <col min="8" max="9" width="0" style="244" hidden="1" customWidth="1"/>
    <col min="10" max="12" width="11.44140625" style="244" hidden="1" customWidth="1"/>
    <col min="13" max="16" width="0" style="244" hidden="1" customWidth="1"/>
    <col min="17" max="256" width="8" style="244"/>
    <col min="257" max="257" width="53.33203125" style="244" customWidth="1"/>
    <col min="258" max="259" width="5.88671875" style="244" customWidth="1"/>
    <col min="260" max="260" width="19" style="244" customWidth="1"/>
    <col min="261" max="262" width="15.33203125" style="244" customWidth="1"/>
    <col min="263" max="271" width="0" style="244" hidden="1" customWidth="1"/>
    <col min="272" max="512" width="8" style="244"/>
    <col min="513" max="513" width="53.33203125" style="244" customWidth="1"/>
    <col min="514" max="515" width="5.88671875" style="244" customWidth="1"/>
    <col min="516" max="516" width="19" style="244" customWidth="1"/>
    <col min="517" max="518" width="15.33203125" style="244" customWidth="1"/>
    <col min="519" max="527" width="0" style="244" hidden="1" customWidth="1"/>
    <col min="528" max="768" width="8" style="244"/>
    <col min="769" max="769" width="53.33203125" style="244" customWidth="1"/>
    <col min="770" max="771" width="5.88671875" style="244" customWidth="1"/>
    <col min="772" max="772" width="19" style="244" customWidth="1"/>
    <col min="773" max="774" width="15.33203125" style="244" customWidth="1"/>
    <col min="775" max="783" width="0" style="244" hidden="1" customWidth="1"/>
    <col min="784" max="1024" width="8" style="244"/>
    <col min="1025" max="1025" width="53.33203125" style="244" customWidth="1"/>
    <col min="1026" max="1027" width="5.88671875" style="244" customWidth="1"/>
    <col min="1028" max="1028" width="19" style="244" customWidth="1"/>
    <col min="1029" max="1030" width="15.33203125" style="244" customWidth="1"/>
    <col min="1031" max="1039" width="0" style="244" hidden="1" customWidth="1"/>
    <col min="1040" max="1280" width="8" style="244"/>
    <col min="1281" max="1281" width="53.33203125" style="244" customWidth="1"/>
    <col min="1282" max="1283" width="5.88671875" style="244" customWidth="1"/>
    <col min="1284" max="1284" width="19" style="244" customWidth="1"/>
    <col min="1285" max="1286" width="15.33203125" style="244" customWidth="1"/>
    <col min="1287" max="1295" width="0" style="244" hidden="1" customWidth="1"/>
    <col min="1296" max="1536" width="8" style="244"/>
    <col min="1537" max="1537" width="53.33203125" style="244" customWidth="1"/>
    <col min="1538" max="1539" width="5.88671875" style="244" customWidth="1"/>
    <col min="1540" max="1540" width="19" style="244" customWidth="1"/>
    <col min="1541" max="1542" width="15.33203125" style="244" customWidth="1"/>
    <col min="1543" max="1551" width="0" style="244" hidden="1" customWidth="1"/>
    <col min="1552" max="1792" width="8" style="244"/>
    <col min="1793" max="1793" width="53.33203125" style="244" customWidth="1"/>
    <col min="1794" max="1795" width="5.88671875" style="244" customWidth="1"/>
    <col min="1796" max="1796" width="19" style="244" customWidth="1"/>
    <col min="1797" max="1798" width="15.33203125" style="244" customWidth="1"/>
    <col min="1799" max="1807" width="0" style="244" hidden="1" customWidth="1"/>
    <col min="1808" max="2048" width="8" style="244"/>
    <col min="2049" max="2049" width="53.33203125" style="244" customWidth="1"/>
    <col min="2050" max="2051" width="5.88671875" style="244" customWidth="1"/>
    <col min="2052" max="2052" width="19" style="244" customWidth="1"/>
    <col min="2053" max="2054" width="15.33203125" style="244" customWidth="1"/>
    <col min="2055" max="2063" width="0" style="244" hidden="1" customWidth="1"/>
    <col min="2064" max="2304" width="8" style="244"/>
    <col min="2305" max="2305" width="53.33203125" style="244" customWidth="1"/>
    <col min="2306" max="2307" width="5.88671875" style="244" customWidth="1"/>
    <col min="2308" max="2308" width="19" style="244" customWidth="1"/>
    <col min="2309" max="2310" width="15.33203125" style="244" customWidth="1"/>
    <col min="2311" max="2319" width="0" style="244" hidden="1" customWidth="1"/>
    <col min="2320" max="2560" width="8" style="244"/>
    <col min="2561" max="2561" width="53.33203125" style="244" customWidth="1"/>
    <col min="2562" max="2563" width="5.88671875" style="244" customWidth="1"/>
    <col min="2564" max="2564" width="19" style="244" customWidth="1"/>
    <col min="2565" max="2566" width="15.33203125" style="244" customWidth="1"/>
    <col min="2567" max="2575" width="0" style="244" hidden="1" customWidth="1"/>
    <col min="2576" max="2816" width="8" style="244"/>
    <col min="2817" max="2817" width="53.33203125" style="244" customWidth="1"/>
    <col min="2818" max="2819" width="5.88671875" style="244" customWidth="1"/>
    <col min="2820" max="2820" width="19" style="244" customWidth="1"/>
    <col min="2821" max="2822" width="15.33203125" style="244" customWidth="1"/>
    <col min="2823" max="2831" width="0" style="244" hidden="1" customWidth="1"/>
    <col min="2832" max="3072" width="8" style="244"/>
    <col min="3073" max="3073" width="53.33203125" style="244" customWidth="1"/>
    <col min="3074" max="3075" width="5.88671875" style="244" customWidth="1"/>
    <col min="3076" max="3076" width="19" style="244" customWidth="1"/>
    <col min="3077" max="3078" width="15.33203125" style="244" customWidth="1"/>
    <col min="3079" max="3087" width="0" style="244" hidden="1" customWidth="1"/>
    <col min="3088" max="3328" width="8" style="244"/>
    <col min="3329" max="3329" width="53.33203125" style="244" customWidth="1"/>
    <col min="3330" max="3331" width="5.88671875" style="244" customWidth="1"/>
    <col min="3332" max="3332" width="19" style="244" customWidth="1"/>
    <col min="3333" max="3334" width="15.33203125" style="244" customWidth="1"/>
    <col min="3335" max="3343" width="0" style="244" hidden="1" customWidth="1"/>
    <col min="3344" max="3584" width="8" style="244"/>
    <col min="3585" max="3585" width="53.33203125" style="244" customWidth="1"/>
    <col min="3586" max="3587" width="5.88671875" style="244" customWidth="1"/>
    <col min="3588" max="3588" width="19" style="244" customWidth="1"/>
    <col min="3589" max="3590" width="15.33203125" style="244" customWidth="1"/>
    <col min="3591" max="3599" width="0" style="244" hidden="1" customWidth="1"/>
    <col min="3600" max="3840" width="8" style="244"/>
    <col min="3841" max="3841" width="53.33203125" style="244" customWidth="1"/>
    <col min="3842" max="3843" width="5.88671875" style="244" customWidth="1"/>
    <col min="3844" max="3844" width="19" style="244" customWidth="1"/>
    <col min="3845" max="3846" width="15.33203125" style="244" customWidth="1"/>
    <col min="3847" max="3855" width="0" style="244" hidden="1" customWidth="1"/>
    <col min="3856" max="4096" width="8" style="244"/>
    <col min="4097" max="4097" width="53.33203125" style="244" customWidth="1"/>
    <col min="4098" max="4099" width="5.88671875" style="244" customWidth="1"/>
    <col min="4100" max="4100" width="19" style="244" customWidth="1"/>
    <col min="4101" max="4102" width="15.33203125" style="244" customWidth="1"/>
    <col min="4103" max="4111" width="0" style="244" hidden="1" customWidth="1"/>
    <col min="4112" max="4352" width="8" style="244"/>
    <col min="4353" max="4353" width="53.33203125" style="244" customWidth="1"/>
    <col min="4354" max="4355" width="5.88671875" style="244" customWidth="1"/>
    <col min="4356" max="4356" width="19" style="244" customWidth="1"/>
    <col min="4357" max="4358" width="15.33203125" style="244" customWidth="1"/>
    <col min="4359" max="4367" width="0" style="244" hidden="1" customWidth="1"/>
    <col min="4368" max="4608" width="8" style="244"/>
    <col min="4609" max="4609" width="53.33203125" style="244" customWidth="1"/>
    <col min="4610" max="4611" width="5.88671875" style="244" customWidth="1"/>
    <col min="4612" max="4612" width="19" style="244" customWidth="1"/>
    <col min="4613" max="4614" width="15.33203125" style="244" customWidth="1"/>
    <col min="4615" max="4623" width="0" style="244" hidden="1" customWidth="1"/>
    <col min="4624" max="4864" width="8" style="244"/>
    <col min="4865" max="4865" width="53.33203125" style="244" customWidth="1"/>
    <col min="4866" max="4867" width="5.88671875" style="244" customWidth="1"/>
    <col min="4868" max="4868" width="19" style="244" customWidth="1"/>
    <col min="4869" max="4870" width="15.33203125" style="244" customWidth="1"/>
    <col min="4871" max="4879" width="0" style="244" hidden="1" customWidth="1"/>
    <col min="4880" max="5120" width="8" style="244"/>
    <col min="5121" max="5121" width="53.33203125" style="244" customWidth="1"/>
    <col min="5122" max="5123" width="5.88671875" style="244" customWidth="1"/>
    <col min="5124" max="5124" width="19" style="244" customWidth="1"/>
    <col min="5125" max="5126" width="15.33203125" style="244" customWidth="1"/>
    <col min="5127" max="5135" width="0" style="244" hidden="1" customWidth="1"/>
    <col min="5136" max="5376" width="8" style="244"/>
    <col min="5377" max="5377" width="53.33203125" style="244" customWidth="1"/>
    <col min="5378" max="5379" width="5.88671875" style="244" customWidth="1"/>
    <col min="5380" max="5380" width="19" style="244" customWidth="1"/>
    <col min="5381" max="5382" width="15.33203125" style="244" customWidth="1"/>
    <col min="5383" max="5391" width="0" style="244" hidden="1" customWidth="1"/>
    <col min="5392" max="5632" width="8" style="244"/>
    <col min="5633" max="5633" width="53.33203125" style="244" customWidth="1"/>
    <col min="5634" max="5635" width="5.88671875" style="244" customWidth="1"/>
    <col min="5636" max="5636" width="19" style="244" customWidth="1"/>
    <col min="5637" max="5638" width="15.33203125" style="244" customWidth="1"/>
    <col min="5639" max="5647" width="0" style="244" hidden="1" customWidth="1"/>
    <col min="5648" max="5888" width="8" style="244"/>
    <col min="5889" max="5889" width="53.33203125" style="244" customWidth="1"/>
    <col min="5890" max="5891" width="5.88671875" style="244" customWidth="1"/>
    <col min="5892" max="5892" width="19" style="244" customWidth="1"/>
    <col min="5893" max="5894" width="15.33203125" style="244" customWidth="1"/>
    <col min="5895" max="5903" width="0" style="244" hidden="1" customWidth="1"/>
    <col min="5904" max="6144" width="8" style="244"/>
    <col min="6145" max="6145" width="53.33203125" style="244" customWidth="1"/>
    <col min="6146" max="6147" width="5.88671875" style="244" customWidth="1"/>
    <col min="6148" max="6148" width="19" style="244" customWidth="1"/>
    <col min="6149" max="6150" width="15.33203125" style="244" customWidth="1"/>
    <col min="6151" max="6159" width="0" style="244" hidden="1" customWidth="1"/>
    <col min="6160" max="6400" width="8" style="244"/>
    <col min="6401" max="6401" width="53.33203125" style="244" customWidth="1"/>
    <col min="6402" max="6403" width="5.88671875" style="244" customWidth="1"/>
    <col min="6404" max="6404" width="19" style="244" customWidth="1"/>
    <col min="6405" max="6406" width="15.33203125" style="244" customWidth="1"/>
    <col min="6407" max="6415" width="0" style="244" hidden="1" customWidth="1"/>
    <col min="6416" max="6656" width="8" style="244"/>
    <col min="6657" max="6657" width="53.33203125" style="244" customWidth="1"/>
    <col min="6658" max="6659" width="5.88671875" style="244" customWidth="1"/>
    <col min="6660" max="6660" width="19" style="244" customWidth="1"/>
    <col min="6661" max="6662" width="15.33203125" style="244" customWidth="1"/>
    <col min="6663" max="6671" width="0" style="244" hidden="1" customWidth="1"/>
    <col min="6672" max="6912" width="8" style="244"/>
    <col min="6913" max="6913" width="53.33203125" style="244" customWidth="1"/>
    <col min="6914" max="6915" width="5.88671875" style="244" customWidth="1"/>
    <col min="6916" max="6916" width="19" style="244" customWidth="1"/>
    <col min="6917" max="6918" width="15.33203125" style="244" customWidth="1"/>
    <col min="6919" max="6927" width="0" style="244" hidden="1" customWidth="1"/>
    <col min="6928" max="7168" width="8" style="244"/>
    <col min="7169" max="7169" width="53.33203125" style="244" customWidth="1"/>
    <col min="7170" max="7171" width="5.88671875" style="244" customWidth="1"/>
    <col min="7172" max="7172" width="19" style="244" customWidth="1"/>
    <col min="7173" max="7174" width="15.33203125" style="244" customWidth="1"/>
    <col min="7175" max="7183" width="0" style="244" hidden="1" customWidth="1"/>
    <col min="7184" max="7424" width="8" style="244"/>
    <col min="7425" max="7425" width="53.33203125" style="244" customWidth="1"/>
    <col min="7426" max="7427" width="5.88671875" style="244" customWidth="1"/>
    <col min="7428" max="7428" width="19" style="244" customWidth="1"/>
    <col min="7429" max="7430" width="15.33203125" style="244" customWidth="1"/>
    <col min="7431" max="7439" width="0" style="244" hidden="1" customWidth="1"/>
    <col min="7440" max="7680" width="8" style="244"/>
    <col min="7681" max="7681" width="53.33203125" style="244" customWidth="1"/>
    <col min="7682" max="7683" width="5.88671875" style="244" customWidth="1"/>
    <col min="7684" max="7684" width="19" style="244" customWidth="1"/>
    <col min="7685" max="7686" width="15.33203125" style="244" customWidth="1"/>
    <col min="7687" max="7695" width="0" style="244" hidden="1" customWidth="1"/>
    <col min="7696" max="7936" width="8" style="244"/>
    <col min="7937" max="7937" width="53.33203125" style="244" customWidth="1"/>
    <col min="7938" max="7939" width="5.88671875" style="244" customWidth="1"/>
    <col min="7940" max="7940" width="19" style="244" customWidth="1"/>
    <col min="7941" max="7942" width="15.33203125" style="244" customWidth="1"/>
    <col min="7943" max="7951" width="0" style="244" hidden="1" customWidth="1"/>
    <col min="7952" max="8192" width="8" style="244"/>
    <col min="8193" max="8193" width="53.33203125" style="244" customWidth="1"/>
    <col min="8194" max="8195" width="5.88671875" style="244" customWidth="1"/>
    <col min="8196" max="8196" width="19" style="244" customWidth="1"/>
    <col min="8197" max="8198" width="15.33203125" style="244" customWidth="1"/>
    <col min="8199" max="8207" width="0" style="244" hidden="1" customWidth="1"/>
    <col min="8208" max="8448" width="8" style="244"/>
    <col min="8449" max="8449" width="53.33203125" style="244" customWidth="1"/>
    <col min="8450" max="8451" width="5.88671875" style="244" customWidth="1"/>
    <col min="8452" max="8452" width="19" style="244" customWidth="1"/>
    <col min="8453" max="8454" width="15.33203125" style="244" customWidth="1"/>
    <col min="8455" max="8463" width="0" style="244" hidden="1" customWidth="1"/>
    <col min="8464" max="8704" width="8" style="244"/>
    <col min="8705" max="8705" width="53.33203125" style="244" customWidth="1"/>
    <col min="8706" max="8707" width="5.88671875" style="244" customWidth="1"/>
    <col min="8708" max="8708" width="19" style="244" customWidth="1"/>
    <col min="8709" max="8710" width="15.33203125" style="244" customWidth="1"/>
    <col min="8711" max="8719" width="0" style="244" hidden="1" customWidth="1"/>
    <col min="8720" max="8960" width="8" style="244"/>
    <col min="8961" max="8961" width="53.33203125" style="244" customWidth="1"/>
    <col min="8962" max="8963" width="5.88671875" style="244" customWidth="1"/>
    <col min="8964" max="8964" width="19" style="244" customWidth="1"/>
    <col min="8965" max="8966" width="15.33203125" style="244" customWidth="1"/>
    <col min="8967" max="8975" width="0" style="244" hidden="1" customWidth="1"/>
    <col min="8976" max="9216" width="8" style="244"/>
    <col min="9217" max="9217" width="53.33203125" style="244" customWidth="1"/>
    <col min="9218" max="9219" width="5.88671875" style="244" customWidth="1"/>
    <col min="9220" max="9220" width="19" style="244" customWidth="1"/>
    <col min="9221" max="9222" width="15.33203125" style="244" customWidth="1"/>
    <col min="9223" max="9231" width="0" style="244" hidden="1" customWidth="1"/>
    <col min="9232" max="9472" width="8" style="244"/>
    <col min="9473" max="9473" width="53.33203125" style="244" customWidth="1"/>
    <col min="9474" max="9475" width="5.88671875" style="244" customWidth="1"/>
    <col min="9476" max="9476" width="19" style="244" customWidth="1"/>
    <col min="9477" max="9478" width="15.33203125" style="244" customWidth="1"/>
    <col min="9479" max="9487" width="0" style="244" hidden="1" customWidth="1"/>
    <col min="9488" max="9728" width="8" style="244"/>
    <col min="9729" max="9729" width="53.33203125" style="244" customWidth="1"/>
    <col min="9730" max="9731" width="5.88671875" style="244" customWidth="1"/>
    <col min="9732" max="9732" width="19" style="244" customWidth="1"/>
    <col min="9733" max="9734" width="15.33203125" style="244" customWidth="1"/>
    <col min="9735" max="9743" width="0" style="244" hidden="1" customWidth="1"/>
    <col min="9744" max="9984" width="8" style="244"/>
    <col min="9985" max="9985" width="53.33203125" style="244" customWidth="1"/>
    <col min="9986" max="9987" width="5.88671875" style="244" customWidth="1"/>
    <col min="9988" max="9988" width="19" style="244" customWidth="1"/>
    <col min="9989" max="9990" width="15.33203125" style="244" customWidth="1"/>
    <col min="9991" max="9999" width="0" style="244" hidden="1" customWidth="1"/>
    <col min="10000" max="10240" width="8" style="244"/>
    <col min="10241" max="10241" width="53.33203125" style="244" customWidth="1"/>
    <col min="10242" max="10243" width="5.88671875" style="244" customWidth="1"/>
    <col min="10244" max="10244" width="19" style="244" customWidth="1"/>
    <col min="10245" max="10246" width="15.33203125" style="244" customWidth="1"/>
    <col min="10247" max="10255" width="0" style="244" hidden="1" customWidth="1"/>
    <col min="10256" max="10496" width="8" style="244"/>
    <col min="10497" max="10497" width="53.33203125" style="244" customWidth="1"/>
    <col min="10498" max="10499" width="5.88671875" style="244" customWidth="1"/>
    <col min="10500" max="10500" width="19" style="244" customWidth="1"/>
    <col min="10501" max="10502" width="15.33203125" style="244" customWidth="1"/>
    <col min="10503" max="10511" width="0" style="244" hidden="1" customWidth="1"/>
    <col min="10512" max="10752" width="8" style="244"/>
    <col min="10753" max="10753" width="53.33203125" style="244" customWidth="1"/>
    <col min="10754" max="10755" width="5.88671875" style="244" customWidth="1"/>
    <col min="10756" max="10756" width="19" style="244" customWidth="1"/>
    <col min="10757" max="10758" width="15.33203125" style="244" customWidth="1"/>
    <col min="10759" max="10767" width="0" style="244" hidden="1" customWidth="1"/>
    <col min="10768" max="11008" width="8" style="244"/>
    <col min="11009" max="11009" width="53.33203125" style="244" customWidth="1"/>
    <col min="11010" max="11011" width="5.88671875" style="244" customWidth="1"/>
    <col min="11012" max="11012" width="19" style="244" customWidth="1"/>
    <col min="11013" max="11014" width="15.33203125" style="244" customWidth="1"/>
    <col min="11015" max="11023" width="0" style="244" hidden="1" customWidth="1"/>
    <col min="11024" max="11264" width="8" style="244"/>
    <col min="11265" max="11265" width="53.33203125" style="244" customWidth="1"/>
    <col min="11266" max="11267" width="5.88671875" style="244" customWidth="1"/>
    <col min="11268" max="11268" width="19" style="244" customWidth="1"/>
    <col min="11269" max="11270" width="15.33203125" style="244" customWidth="1"/>
    <col min="11271" max="11279" width="0" style="244" hidden="1" customWidth="1"/>
    <col min="11280" max="11520" width="8" style="244"/>
    <col min="11521" max="11521" width="53.33203125" style="244" customWidth="1"/>
    <col min="11522" max="11523" width="5.88671875" style="244" customWidth="1"/>
    <col min="11524" max="11524" width="19" style="244" customWidth="1"/>
    <col min="11525" max="11526" width="15.33203125" style="244" customWidth="1"/>
    <col min="11527" max="11535" width="0" style="244" hidden="1" customWidth="1"/>
    <col min="11536" max="11776" width="8" style="244"/>
    <col min="11777" max="11777" width="53.33203125" style="244" customWidth="1"/>
    <col min="11778" max="11779" width="5.88671875" style="244" customWidth="1"/>
    <col min="11780" max="11780" width="19" style="244" customWidth="1"/>
    <col min="11781" max="11782" width="15.33203125" style="244" customWidth="1"/>
    <col min="11783" max="11791" width="0" style="244" hidden="1" customWidth="1"/>
    <col min="11792" max="12032" width="8" style="244"/>
    <col min="12033" max="12033" width="53.33203125" style="244" customWidth="1"/>
    <col min="12034" max="12035" width="5.88671875" style="244" customWidth="1"/>
    <col min="12036" max="12036" width="19" style="244" customWidth="1"/>
    <col min="12037" max="12038" width="15.33203125" style="244" customWidth="1"/>
    <col min="12039" max="12047" width="0" style="244" hidden="1" customWidth="1"/>
    <col min="12048" max="12288" width="8" style="244"/>
    <col min="12289" max="12289" width="53.33203125" style="244" customWidth="1"/>
    <col min="12290" max="12291" width="5.88671875" style="244" customWidth="1"/>
    <col min="12292" max="12292" width="19" style="244" customWidth="1"/>
    <col min="12293" max="12294" width="15.33203125" style="244" customWidth="1"/>
    <col min="12295" max="12303" width="0" style="244" hidden="1" customWidth="1"/>
    <col min="12304" max="12544" width="8" style="244"/>
    <col min="12545" max="12545" width="53.33203125" style="244" customWidth="1"/>
    <col min="12546" max="12547" width="5.88671875" style="244" customWidth="1"/>
    <col min="12548" max="12548" width="19" style="244" customWidth="1"/>
    <col min="12549" max="12550" width="15.33203125" style="244" customWidth="1"/>
    <col min="12551" max="12559" width="0" style="244" hidden="1" customWidth="1"/>
    <col min="12560" max="12800" width="8" style="244"/>
    <col min="12801" max="12801" width="53.33203125" style="244" customWidth="1"/>
    <col min="12802" max="12803" width="5.88671875" style="244" customWidth="1"/>
    <col min="12804" max="12804" width="19" style="244" customWidth="1"/>
    <col min="12805" max="12806" width="15.33203125" style="244" customWidth="1"/>
    <col min="12807" max="12815" width="0" style="244" hidden="1" customWidth="1"/>
    <col min="12816" max="13056" width="8" style="244"/>
    <col min="13057" max="13057" width="53.33203125" style="244" customWidth="1"/>
    <col min="13058" max="13059" width="5.88671875" style="244" customWidth="1"/>
    <col min="13060" max="13060" width="19" style="244" customWidth="1"/>
    <col min="13061" max="13062" width="15.33203125" style="244" customWidth="1"/>
    <col min="13063" max="13071" width="0" style="244" hidden="1" customWidth="1"/>
    <col min="13072" max="13312" width="8" style="244"/>
    <col min="13313" max="13313" width="53.33203125" style="244" customWidth="1"/>
    <col min="13314" max="13315" width="5.88671875" style="244" customWidth="1"/>
    <col min="13316" max="13316" width="19" style="244" customWidth="1"/>
    <col min="13317" max="13318" width="15.33203125" style="244" customWidth="1"/>
    <col min="13319" max="13327" width="0" style="244" hidden="1" customWidth="1"/>
    <col min="13328" max="13568" width="8" style="244"/>
    <col min="13569" max="13569" width="53.33203125" style="244" customWidth="1"/>
    <col min="13570" max="13571" width="5.88671875" style="244" customWidth="1"/>
    <col min="13572" max="13572" width="19" style="244" customWidth="1"/>
    <col min="13573" max="13574" width="15.33203125" style="244" customWidth="1"/>
    <col min="13575" max="13583" width="0" style="244" hidden="1" customWidth="1"/>
    <col min="13584" max="13824" width="8" style="244"/>
    <col min="13825" max="13825" width="53.33203125" style="244" customWidth="1"/>
    <col min="13826" max="13827" width="5.88671875" style="244" customWidth="1"/>
    <col min="13828" max="13828" width="19" style="244" customWidth="1"/>
    <col min="13829" max="13830" width="15.33203125" style="244" customWidth="1"/>
    <col min="13831" max="13839" width="0" style="244" hidden="1" customWidth="1"/>
    <col min="13840" max="14080" width="8" style="244"/>
    <col min="14081" max="14081" width="53.33203125" style="244" customWidth="1"/>
    <col min="14082" max="14083" width="5.88671875" style="244" customWidth="1"/>
    <col min="14084" max="14084" width="19" style="244" customWidth="1"/>
    <col min="14085" max="14086" width="15.33203125" style="244" customWidth="1"/>
    <col min="14087" max="14095" width="0" style="244" hidden="1" customWidth="1"/>
    <col min="14096" max="14336" width="8" style="244"/>
    <col min="14337" max="14337" width="53.33203125" style="244" customWidth="1"/>
    <col min="14338" max="14339" width="5.88671875" style="244" customWidth="1"/>
    <col min="14340" max="14340" width="19" style="244" customWidth="1"/>
    <col min="14341" max="14342" width="15.33203125" style="244" customWidth="1"/>
    <col min="14343" max="14351" width="0" style="244" hidden="1" customWidth="1"/>
    <col min="14352" max="14592" width="8" style="244"/>
    <col min="14593" max="14593" width="53.33203125" style="244" customWidth="1"/>
    <col min="14594" max="14595" width="5.88671875" style="244" customWidth="1"/>
    <col min="14596" max="14596" width="19" style="244" customWidth="1"/>
    <col min="14597" max="14598" width="15.33203125" style="244" customWidth="1"/>
    <col min="14599" max="14607" width="0" style="244" hidden="1" customWidth="1"/>
    <col min="14608" max="14848" width="8" style="244"/>
    <col min="14849" max="14849" width="53.33203125" style="244" customWidth="1"/>
    <col min="14850" max="14851" width="5.88671875" style="244" customWidth="1"/>
    <col min="14852" max="14852" width="19" style="244" customWidth="1"/>
    <col min="14853" max="14854" width="15.33203125" style="244" customWidth="1"/>
    <col min="14855" max="14863" width="0" style="244" hidden="1" customWidth="1"/>
    <col min="14864" max="15104" width="8" style="244"/>
    <col min="15105" max="15105" width="53.33203125" style="244" customWidth="1"/>
    <col min="15106" max="15107" width="5.88671875" style="244" customWidth="1"/>
    <col min="15108" max="15108" width="19" style="244" customWidth="1"/>
    <col min="15109" max="15110" width="15.33203125" style="244" customWidth="1"/>
    <col min="15111" max="15119" width="0" style="244" hidden="1" customWidth="1"/>
    <col min="15120" max="15360" width="8" style="244"/>
    <col min="15361" max="15361" width="53.33203125" style="244" customWidth="1"/>
    <col min="15362" max="15363" width="5.88671875" style="244" customWidth="1"/>
    <col min="15364" max="15364" width="19" style="244" customWidth="1"/>
    <col min="15365" max="15366" width="15.33203125" style="244" customWidth="1"/>
    <col min="15367" max="15375" width="0" style="244" hidden="1" customWidth="1"/>
    <col min="15376" max="15616" width="8" style="244"/>
    <col min="15617" max="15617" width="53.33203125" style="244" customWidth="1"/>
    <col min="15618" max="15619" width="5.88671875" style="244" customWidth="1"/>
    <col min="15620" max="15620" width="19" style="244" customWidth="1"/>
    <col min="15621" max="15622" width="15.33203125" style="244" customWidth="1"/>
    <col min="15623" max="15631" width="0" style="244" hidden="1" customWidth="1"/>
    <col min="15632" max="15872" width="8" style="244"/>
    <col min="15873" max="15873" width="53.33203125" style="244" customWidth="1"/>
    <col min="15874" max="15875" width="5.88671875" style="244" customWidth="1"/>
    <col min="15876" max="15876" width="19" style="244" customWidth="1"/>
    <col min="15877" max="15878" width="15.33203125" style="244" customWidth="1"/>
    <col min="15879" max="15887" width="0" style="244" hidden="1" customWidth="1"/>
    <col min="15888" max="16128" width="8" style="244"/>
    <col min="16129" max="16129" width="53.33203125" style="244" customWidth="1"/>
    <col min="16130" max="16131" width="5.88671875" style="244" customWidth="1"/>
    <col min="16132" max="16132" width="19" style="244" customWidth="1"/>
    <col min="16133" max="16134" width="15.33203125" style="244" customWidth="1"/>
    <col min="16135" max="16143" width="0" style="244" hidden="1" customWidth="1"/>
    <col min="16144" max="16384" width="8" style="244"/>
  </cols>
  <sheetData>
    <row r="1" spans="1:17" ht="16.5" customHeight="1">
      <c r="A1" s="243"/>
      <c r="E1" s="246" t="s">
        <v>398</v>
      </c>
      <c r="F1" s="246"/>
    </row>
    <row r="2" spans="1:17" ht="14.25" customHeight="1">
      <c r="A2" s="243"/>
      <c r="E2" s="246" t="s">
        <v>279</v>
      </c>
      <c r="F2" s="246"/>
    </row>
    <row r="3" spans="1:17" ht="13.5" customHeight="1">
      <c r="A3" s="243"/>
      <c r="E3" s="246" t="s">
        <v>278</v>
      </c>
      <c r="F3" s="246"/>
    </row>
    <row r="4" spans="1:17" ht="14.4" customHeight="1">
      <c r="A4" s="243"/>
      <c r="D4" s="247"/>
      <c r="E4" s="246" t="s">
        <v>405</v>
      </c>
      <c r="F4" s="246"/>
    </row>
    <row r="5" spans="1:17" ht="11.4" customHeight="1">
      <c r="A5" s="243"/>
      <c r="D5" s="247"/>
      <c r="E5" s="248"/>
      <c r="F5" s="248"/>
    </row>
    <row r="6" spans="1:17" ht="16.5" customHeight="1">
      <c r="A6" s="243"/>
      <c r="E6" s="246" t="s">
        <v>398</v>
      </c>
      <c r="F6" s="246"/>
    </row>
    <row r="7" spans="1:17" ht="14.25" customHeight="1">
      <c r="A7" s="243"/>
      <c r="E7" s="246" t="s">
        <v>279</v>
      </c>
      <c r="F7" s="246"/>
    </row>
    <row r="8" spans="1:17" ht="13.5" customHeight="1">
      <c r="A8" s="243"/>
      <c r="E8" s="246" t="s">
        <v>278</v>
      </c>
      <c r="F8" s="246"/>
    </row>
    <row r="9" spans="1:17" ht="16.2" customHeight="1">
      <c r="A9" s="243"/>
      <c r="D9" s="247"/>
      <c r="E9" s="246" t="s">
        <v>399</v>
      </c>
      <c r="F9" s="246"/>
    </row>
    <row r="10" spans="1:17" s="250" customFormat="1" ht="47.4" customHeight="1">
      <c r="A10" s="249" t="s">
        <v>309</v>
      </c>
      <c r="B10" s="249"/>
      <c r="C10" s="249"/>
      <c r="D10" s="249"/>
      <c r="E10" s="249"/>
      <c r="F10" s="249"/>
    </row>
    <row r="11" spans="1:17" s="250" customFormat="1" ht="11.25" customHeight="1">
      <c r="A11" s="251"/>
      <c r="B11" s="251"/>
      <c r="C11" s="251"/>
      <c r="D11" s="252"/>
      <c r="E11" s="253"/>
      <c r="F11" s="252" t="s">
        <v>105</v>
      </c>
    </row>
    <row r="12" spans="1:17" ht="18.75" customHeight="1">
      <c r="A12" s="254" t="s">
        <v>27</v>
      </c>
      <c r="B12" s="255" t="s">
        <v>89</v>
      </c>
      <c r="C12" s="255" t="s">
        <v>90</v>
      </c>
      <c r="D12" s="256" t="s">
        <v>156</v>
      </c>
      <c r="E12" s="256" t="s">
        <v>172</v>
      </c>
      <c r="F12" s="256" t="s">
        <v>310</v>
      </c>
    </row>
    <row r="13" spans="1:17" ht="16.5" customHeight="1">
      <c r="A13" s="257"/>
      <c r="B13" s="258"/>
      <c r="C13" s="258"/>
      <c r="D13" s="259"/>
      <c r="E13" s="259"/>
      <c r="F13" s="259"/>
    </row>
    <row r="14" spans="1:17" ht="13.5" customHeight="1">
      <c r="A14" s="260">
        <v>1</v>
      </c>
      <c r="B14" s="261">
        <v>2</v>
      </c>
      <c r="C14" s="261">
        <v>3</v>
      </c>
      <c r="D14" s="262">
        <v>4</v>
      </c>
      <c r="E14" s="262">
        <v>5</v>
      </c>
      <c r="F14" s="262">
        <v>6</v>
      </c>
    </row>
    <row r="15" spans="1:17" s="268" customFormat="1" ht="15" customHeight="1">
      <c r="A15" s="263" t="s">
        <v>91</v>
      </c>
      <c r="B15" s="264">
        <v>1</v>
      </c>
      <c r="C15" s="264">
        <v>0</v>
      </c>
      <c r="D15" s="265">
        <f>D16+D17+D18+D19</f>
        <v>10978.6</v>
      </c>
      <c r="E15" s="265">
        <f>SUM(E16:E19)</f>
        <v>17117.3</v>
      </c>
      <c r="F15" s="265">
        <f>SUM(F16:F19)</f>
        <v>18617.3</v>
      </c>
      <c r="G15" s="266" t="e">
        <f>#REF!-#REF!</f>
        <v>#REF!</v>
      </c>
      <c r="H15" s="266" t="e">
        <f>#REF!-#REF!</f>
        <v>#REF!</v>
      </c>
      <c r="I15" s="266" t="e">
        <f>#REF!-#REF!</f>
        <v>#REF!</v>
      </c>
      <c r="J15" s="267">
        <v>14435.9</v>
      </c>
      <c r="K15" s="267">
        <v>17558.599999999999</v>
      </c>
      <c r="L15" s="267">
        <v>18390</v>
      </c>
      <c r="P15" s="266"/>
      <c r="Q15" s="266"/>
    </row>
    <row r="16" spans="1:17" s="272" customFormat="1" ht="27" customHeight="1">
      <c r="A16" s="269" t="s">
        <v>92</v>
      </c>
      <c r="B16" s="270">
        <v>1</v>
      </c>
      <c r="C16" s="270">
        <v>2</v>
      </c>
      <c r="D16" s="271">
        <v>1431.2</v>
      </c>
      <c r="E16" s="271">
        <v>1422.8</v>
      </c>
      <c r="F16" s="271">
        <v>1422.8</v>
      </c>
      <c r="J16" s="273">
        <v>1273.5999999999999</v>
      </c>
      <c r="K16" s="273">
        <v>1423.6</v>
      </c>
      <c r="L16" s="273">
        <v>1423.6</v>
      </c>
      <c r="P16" s="274"/>
    </row>
    <row r="17" spans="1:16" s="272" customFormat="1" ht="41.4" customHeight="1">
      <c r="A17" s="269" t="s">
        <v>93</v>
      </c>
      <c r="B17" s="270">
        <v>1</v>
      </c>
      <c r="C17" s="270">
        <v>4</v>
      </c>
      <c r="D17" s="123">
        <f>D18+D63+D72+D111+D145+D186+D203+D210</f>
        <v>10</v>
      </c>
      <c r="E17" s="271">
        <v>6254.5</v>
      </c>
      <c r="F17" s="271">
        <v>6254.6</v>
      </c>
      <c r="J17" s="273">
        <v>5940.2999999999993</v>
      </c>
      <c r="K17" s="273">
        <v>6606.6</v>
      </c>
      <c r="L17" s="273">
        <v>6426.6</v>
      </c>
    </row>
    <row r="18" spans="1:16" s="272" customFormat="1" ht="16.2" customHeight="1">
      <c r="A18" s="269" t="s">
        <v>12</v>
      </c>
      <c r="B18" s="270">
        <v>1</v>
      </c>
      <c r="C18" s="270">
        <v>11</v>
      </c>
      <c r="D18" s="271">
        <v>10</v>
      </c>
      <c r="E18" s="271">
        <v>10</v>
      </c>
      <c r="F18" s="271">
        <v>10</v>
      </c>
      <c r="J18" s="273">
        <v>10</v>
      </c>
      <c r="K18" s="273">
        <v>10</v>
      </c>
      <c r="L18" s="273">
        <v>10</v>
      </c>
    </row>
    <row r="19" spans="1:16" s="272" customFormat="1" ht="16.2" customHeight="1">
      <c r="A19" s="269" t="s">
        <v>11</v>
      </c>
      <c r="B19" s="270">
        <v>1</v>
      </c>
      <c r="C19" s="270">
        <v>13</v>
      </c>
      <c r="D19" s="271">
        <f>Прил.3!I40</f>
        <v>9527.4</v>
      </c>
      <c r="E19" s="271">
        <f>9130.4+300-0.4</f>
        <v>9430</v>
      </c>
      <c r="F19" s="271">
        <f>10630.4+300-0.5</f>
        <v>10929.9</v>
      </c>
      <c r="J19" s="273">
        <v>7212</v>
      </c>
      <c r="K19" s="273">
        <v>9518.4</v>
      </c>
      <c r="L19" s="273">
        <v>10529.8</v>
      </c>
    </row>
    <row r="20" spans="1:16" s="278" customFormat="1" ht="14.4" customHeight="1">
      <c r="A20" s="275" t="s">
        <v>94</v>
      </c>
      <c r="B20" s="276">
        <v>2</v>
      </c>
      <c r="C20" s="276">
        <v>0</v>
      </c>
      <c r="D20" s="277">
        <v>246.9</v>
      </c>
      <c r="E20" s="277">
        <v>255.2</v>
      </c>
      <c r="F20" s="277">
        <v>264.2</v>
      </c>
      <c r="J20" s="279">
        <v>245.5</v>
      </c>
      <c r="K20" s="279">
        <v>245.5</v>
      </c>
      <c r="L20" s="279">
        <v>260.2</v>
      </c>
    </row>
    <row r="21" spans="1:16" s="272" customFormat="1" ht="14.4" customHeight="1">
      <c r="A21" s="269" t="s">
        <v>10</v>
      </c>
      <c r="B21" s="270">
        <v>2</v>
      </c>
      <c r="C21" s="270">
        <v>3</v>
      </c>
      <c r="D21" s="271">
        <v>246.9</v>
      </c>
      <c r="E21" s="271">
        <v>255.2</v>
      </c>
      <c r="F21" s="271">
        <v>264.2</v>
      </c>
      <c r="J21" s="273">
        <v>245.5</v>
      </c>
      <c r="K21" s="273">
        <v>245.5</v>
      </c>
      <c r="L21" s="273">
        <v>260.2</v>
      </c>
    </row>
    <row r="22" spans="1:16" s="268" customFormat="1" ht="14.4" customHeight="1">
      <c r="A22" s="263" t="s">
        <v>95</v>
      </c>
      <c r="B22" s="264">
        <v>3</v>
      </c>
      <c r="C22" s="264">
        <v>0</v>
      </c>
      <c r="D22" s="265">
        <f>D23+D24+D25</f>
        <v>2510.9</v>
      </c>
      <c r="E22" s="265">
        <v>1122.6000000000001</v>
      </c>
      <c r="F22" s="265">
        <v>1122.6000000000001</v>
      </c>
      <c r="J22" s="267">
        <v>675.5</v>
      </c>
      <c r="K22" s="267">
        <v>1305.6000000000001</v>
      </c>
      <c r="L22" s="267">
        <v>1305.6000000000001</v>
      </c>
    </row>
    <row r="23" spans="1:16" s="272" customFormat="1" ht="14.4" customHeight="1">
      <c r="A23" s="269" t="s">
        <v>16</v>
      </c>
      <c r="B23" s="270">
        <v>3</v>
      </c>
      <c r="C23" s="270">
        <v>4</v>
      </c>
      <c r="D23" s="271">
        <v>3.9</v>
      </c>
      <c r="E23" s="271">
        <v>3.9</v>
      </c>
      <c r="F23" s="271">
        <v>3.9</v>
      </c>
      <c r="J23" s="273">
        <v>2.4</v>
      </c>
      <c r="K23" s="273">
        <v>2.4</v>
      </c>
      <c r="L23" s="273">
        <v>2.4</v>
      </c>
    </row>
    <row r="24" spans="1:16" s="272" customFormat="1" ht="35.4" customHeight="1">
      <c r="A24" s="280" t="s">
        <v>400</v>
      </c>
      <c r="B24" s="270">
        <v>3</v>
      </c>
      <c r="C24" s="270">
        <v>10</v>
      </c>
      <c r="D24" s="271">
        <f>Прил.3!I80</f>
        <v>2479.8000000000002</v>
      </c>
      <c r="E24" s="271">
        <v>1091.5</v>
      </c>
      <c r="F24" s="271">
        <v>1091.5</v>
      </c>
      <c r="J24" s="273">
        <v>646</v>
      </c>
      <c r="K24" s="273">
        <v>1276</v>
      </c>
      <c r="L24" s="273">
        <v>1276</v>
      </c>
    </row>
    <row r="25" spans="1:16" s="272" customFormat="1" ht="26.25" customHeight="1">
      <c r="A25" s="269" t="s">
        <v>15</v>
      </c>
      <c r="B25" s="270">
        <v>3</v>
      </c>
      <c r="C25" s="270">
        <v>14</v>
      </c>
      <c r="D25" s="271">
        <v>27.2</v>
      </c>
      <c r="E25" s="271">
        <v>27.2</v>
      </c>
      <c r="F25" s="271">
        <v>27.2</v>
      </c>
      <c r="J25" s="273">
        <v>27.1</v>
      </c>
      <c r="K25" s="273">
        <v>27.2</v>
      </c>
      <c r="L25" s="273">
        <v>27.2</v>
      </c>
    </row>
    <row r="26" spans="1:16" s="268" customFormat="1" ht="14.4" customHeight="1">
      <c r="A26" s="263" t="s">
        <v>96</v>
      </c>
      <c r="B26" s="264">
        <v>4</v>
      </c>
      <c r="C26" s="264">
        <v>0</v>
      </c>
      <c r="D26" s="265">
        <f>D27+D28+D29+D30+D31</f>
        <v>14007.4</v>
      </c>
      <c r="E26" s="265">
        <v>9699</v>
      </c>
      <c r="F26" s="265">
        <v>10179</v>
      </c>
      <c r="J26" s="267">
        <v>17693.099999999999</v>
      </c>
      <c r="K26" s="267">
        <v>9285.6044000000002</v>
      </c>
      <c r="L26" s="267">
        <v>9742.7000000000007</v>
      </c>
      <c r="P26" s="268">
        <v>14007.4</v>
      </c>
    </row>
    <row r="27" spans="1:16" s="272" customFormat="1" ht="14.4" customHeight="1">
      <c r="A27" s="269" t="s">
        <v>106</v>
      </c>
      <c r="B27" s="270">
        <v>4</v>
      </c>
      <c r="C27" s="270">
        <v>1</v>
      </c>
      <c r="D27" s="271">
        <f>585.9+90.8+43.1+0.1</f>
        <v>719.9</v>
      </c>
      <c r="E27" s="271">
        <v>0</v>
      </c>
      <c r="F27" s="271">
        <v>0</v>
      </c>
      <c r="J27" s="273">
        <v>580.1</v>
      </c>
      <c r="K27" s="273">
        <v>0</v>
      </c>
      <c r="L27" s="273">
        <v>0</v>
      </c>
      <c r="P27" s="272">
        <v>719.9</v>
      </c>
    </row>
    <row r="28" spans="1:16" s="272" customFormat="1" ht="14.4" customHeight="1">
      <c r="A28" s="269" t="s">
        <v>167</v>
      </c>
      <c r="B28" s="270">
        <v>4</v>
      </c>
      <c r="C28" s="270">
        <v>5</v>
      </c>
      <c r="D28" s="271">
        <v>100</v>
      </c>
      <c r="E28" s="271">
        <v>100</v>
      </c>
      <c r="F28" s="271">
        <v>100</v>
      </c>
      <c r="J28" s="273">
        <v>0</v>
      </c>
      <c r="K28" s="273">
        <v>0</v>
      </c>
      <c r="L28" s="273">
        <v>0</v>
      </c>
    </row>
    <row r="29" spans="1:16" s="272" customFormat="1" ht="14.4" customHeight="1">
      <c r="A29" s="269" t="s">
        <v>97</v>
      </c>
      <c r="B29" s="270">
        <v>4</v>
      </c>
      <c r="C29" s="270">
        <v>9</v>
      </c>
      <c r="D29" s="271">
        <f>Прил.3!I125</f>
        <v>9667.7000000000007</v>
      </c>
      <c r="E29" s="271">
        <v>9599</v>
      </c>
      <c r="F29" s="274">
        <v>10079</v>
      </c>
      <c r="J29" s="273">
        <v>14369.3</v>
      </c>
      <c r="K29" s="273">
        <v>9141.9</v>
      </c>
      <c r="L29" s="273">
        <v>9599</v>
      </c>
    </row>
    <row r="30" spans="1:16" s="272" customFormat="1" ht="14.4" customHeight="1">
      <c r="A30" s="269" t="s">
        <v>98</v>
      </c>
      <c r="B30" s="270">
        <v>4</v>
      </c>
      <c r="C30" s="270">
        <v>10</v>
      </c>
      <c r="D30" s="271">
        <f>Прил.3!I131</f>
        <v>119.8</v>
      </c>
      <c r="E30" s="271">
        <v>0</v>
      </c>
      <c r="F30" s="271">
        <v>0</v>
      </c>
      <c r="J30" s="273">
        <v>143.69999999999999</v>
      </c>
      <c r="K30" s="273">
        <v>143.70439999999999</v>
      </c>
      <c r="L30" s="273">
        <v>143.69999999999999</v>
      </c>
    </row>
    <row r="31" spans="1:16" s="272" customFormat="1" ht="14.4" customHeight="1">
      <c r="A31" s="269" t="s">
        <v>22</v>
      </c>
      <c r="B31" s="270">
        <v>4</v>
      </c>
      <c r="C31" s="270">
        <v>12</v>
      </c>
      <c r="D31" s="271">
        <v>3400</v>
      </c>
      <c r="E31" s="271">
        <v>0</v>
      </c>
      <c r="F31" s="271">
        <v>0</v>
      </c>
      <c r="J31" s="273">
        <v>2600</v>
      </c>
      <c r="K31" s="273">
        <v>0</v>
      </c>
      <c r="L31" s="273">
        <v>0</v>
      </c>
    </row>
    <row r="32" spans="1:16" s="268" customFormat="1" ht="15.6" customHeight="1">
      <c r="A32" s="263" t="s">
        <v>99</v>
      </c>
      <c r="B32" s="264">
        <v>5</v>
      </c>
      <c r="C32" s="264">
        <v>0</v>
      </c>
      <c r="D32" s="265">
        <f>D33+D34+D35</f>
        <v>63035.600000000006</v>
      </c>
      <c r="E32" s="265">
        <v>8964.2999999999993</v>
      </c>
      <c r="F32" s="265">
        <v>9101.9</v>
      </c>
      <c r="J32" s="267">
        <v>11426.8</v>
      </c>
      <c r="K32" s="267">
        <v>11481.7</v>
      </c>
      <c r="L32" s="267">
        <v>8568.2000000000007</v>
      </c>
    </row>
    <row r="33" spans="1:12" s="268" customFormat="1" ht="15.6" customHeight="1">
      <c r="A33" s="281" t="s">
        <v>9</v>
      </c>
      <c r="B33" s="282">
        <v>5</v>
      </c>
      <c r="C33" s="282">
        <v>1</v>
      </c>
      <c r="D33" s="283">
        <f>Прил.3!I144</f>
        <v>5672.2999999999993</v>
      </c>
      <c r="E33" s="283">
        <v>3440.9</v>
      </c>
      <c r="F33" s="283">
        <v>3578.5</v>
      </c>
      <c r="J33" s="267">
        <v>3172.7</v>
      </c>
      <c r="K33" s="267">
        <v>3116.8</v>
      </c>
      <c r="L33" s="267">
        <v>3257.1</v>
      </c>
    </row>
    <row r="34" spans="1:12" s="268" customFormat="1" ht="15.6" customHeight="1">
      <c r="A34" s="281" t="s">
        <v>23</v>
      </c>
      <c r="B34" s="282">
        <v>5</v>
      </c>
      <c r="C34" s="282">
        <v>2</v>
      </c>
      <c r="D34" s="283">
        <f>Прил.3!I160</f>
        <v>53619</v>
      </c>
      <c r="E34" s="283">
        <v>4693.3999999999996</v>
      </c>
      <c r="F34" s="283">
        <v>4693.3999999999996</v>
      </c>
      <c r="J34" s="267">
        <v>7286.3</v>
      </c>
      <c r="K34" s="267">
        <v>7294.9</v>
      </c>
      <c r="L34" s="267">
        <v>4241.1000000000004</v>
      </c>
    </row>
    <row r="35" spans="1:12" s="272" customFormat="1" ht="15.6" customHeight="1">
      <c r="A35" s="281" t="s">
        <v>8</v>
      </c>
      <c r="B35" s="282">
        <v>5</v>
      </c>
      <c r="C35" s="282">
        <v>3</v>
      </c>
      <c r="D35" s="284">
        <f>Прил.3!I166</f>
        <v>3744.2999999999997</v>
      </c>
      <c r="E35" s="284">
        <v>830</v>
      </c>
      <c r="F35" s="274">
        <v>830</v>
      </c>
      <c r="J35" s="273">
        <v>967.8</v>
      </c>
      <c r="K35" s="273">
        <v>1070</v>
      </c>
      <c r="L35" s="273">
        <v>1070</v>
      </c>
    </row>
    <row r="36" spans="1:12" s="272" customFormat="1" ht="15.6" customHeight="1">
      <c r="A36" s="275" t="s">
        <v>148</v>
      </c>
      <c r="B36" s="264">
        <v>6</v>
      </c>
      <c r="C36" s="264">
        <v>0</v>
      </c>
      <c r="D36" s="265">
        <v>0</v>
      </c>
      <c r="E36" s="265">
        <v>0</v>
      </c>
      <c r="F36" s="265">
        <v>0</v>
      </c>
      <c r="J36" s="273">
        <v>0.4</v>
      </c>
      <c r="K36" s="273">
        <v>0.4</v>
      </c>
      <c r="L36" s="273">
        <v>0.4</v>
      </c>
    </row>
    <row r="37" spans="1:12" s="272" customFormat="1" ht="15.6" customHeight="1">
      <c r="A37" s="281" t="s">
        <v>147</v>
      </c>
      <c r="B37" s="282">
        <v>6</v>
      </c>
      <c r="C37" s="282">
        <v>5</v>
      </c>
      <c r="D37" s="283">
        <v>0</v>
      </c>
      <c r="E37" s="283">
        <v>0</v>
      </c>
      <c r="F37" s="283">
        <v>0</v>
      </c>
      <c r="J37" s="273">
        <v>0.4</v>
      </c>
      <c r="K37" s="273">
        <v>0.4</v>
      </c>
      <c r="L37" s="273">
        <v>0.4</v>
      </c>
    </row>
    <row r="38" spans="1:12" s="268" customFormat="1" ht="15.6" customHeight="1">
      <c r="A38" s="263" t="s">
        <v>100</v>
      </c>
      <c r="B38" s="264">
        <v>8</v>
      </c>
      <c r="C38" s="264">
        <v>0</v>
      </c>
      <c r="D38" s="265">
        <f>D39+D40</f>
        <v>9999.1</v>
      </c>
      <c r="E38" s="265">
        <v>10746.699999999999</v>
      </c>
      <c r="F38" s="265">
        <v>9992.4999999999982</v>
      </c>
      <c r="J38" s="267">
        <v>8689</v>
      </c>
      <c r="K38" s="267">
        <v>9683.1999999999989</v>
      </c>
      <c r="L38" s="267">
        <v>9503.1999999999989</v>
      </c>
    </row>
    <row r="39" spans="1:12" s="272" customFormat="1" ht="15.6" customHeight="1">
      <c r="A39" s="269" t="s">
        <v>7</v>
      </c>
      <c r="B39" s="270">
        <v>8</v>
      </c>
      <c r="C39" s="270">
        <v>1</v>
      </c>
      <c r="D39" s="271">
        <f>Прил.3!I186</f>
        <v>9238.5</v>
      </c>
      <c r="E39" s="271">
        <v>10074.299999999999</v>
      </c>
      <c r="F39" s="271">
        <v>9320.0999999999985</v>
      </c>
      <c r="J39" s="273">
        <v>8124.1</v>
      </c>
      <c r="K39" s="273">
        <v>9044.2999999999993</v>
      </c>
      <c r="L39" s="273">
        <v>8864.2999999999993</v>
      </c>
    </row>
    <row r="40" spans="1:12" s="272" customFormat="1" ht="15.6" customHeight="1">
      <c r="A40" s="269" t="s">
        <v>6</v>
      </c>
      <c r="B40" s="270">
        <v>8</v>
      </c>
      <c r="C40" s="270">
        <v>2</v>
      </c>
      <c r="D40" s="271">
        <v>760.6</v>
      </c>
      <c r="E40" s="271">
        <v>672.4</v>
      </c>
      <c r="F40" s="271">
        <v>672.4</v>
      </c>
      <c r="J40" s="273">
        <v>564.9</v>
      </c>
      <c r="K40" s="273">
        <v>638.9</v>
      </c>
      <c r="L40" s="273">
        <v>638.9</v>
      </c>
    </row>
    <row r="41" spans="1:12" s="268" customFormat="1" ht="15.6" customHeight="1">
      <c r="A41" s="285" t="s">
        <v>101</v>
      </c>
      <c r="B41" s="286" t="s">
        <v>74</v>
      </c>
      <c r="C41" s="287">
        <v>0</v>
      </c>
      <c r="D41" s="265">
        <v>60</v>
      </c>
      <c r="E41" s="265">
        <v>60</v>
      </c>
      <c r="F41" s="265">
        <v>60</v>
      </c>
      <c r="J41" s="267">
        <v>360</v>
      </c>
      <c r="K41" s="267">
        <v>360</v>
      </c>
      <c r="L41" s="267">
        <v>360</v>
      </c>
    </row>
    <row r="42" spans="1:12" s="272" customFormat="1" ht="15.6" customHeight="1">
      <c r="A42" s="288" t="s">
        <v>2</v>
      </c>
      <c r="B42" s="289" t="s">
        <v>74</v>
      </c>
      <c r="C42" s="289" t="s">
        <v>71</v>
      </c>
      <c r="D42" s="283">
        <v>60</v>
      </c>
      <c r="E42" s="283">
        <v>60</v>
      </c>
      <c r="F42" s="283">
        <v>60</v>
      </c>
      <c r="J42" s="273">
        <v>360</v>
      </c>
      <c r="K42" s="273">
        <v>360</v>
      </c>
      <c r="L42" s="273">
        <v>360</v>
      </c>
    </row>
    <row r="43" spans="1:12" s="272" customFormat="1" ht="15.6" customHeight="1">
      <c r="A43" s="263" t="s">
        <v>102</v>
      </c>
      <c r="B43" s="287">
        <v>11</v>
      </c>
      <c r="C43" s="287">
        <v>0</v>
      </c>
      <c r="D43" s="265">
        <f>D44</f>
        <v>489</v>
      </c>
      <c r="E43" s="265">
        <v>472.7</v>
      </c>
      <c r="F43" s="265">
        <v>472.7</v>
      </c>
      <c r="J43" s="273">
        <v>406.6</v>
      </c>
      <c r="K43" s="273">
        <v>406.6</v>
      </c>
      <c r="L43" s="273">
        <v>406.6</v>
      </c>
    </row>
    <row r="44" spans="1:12" s="272" customFormat="1" ht="15.6" customHeight="1" thickBot="1">
      <c r="A44" s="290" t="s">
        <v>4</v>
      </c>
      <c r="B44" s="291">
        <v>11</v>
      </c>
      <c r="C44" s="291">
        <v>1</v>
      </c>
      <c r="D44" s="292">
        <f>Прил.3!I208</f>
        <v>489</v>
      </c>
      <c r="E44" s="292">
        <v>472.7</v>
      </c>
      <c r="F44" s="292">
        <v>472.7</v>
      </c>
      <c r="J44" s="273">
        <v>406.6</v>
      </c>
      <c r="K44" s="273">
        <v>406.6</v>
      </c>
      <c r="L44" s="273">
        <v>406.6</v>
      </c>
    </row>
    <row r="45" spans="1:12" s="272" customFormat="1" ht="21.6" customHeight="1" thickBot="1">
      <c r="A45" s="293" t="s">
        <v>103</v>
      </c>
      <c r="B45" s="294"/>
      <c r="C45" s="295"/>
      <c r="D45" s="296">
        <f>D43+D41+D38+D36+D32+D26+D22+D15+D20</f>
        <v>101327.5</v>
      </c>
      <c r="E45" s="296">
        <f t="shared" ref="E45:F45" si="0">E43+E41+E38+E36+E32+E26+E22+E15+E20</f>
        <v>48437.799999999988</v>
      </c>
      <c r="F45" s="296">
        <f t="shared" si="0"/>
        <v>49810.2</v>
      </c>
      <c r="J45" s="273">
        <v>53932.800000000003</v>
      </c>
      <c r="K45" s="273">
        <v>50327.204400000002</v>
      </c>
      <c r="L45" s="273">
        <v>48536.9</v>
      </c>
    </row>
    <row r="46" spans="1:12" ht="15" hidden="1" customHeight="1">
      <c r="A46" s="297"/>
      <c r="B46" s="298"/>
      <c r="C46" s="298"/>
      <c r="D46" s="299"/>
    </row>
    <row r="47" spans="1:12" ht="15.75" hidden="1" customHeight="1">
      <c r="A47" s="297"/>
      <c r="B47" s="298"/>
      <c r="C47" s="298"/>
      <c r="D47" s="299"/>
    </row>
    <row r="48" spans="1:12" ht="15" hidden="1" customHeight="1">
      <c r="A48" s="297"/>
      <c r="B48" s="298"/>
      <c r="C48" s="298"/>
      <c r="D48" s="123">
        <f>D49+D94+D103+D142+D176+D217+D234+D241</f>
        <v>101327.5</v>
      </c>
    </row>
    <row r="49" spans="1:6" ht="13.2" hidden="1" customHeight="1">
      <c r="A49" s="300"/>
      <c r="B49" s="300"/>
      <c r="C49" s="300"/>
      <c r="D49" s="301">
        <f>D43+D41+D38+D32+D26+D22+D20+D15</f>
        <v>101327.5</v>
      </c>
      <c r="E49" s="301">
        <f>E43+E41+E38+E32+E26+E22+E20+E15</f>
        <v>48437.799999999996</v>
      </c>
      <c r="F49" s="301">
        <f>F43+F41+F38+F32+F26+F22+F20+F15</f>
        <v>49810.2</v>
      </c>
    </row>
    <row r="50" spans="1:6">
      <c r="A50" s="300"/>
      <c r="B50" s="300"/>
      <c r="C50" s="300"/>
      <c r="D50" s="301"/>
      <c r="E50" s="301"/>
      <c r="F50" s="301"/>
    </row>
    <row r="51" spans="1:6" ht="16.5" hidden="1" customHeight="1">
      <c r="A51" s="297"/>
      <c r="B51" s="298"/>
      <c r="C51" s="298"/>
      <c r="D51" s="302"/>
    </row>
    <row r="52" spans="1:6" ht="20.25" hidden="1" customHeight="1">
      <c r="A52" s="297"/>
      <c r="B52" s="298"/>
      <c r="C52" s="298"/>
      <c r="D52" s="302"/>
    </row>
    <row r="53" spans="1:6" ht="21" hidden="1" customHeight="1">
      <c r="A53" s="297"/>
      <c r="B53" s="298"/>
      <c r="C53" s="298"/>
      <c r="D53" s="302"/>
    </row>
    <row r="54" spans="1:6">
      <c r="A54" s="300"/>
      <c r="B54" s="300"/>
      <c r="C54" s="300"/>
      <c r="D54" s="301"/>
    </row>
    <row r="55" spans="1:6">
      <c r="A55" s="300"/>
      <c r="B55" s="300"/>
      <c r="C55" s="300"/>
      <c r="D55" s="301"/>
    </row>
    <row r="56" spans="1:6">
      <c r="A56" s="300"/>
      <c r="B56" s="300"/>
      <c r="C56" s="300"/>
      <c r="D56" s="301"/>
    </row>
    <row r="57" spans="1:6">
      <c r="A57" s="300"/>
      <c r="B57" s="300"/>
      <c r="C57" s="300"/>
      <c r="D57" s="301"/>
    </row>
    <row r="67" spans="1:6">
      <c r="A67" s="300"/>
      <c r="B67" s="300"/>
      <c r="C67" s="300"/>
      <c r="D67" s="301"/>
    </row>
    <row r="68" spans="1:6" s="304" customFormat="1" ht="1.5" customHeight="1">
      <c r="A68" s="297"/>
      <c r="B68" s="298"/>
      <c r="C68" s="298"/>
      <c r="D68" s="302"/>
      <c r="E68" s="303"/>
      <c r="F68" s="303"/>
    </row>
    <row r="69" spans="1:6" ht="15" hidden="1" customHeight="1">
      <c r="A69" s="297"/>
      <c r="B69" s="298"/>
      <c r="C69" s="298"/>
      <c r="D69" s="299"/>
    </row>
    <row r="70" spans="1:6" ht="17.25" hidden="1" customHeight="1">
      <c r="A70" s="297"/>
      <c r="B70" s="298"/>
      <c r="C70" s="298"/>
      <c r="D70" s="299"/>
    </row>
    <row r="71" spans="1:6" ht="19.5" hidden="1" customHeight="1">
      <c r="A71" s="297"/>
      <c r="B71" s="298"/>
      <c r="C71" s="298"/>
      <c r="D71" s="299"/>
    </row>
    <row r="72" spans="1:6" ht="19.5" hidden="1" customHeight="1">
      <c r="A72" s="297"/>
      <c r="B72" s="298"/>
      <c r="C72" s="298"/>
      <c r="D72" s="299"/>
    </row>
    <row r="73" spans="1:6" ht="27" hidden="1" customHeight="1">
      <c r="A73" s="297"/>
      <c r="B73" s="298"/>
      <c r="C73" s="298"/>
      <c r="D73" s="299"/>
    </row>
    <row r="74" spans="1:6" s="304" customFormat="1" ht="15.6" hidden="1">
      <c r="A74" s="305"/>
      <c r="B74" s="306"/>
      <c r="C74" s="306"/>
      <c r="D74" s="307"/>
      <c r="E74" s="303"/>
      <c r="F74" s="303"/>
    </row>
    <row r="75" spans="1:6" ht="21" hidden="1" customHeight="1">
      <c r="A75" s="308"/>
      <c r="B75" s="298"/>
      <c r="C75" s="298"/>
      <c r="D75" s="299"/>
    </row>
    <row r="76" spans="1:6" ht="57.75" hidden="1" customHeight="1">
      <c r="A76" s="297"/>
      <c r="B76" s="298"/>
      <c r="C76" s="298"/>
      <c r="D76" s="299"/>
    </row>
    <row r="77" spans="1:6" ht="19.5" hidden="1" customHeight="1">
      <c r="A77" s="297"/>
      <c r="B77" s="298"/>
      <c r="C77" s="298"/>
      <c r="D77" s="299"/>
    </row>
    <row r="78" spans="1:6" ht="10.5" customHeight="1">
      <c r="A78" s="297"/>
      <c r="B78" s="298"/>
      <c r="C78" s="298"/>
      <c r="D78" s="299"/>
    </row>
    <row r="80" spans="1:6">
      <c r="A80" s="309"/>
      <c r="B80" s="309"/>
      <c r="C80" s="309"/>
    </row>
    <row r="81" spans="1:3" ht="15.6">
      <c r="A81" s="308"/>
      <c r="B81" s="298"/>
      <c r="C81" s="298"/>
    </row>
    <row r="82" spans="1:3" ht="15.6">
      <c r="A82" s="305"/>
      <c r="B82" s="300"/>
      <c r="C82" s="300"/>
    </row>
    <row r="83" spans="1:3" ht="15.6">
      <c r="A83" s="297"/>
      <c r="B83" s="300"/>
      <c r="C83" s="300"/>
    </row>
  </sheetData>
  <mergeCells count="15">
    <mergeCell ref="F12:F13"/>
    <mergeCell ref="E1:F1"/>
    <mergeCell ref="E2:F2"/>
    <mergeCell ref="E3:F3"/>
    <mergeCell ref="E4:F4"/>
    <mergeCell ref="A10:F10"/>
    <mergeCell ref="E6:F6"/>
    <mergeCell ref="E7:F7"/>
    <mergeCell ref="E8:F8"/>
    <mergeCell ref="E9:F9"/>
    <mergeCell ref="A12:A13"/>
    <mergeCell ref="B12:B13"/>
    <mergeCell ref="C12:C13"/>
    <mergeCell ref="D12:D13"/>
    <mergeCell ref="E12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7"/>
  <sheetViews>
    <sheetView topLeftCell="A208" zoomScale="85" zoomScaleNormal="85" workbookViewId="0">
      <selection activeCell="A116" sqref="A116:D116"/>
    </sheetView>
  </sheetViews>
  <sheetFormatPr defaultColWidth="9.109375" defaultRowHeight="14.4"/>
  <cols>
    <col min="1" max="1" width="9.109375" style="109" customWidth="1"/>
    <col min="2" max="3" width="9.109375" style="110" customWidth="1"/>
    <col min="4" max="4" width="27.5546875" style="110" customWidth="1"/>
    <col min="5" max="5" width="3.88671875" style="112" customWidth="1"/>
    <col min="6" max="6" width="3.5546875" style="112" customWidth="1"/>
    <col min="7" max="7" width="13.6640625" style="112" customWidth="1"/>
    <col min="8" max="8" width="7.88671875" style="113" customWidth="1"/>
    <col min="9" max="9" width="14.44140625" style="112" customWidth="1"/>
    <col min="10" max="10" width="10.44140625" style="112" bestFit="1" customWidth="1"/>
    <col min="11" max="11" width="13.6640625" style="112" customWidth="1"/>
    <col min="12" max="12" width="10.44140625" style="112" bestFit="1" customWidth="1"/>
    <col min="13" max="13" width="14.109375" style="112" customWidth="1"/>
    <col min="14" max="14" width="10.44140625" style="112" bestFit="1" customWidth="1"/>
    <col min="15" max="15" width="0" style="112" hidden="1" customWidth="1"/>
    <col min="16" max="16" width="17.109375" style="114" hidden="1" customWidth="1"/>
    <col min="17" max="17" width="16.33203125" style="112" hidden="1" customWidth="1"/>
    <col min="18" max="18" width="15" style="112" hidden="1" customWidth="1"/>
    <col min="19" max="19" width="12.6640625" style="112" hidden="1" customWidth="1"/>
    <col min="20" max="29" width="0" style="112" hidden="1" customWidth="1"/>
    <col min="30" max="34" width="14" style="115" hidden="1" customWidth="1"/>
    <col min="35" max="35" width="0" style="112" hidden="1" customWidth="1"/>
    <col min="36" max="36" width="11.44140625" style="116" hidden="1" customWidth="1"/>
    <col min="37" max="40" width="0" style="112" hidden="1" customWidth="1"/>
    <col min="41" max="251" width="9.109375" style="112"/>
    <col min="252" max="254" width="9.109375" style="112" customWidth="1"/>
    <col min="255" max="255" width="27.5546875" style="112" customWidth="1"/>
    <col min="256" max="260" width="0" style="112" hidden="1" customWidth="1"/>
    <col min="261" max="261" width="3.88671875" style="112" customWidth="1"/>
    <col min="262" max="262" width="3.5546875" style="112" customWidth="1"/>
    <col min="263" max="263" width="13.6640625" style="112" customWidth="1"/>
    <col min="264" max="264" width="7.88671875" style="112" customWidth="1"/>
    <col min="265" max="265" width="11.44140625" style="112" customWidth="1"/>
    <col min="266" max="266" width="10.44140625" style="112" bestFit="1" customWidth="1"/>
    <col min="267" max="267" width="9.5546875" style="112" customWidth="1"/>
    <col min="268" max="268" width="10.44140625" style="112" bestFit="1" customWidth="1"/>
    <col min="269" max="269" width="8.88671875" style="112" customWidth="1"/>
    <col min="270" max="270" width="10.44140625" style="112" bestFit="1" customWidth="1"/>
    <col min="271" max="295" width="0" style="112" hidden="1" customWidth="1"/>
    <col min="296" max="507" width="9.109375" style="112"/>
    <col min="508" max="510" width="9.109375" style="112" customWidth="1"/>
    <col min="511" max="511" width="27.5546875" style="112" customWidth="1"/>
    <col min="512" max="516" width="0" style="112" hidden="1" customWidth="1"/>
    <col min="517" max="517" width="3.88671875" style="112" customWidth="1"/>
    <col min="518" max="518" width="3.5546875" style="112" customWidth="1"/>
    <col min="519" max="519" width="13.6640625" style="112" customWidth="1"/>
    <col min="520" max="520" width="7.88671875" style="112" customWidth="1"/>
    <col min="521" max="521" width="11.44140625" style="112" customWidth="1"/>
    <col min="522" max="522" width="10.44140625" style="112" bestFit="1" customWidth="1"/>
    <col min="523" max="523" width="9.5546875" style="112" customWidth="1"/>
    <col min="524" max="524" width="10.44140625" style="112" bestFit="1" customWidth="1"/>
    <col min="525" max="525" width="8.88671875" style="112" customWidth="1"/>
    <col min="526" max="526" width="10.44140625" style="112" bestFit="1" customWidth="1"/>
    <col min="527" max="551" width="0" style="112" hidden="1" customWidth="1"/>
    <col min="552" max="763" width="9.109375" style="112"/>
    <col min="764" max="766" width="9.109375" style="112" customWidth="1"/>
    <col min="767" max="767" width="27.5546875" style="112" customWidth="1"/>
    <col min="768" max="772" width="0" style="112" hidden="1" customWidth="1"/>
    <col min="773" max="773" width="3.88671875" style="112" customWidth="1"/>
    <col min="774" max="774" width="3.5546875" style="112" customWidth="1"/>
    <col min="775" max="775" width="13.6640625" style="112" customWidth="1"/>
    <col min="776" max="776" width="7.88671875" style="112" customWidth="1"/>
    <col min="777" max="777" width="11.44140625" style="112" customWidth="1"/>
    <col min="778" max="778" width="10.44140625" style="112" bestFit="1" customWidth="1"/>
    <col min="779" max="779" width="9.5546875" style="112" customWidth="1"/>
    <col min="780" max="780" width="10.44140625" style="112" bestFit="1" customWidth="1"/>
    <col min="781" max="781" width="8.88671875" style="112" customWidth="1"/>
    <col min="782" max="782" width="10.44140625" style="112" bestFit="1" customWidth="1"/>
    <col min="783" max="807" width="0" style="112" hidden="1" customWidth="1"/>
    <col min="808" max="1019" width="9.109375" style="112"/>
    <col min="1020" max="1022" width="9.109375" style="112" customWidth="1"/>
    <col min="1023" max="1023" width="27.5546875" style="112" customWidth="1"/>
    <col min="1024" max="1028" width="0" style="112" hidden="1" customWidth="1"/>
    <col min="1029" max="1029" width="3.88671875" style="112" customWidth="1"/>
    <col min="1030" max="1030" width="3.5546875" style="112" customWidth="1"/>
    <col min="1031" max="1031" width="13.6640625" style="112" customWidth="1"/>
    <col min="1032" max="1032" width="7.88671875" style="112" customWidth="1"/>
    <col min="1033" max="1033" width="11.44140625" style="112" customWidth="1"/>
    <col min="1034" max="1034" width="10.44140625" style="112" bestFit="1" customWidth="1"/>
    <col min="1035" max="1035" width="9.5546875" style="112" customWidth="1"/>
    <col min="1036" max="1036" width="10.44140625" style="112" bestFit="1" customWidth="1"/>
    <col min="1037" max="1037" width="8.88671875" style="112" customWidth="1"/>
    <col min="1038" max="1038" width="10.44140625" style="112" bestFit="1" customWidth="1"/>
    <col min="1039" max="1063" width="0" style="112" hidden="1" customWidth="1"/>
    <col min="1064" max="1275" width="9.109375" style="112"/>
    <col min="1276" max="1278" width="9.109375" style="112" customWidth="1"/>
    <col min="1279" max="1279" width="27.5546875" style="112" customWidth="1"/>
    <col min="1280" max="1284" width="0" style="112" hidden="1" customWidth="1"/>
    <col min="1285" max="1285" width="3.88671875" style="112" customWidth="1"/>
    <col min="1286" max="1286" width="3.5546875" style="112" customWidth="1"/>
    <col min="1287" max="1287" width="13.6640625" style="112" customWidth="1"/>
    <col min="1288" max="1288" width="7.88671875" style="112" customWidth="1"/>
    <col min="1289" max="1289" width="11.44140625" style="112" customWidth="1"/>
    <col min="1290" max="1290" width="10.44140625" style="112" bestFit="1" customWidth="1"/>
    <col min="1291" max="1291" width="9.5546875" style="112" customWidth="1"/>
    <col min="1292" max="1292" width="10.44140625" style="112" bestFit="1" customWidth="1"/>
    <col min="1293" max="1293" width="8.88671875" style="112" customWidth="1"/>
    <col min="1294" max="1294" width="10.44140625" style="112" bestFit="1" customWidth="1"/>
    <col min="1295" max="1319" width="0" style="112" hidden="1" customWidth="1"/>
    <col min="1320" max="1531" width="9.109375" style="112"/>
    <col min="1532" max="1534" width="9.109375" style="112" customWidth="1"/>
    <col min="1535" max="1535" width="27.5546875" style="112" customWidth="1"/>
    <col min="1536" max="1540" width="0" style="112" hidden="1" customWidth="1"/>
    <col min="1541" max="1541" width="3.88671875" style="112" customWidth="1"/>
    <col min="1542" max="1542" width="3.5546875" style="112" customWidth="1"/>
    <col min="1543" max="1543" width="13.6640625" style="112" customWidth="1"/>
    <col min="1544" max="1544" width="7.88671875" style="112" customWidth="1"/>
    <col min="1545" max="1545" width="11.44140625" style="112" customWidth="1"/>
    <col min="1546" max="1546" width="10.44140625" style="112" bestFit="1" customWidth="1"/>
    <col min="1547" max="1547" width="9.5546875" style="112" customWidth="1"/>
    <col min="1548" max="1548" width="10.44140625" style="112" bestFit="1" customWidth="1"/>
    <col min="1549" max="1549" width="8.88671875" style="112" customWidth="1"/>
    <col min="1550" max="1550" width="10.44140625" style="112" bestFit="1" customWidth="1"/>
    <col min="1551" max="1575" width="0" style="112" hidden="1" customWidth="1"/>
    <col min="1576" max="1787" width="9.109375" style="112"/>
    <col min="1788" max="1790" width="9.109375" style="112" customWidth="1"/>
    <col min="1791" max="1791" width="27.5546875" style="112" customWidth="1"/>
    <col min="1792" max="1796" width="0" style="112" hidden="1" customWidth="1"/>
    <col min="1797" max="1797" width="3.88671875" style="112" customWidth="1"/>
    <col min="1798" max="1798" width="3.5546875" style="112" customWidth="1"/>
    <col min="1799" max="1799" width="13.6640625" style="112" customWidth="1"/>
    <col min="1800" max="1800" width="7.88671875" style="112" customWidth="1"/>
    <col min="1801" max="1801" width="11.44140625" style="112" customWidth="1"/>
    <col min="1802" max="1802" width="10.44140625" style="112" bestFit="1" customWidth="1"/>
    <col min="1803" max="1803" width="9.5546875" style="112" customWidth="1"/>
    <col min="1804" max="1804" width="10.44140625" style="112" bestFit="1" customWidth="1"/>
    <col min="1805" max="1805" width="8.88671875" style="112" customWidth="1"/>
    <col min="1806" max="1806" width="10.44140625" style="112" bestFit="1" customWidth="1"/>
    <col min="1807" max="1831" width="0" style="112" hidden="1" customWidth="1"/>
    <col min="1832" max="2043" width="9.109375" style="112"/>
    <col min="2044" max="2046" width="9.109375" style="112" customWidth="1"/>
    <col min="2047" max="2047" width="27.5546875" style="112" customWidth="1"/>
    <col min="2048" max="2052" width="0" style="112" hidden="1" customWidth="1"/>
    <col min="2053" max="2053" width="3.88671875" style="112" customWidth="1"/>
    <col min="2054" max="2054" width="3.5546875" style="112" customWidth="1"/>
    <col min="2055" max="2055" width="13.6640625" style="112" customWidth="1"/>
    <col min="2056" max="2056" width="7.88671875" style="112" customWidth="1"/>
    <col min="2057" max="2057" width="11.44140625" style="112" customWidth="1"/>
    <col min="2058" max="2058" width="10.44140625" style="112" bestFit="1" customWidth="1"/>
    <col min="2059" max="2059" width="9.5546875" style="112" customWidth="1"/>
    <col min="2060" max="2060" width="10.44140625" style="112" bestFit="1" customWidth="1"/>
    <col min="2061" max="2061" width="8.88671875" style="112" customWidth="1"/>
    <col min="2062" max="2062" width="10.44140625" style="112" bestFit="1" customWidth="1"/>
    <col min="2063" max="2087" width="0" style="112" hidden="1" customWidth="1"/>
    <col min="2088" max="2299" width="9.109375" style="112"/>
    <col min="2300" max="2302" width="9.109375" style="112" customWidth="1"/>
    <col min="2303" max="2303" width="27.5546875" style="112" customWidth="1"/>
    <col min="2304" max="2308" width="0" style="112" hidden="1" customWidth="1"/>
    <col min="2309" max="2309" width="3.88671875" style="112" customWidth="1"/>
    <col min="2310" max="2310" width="3.5546875" style="112" customWidth="1"/>
    <col min="2311" max="2311" width="13.6640625" style="112" customWidth="1"/>
    <col min="2312" max="2312" width="7.88671875" style="112" customWidth="1"/>
    <col min="2313" max="2313" width="11.44140625" style="112" customWidth="1"/>
    <col min="2314" max="2314" width="10.44140625" style="112" bestFit="1" customWidth="1"/>
    <col min="2315" max="2315" width="9.5546875" style="112" customWidth="1"/>
    <col min="2316" max="2316" width="10.44140625" style="112" bestFit="1" customWidth="1"/>
    <col min="2317" max="2317" width="8.88671875" style="112" customWidth="1"/>
    <col min="2318" max="2318" width="10.44140625" style="112" bestFit="1" customWidth="1"/>
    <col min="2319" max="2343" width="0" style="112" hidden="1" customWidth="1"/>
    <col min="2344" max="2555" width="9.109375" style="112"/>
    <col min="2556" max="2558" width="9.109375" style="112" customWidth="1"/>
    <col min="2559" max="2559" width="27.5546875" style="112" customWidth="1"/>
    <col min="2560" max="2564" width="0" style="112" hidden="1" customWidth="1"/>
    <col min="2565" max="2565" width="3.88671875" style="112" customWidth="1"/>
    <col min="2566" max="2566" width="3.5546875" style="112" customWidth="1"/>
    <col min="2567" max="2567" width="13.6640625" style="112" customWidth="1"/>
    <col min="2568" max="2568" width="7.88671875" style="112" customWidth="1"/>
    <col min="2569" max="2569" width="11.44140625" style="112" customWidth="1"/>
    <col min="2570" max="2570" width="10.44140625" style="112" bestFit="1" customWidth="1"/>
    <col min="2571" max="2571" width="9.5546875" style="112" customWidth="1"/>
    <col min="2572" max="2572" width="10.44140625" style="112" bestFit="1" customWidth="1"/>
    <col min="2573" max="2573" width="8.88671875" style="112" customWidth="1"/>
    <col min="2574" max="2574" width="10.44140625" style="112" bestFit="1" customWidth="1"/>
    <col min="2575" max="2599" width="0" style="112" hidden="1" customWidth="1"/>
    <col min="2600" max="2811" width="9.109375" style="112"/>
    <col min="2812" max="2814" width="9.109375" style="112" customWidth="1"/>
    <col min="2815" max="2815" width="27.5546875" style="112" customWidth="1"/>
    <col min="2816" max="2820" width="0" style="112" hidden="1" customWidth="1"/>
    <col min="2821" max="2821" width="3.88671875" style="112" customWidth="1"/>
    <col min="2822" max="2822" width="3.5546875" style="112" customWidth="1"/>
    <col min="2823" max="2823" width="13.6640625" style="112" customWidth="1"/>
    <col min="2824" max="2824" width="7.88671875" style="112" customWidth="1"/>
    <col min="2825" max="2825" width="11.44140625" style="112" customWidth="1"/>
    <col min="2826" max="2826" width="10.44140625" style="112" bestFit="1" customWidth="1"/>
    <col min="2827" max="2827" width="9.5546875" style="112" customWidth="1"/>
    <col min="2828" max="2828" width="10.44140625" style="112" bestFit="1" customWidth="1"/>
    <col min="2829" max="2829" width="8.88671875" style="112" customWidth="1"/>
    <col min="2830" max="2830" width="10.44140625" style="112" bestFit="1" customWidth="1"/>
    <col min="2831" max="2855" width="0" style="112" hidden="1" customWidth="1"/>
    <col min="2856" max="3067" width="9.109375" style="112"/>
    <col min="3068" max="3070" width="9.109375" style="112" customWidth="1"/>
    <col min="3071" max="3071" width="27.5546875" style="112" customWidth="1"/>
    <col min="3072" max="3076" width="0" style="112" hidden="1" customWidth="1"/>
    <col min="3077" max="3077" width="3.88671875" style="112" customWidth="1"/>
    <col min="3078" max="3078" width="3.5546875" style="112" customWidth="1"/>
    <col min="3079" max="3079" width="13.6640625" style="112" customWidth="1"/>
    <col min="3080" max="3080" width="7.88671875" style="112" customWidth="1"/>
    <col min="3081" max="3081" width="11.44140625" style="112" customWidth="1"/>
    <col min="3082" max="3082" width="10.44140625" style="112" bestFit="1" customWidth="1"/>
    <col min="3083" max="3083" width="9.5546875" style="112" customWidth="1"/>
    <col min="3084" max="3084" width="10.44140625" style="112" bestFit="1" customWidth="1"/>
    <col min="3085" max="3085" width="8.88671875" style="112" customWidth="1"/>
    <col min="3086" max="3086" width="10.44140625" style="112" bestFit="1" customWidth="1"/>
    <col min="3087" max="3111" width="0" style="112" hidden="1" customWidth="1"/>
    <col min="3112" max="3323" width="9.109375" style="112"/>
    <col min="3324" max="3326" width="9.109375" style="112" customWidth="1"/>
    <col min="3327" max="3327" width="27.5546875" style="112" customWidth="1"/>
    <col min="3328" max="3332" width="0" style="112" hidden="1" customWidth="1"/>
    <col min="3333" max="3333" width="3.88671875" style="112" customWidth="1"/>
    <col min="3334" max="3334" width="3.5546875" style="112" customWidth="1"/>
    <col min="3335" max="3335" width="13.6640625" style="112" customWidth="1"/>
    <col min="3336" max="3336" width="7.88671875" style="112" customWidth="1"/>
    <col min="3337" max="3337" width="11.44140625" style="112" customWidth="1"/>
    <col min="3338" max="3338" width="10.44140625" style="112" bestFit="1" customWidth="1"/>
    <col min="3339" max="3339" width="9.5546875" style="112" customWidth="1"/>
    <col min="3340" max="3340" width="10.44140625" style="112" bestFit="1" customWidth="1"/>
    <col min="3341" max="3341" width="8.88671875" style="112" customWidth="1"/>
    <col min="3342" max="3342" width="10.44140625" style="112" bestFit="1" customWidth="1"/>
    <col min="3343" max="3367" width="0" style="112" hidden="1" customWidth="1"/>
    <col min="3368" max="3579" width="9.109375" style="112"/>
    <col min="3580" max="3582" width="9.109375" style="112" customWidth="1"/>
    <col min="3583" max="3583" width="27.5546875" style="112" customWidth="1"/>
    <col min="3584" max="3588" width="0" style="112" hidden="1" customWidth="1"/>
    <col min="3589" max="3589" width="3.88671875" style="112" customWidth="1"/>
    <col min="3590" max="3590" width="3.5546875" style="112" customWidth="1"/>
    <col min="3591" max="3591" width="13.6640625" style="112" customWidth="1"/>
    <col min="3592" max="3592" width="7.88671875" style="112" customWidth="1"/>
    <col min="3593" max="3593" width="11.44140625" style="112" customWidth="1"/>
    <col min="3594" max="3594" width="10.44140625" style="112" bestFit="1" customWidth="1"/>
    <col min="3595" max="3595" width="9.5546875" style="112" customWidth="1"/>
    <col min="3596" max="3596" width="10.44140625" style="112" bestFit="1" customWidth="1"/>
    <col min="3597" max="3597" width="8.88671875" style="112" customWidth="1"/>
    <col min="3598" max="3598" width="10.44140625" style="112" bestFit="1" customWidth="1"/>
    <col min="3599" max="3623" width="0" style="112" hidden="1" customWidth="1"/>
    <col min="3624" max="3835" width="9.109375" style="112"/>
    <col min="3836" max="3838" width="9.109375" style="112" customWidth="1"/>
    <col min="3839" max="3839" width="27.5546875" style="112" customWidth="1"/>
    <col min="3840" max="3844" width="0" style="112" hidden="1" customWidth="1"/>
    <col min="3845" max="3845" width="3.88671875" style="112" customWidth="1"/>
    <col min="3846" max="3846" width="3.5546875" style="112" customWidth="1"/>
    <col min="3847" max="3847" width="13.6640625" style="112" customWidth="1"/>
    <col min="3848" max="3848" width="7.88671875" style="112" customWidth="1"/>
    <col min="3849" max="3849" width="11.44140625" style="112" customWidth="1"/>
    <col min="3850" max="3850" width="10.44140625" style="112" bestFit="1" customWidth="1"/>
    <col min="3851" max="3851" width="9.5546875" style="112" customWidth="1"/>
    <col min="3852" max="3852" width="10.44140625" style="112" bestFit="1" customWidth="1"/>
    <col min="3853" max="3853" width="8.88671875" style="112" customWidth="1"/>
    <col min="3854" max="3854" width="10.44140625" style="112" bestFit="1" customWidth="1"/>
    <col min="3855" max="3879" width="0" style="112" hidden="1" customWidth="1"/>
    <col min="3880" max="4091" width="9.109375" style="112"/>
    <col min="4092" max="4094" width="9.109375" style="112" customWidth="1"/>
    <col min="4095" max="4095" width="27.5546875" style="112" customWidth="1"/>
    <col min="4096" max="4100" width="0" style="112" hidden="1" customWidth="1"/>
    <col min="4101" max="4101" width="3.88671875" style="112" customWidth="1"/>
    <col min="4102" max="4102" width="3.5546875" style="112" customWidth="1"/>
    <col min="4103" max="4103" width="13.6640625" style="112" customWidth="1"/>
    <col min="4104" max="4104" width="7.88671875" style="112" customWidth="1"/>
    <col min="4105" max="4105" width="11.44140625" style="112" customWidth="1"/>
    <col min="4106" max="4106" width="10.44140625" style="112" bestFit="1" customWidth="1"/>
    <col min="4107" max="4107" width="9.5546875" style="112" customWidth="1"/>
    <col min="4108" max="4108" width="10.44140625" style="112" bestFit="1" customWidth="1"/>
    <col min="4109" max="4109" width="8.88671875" style="112" customWidth="1"/>
    <col min="4110" max="4110" width="10.44140625" style="112" bestFit="1" customWidth="1"/>
    <col min="4111" max="4135" width="0" style="112" hidden="1" customWidth="1"/>
    <col min="4136" max="4347" width="9.109375" style="112"/>
    <col min="4348" max="4350" width="9.109375" style="112" customWidth="1"/>
    <col min="4351" max="4351" width="27.5546875" style="112" customWidth="1"/>
    <col min="4352" max="4356" width="0" style="112" hidden="1" customWidth="1"/>
    <col min="4357" max="4357" width="3.88671875" style="112" customWidth="1"/>
    <col min="4358" max="4358" width="3.5546875" style="112" customWidth="1"/>
    <col min="4359" max="4359" width="13.6640625" style="112" customWidth="1"/>
    <col min="4360" max="4360" width="7.88671875" style="112" customWidth="1"/>
    <col min="4361" max="4361" width="11.44140625" style="112" customWidth="1"/>
    <col min="4362" max="4362" width="10.44140625" style="112" bestFit="1" customWidth="1"/>
    <col min="4363" max="4363" width="9.5546875" style="112" customWidth="1"/>
    <col min="4364" max="4364" width="10.44140625" style="112" bestFit="1" customWidth="1"/>
    <col min="4365" max="4365" width="8.88671875" style="112" customWidth="1"/>
    <col min="4366" max="4366" width="10.44140625" style="112" bestFit="1" customWidth="1"/>
    <col min="4367" max="4391" width="0" style="112" hidden="1" customWidth="1"/>
    <col min="4392" max="4603" width="9.109375" style="112"/>
    <col min="4604" max="4606" width="9.109375" style="112" customWidth="1"/>
    <col min="4607" max="4607" width="27.5546875" style="112" customWidth="1"/>
    <col min="4608" max="4612" width="0" style="112" hidden="1" customWidth="1"/>
    <col min="4613" max="4613" width="3.88671875" style="112" customWidth="1"/>
    <col min="4614" max="4614" width="3.5546875" style="112" customWidth="1"/>
    <col min="4615" max="4615" width="13.6640625" style="112" customWidth="1"/>
    <col min="4616" max="4616" width="7.88671875" style="112" customWidth="1"/>
    <col min="4617" max="4617" width="11.44140625" style="112" customWidth="1"/>
    <col min="4618" max="4618" width="10.44140625" style="112" bestFit="1" customWidth="1"/>
    <col min="4619" max="4619" width="9.5546875" style="112" customWidth="1"/>
    <col min="4620" max="4620" width="10.44140625" style="112" bestFit="1" customWidth="1"/>
    <col min="4621" max="4621" width="8.88671875" style="112" customWidth="1"/>
    <col min="4622" max="4622" width="10.44140625" style="112" bestFit="1" customWidth="1"/>
    <col min="4623" max="4647" width="0" style="112" hidden="1" customWidth="1"/>
    <col min="4648" max="4859" width="9.109375" style="112"/>
    <col min="4860" max="4862" width="9.109375" style="112" customWidth="1"/>
    <col min="4863" max="4863" width="27.5546875" style="112" customWidth="1"/>
    <col min="4864" max="4868" width="0" style="112" hidden="1" customWidth="1"/>
    <col min="4869" max="4869" width="3.88671875" style="112" customWidth="1"/>
    <col min="4870" max="4870" width="3.5546875" style="112" customWidth="1"/>
    <col min="4871" max="4871" width="13.6640625" style="112" customWidth="1"/>
    <col min="4872" max="4872" width="7.88671875" style="112" customWidth="1"/>
    <col min="4873" max="4873" width="11.44140625" style="112" customWidth="1"/>
    <col min="4874" max="4874" width="10.44140625" style="112" bestFit="1" customWidth="1"/>
    <col min="4875" max="4875" width="9.5546875" style="112" customWidth="1"/>
    <col min="4876" max="4876" width="10.44140625" style="112" bestFit="1" customWidth="1"/>
    <col min="4877" max="4877" width="8.88671875" style="112" customWidth="1"/>
    <col min="4878" max="4878" width="10.44140625" style="112" bestFit="1" customWidth="1"/>
    <col min="4879" max="4903" width="0" style="112" hidden="1" customWidth="1"/>
    <col min="4904" max="5115" width="9.109375" style="112"/>
    <col min="5116" max="5118" width="9.109375" style="112" customWidth="1"/>
    <col min="5119" max="5119" width="27.5546875" style="112" customWidth="1"/>
    <col min="5120" max="5124" width="0" style="112" hidden="1" customWidth="1"/>
    <col min="5125" max="5125" width="3.88671875" style="112" customWidth="1"/>
    <col min="5126" max="5126" width="3.5546875" style="112" customWidth="1"/>
    <col min="5127" max="5127" width="13.6640625" style="112" customWidth="1"/>
    <col min="5128" max="5128" width="7.88671875" style="112" customWidth="1"/>
    <col min="5129" max="5129" width="11.44140625" style="112" customWidth="1"/>
    <col min="5130" max="5130" width="10.44140625" style="112" bestFit="1" customWidth="1"/>
    <col min="5131" max="5131" width="9.5546875" style="112" customWidth="1"/>
    <col min="5132" max="5132" width="10.44140625" style="112" bestFit="1" customWidth="1"/>
    <col min="5133" max="5133" width="8.88671875" style="112" customWidth="1"/>
    <col min="5134" max="5134" width="10.44140625" style="112" bestFit="1" customWidth="1"/>
    <col min="5135" max="5159" width="0" style="112" hidden="1" customWidth="1"/>
    <col min="5160" max="5371" width="9.109375" style="112"/>
    <col min="5372" max="5374" width="9.109375" style="112" customWidth="1"/>
    <col min="5375" max="5375" width="27.5546875" style="112" customWidth="1"/>
    <col min="5376" max="5380" width="0" style="112" hidden="1" customWidth="1"/>
    <col min="5381" max="5381" width="3.88671875" style="112" customWidth="1"/>
    <col min="5382" max="5382" width="3.5546875" style="112" customWidth="1"/>
    <col min="5383" max="5383" width="13.6640625" style="112" customWidth="1"/>
    <col min="5384" max="5384" width="7.88671875" style="112" customWidth="1"/>
    <col min="5385" max="5385" width="11.44140625" style="112" customWidth="1"/>
    <col min="5386" max="5386" width="10.44140625" style="112" bestFit="1" customWidth="1"/>
    <col min="5387" max="5387" width="9.5546875" style="112" customWidth="1"/>
    <col min="5388" max="5388" width="10.44140625" style="112" bestFit="1" customWidth="1"/>
    <col min="5389" max="5389" width="8.88671875" style="112" customWidth="1"/>
    <col min="5390" max="5390" width="10.44140625" style="112" bestFit="1" customWidth="1"/>
    <col min="5391" max="5415" width="0" style="112" hidden="1" customWidth="1"/>
    <col min="5416" max="5627" width="9.109375" style="112"/>
    <col min="5628" max="5630" width="9.109375" style="112" customWidth="1"/>
    <col min="5631" max="5631" width="27.5546875" style="112" customWidth="1"/>
    <col min="5632" max="5636" width="0" style="112" hidden="1" customWidth="1"/>
    <col min="5637" max="5637" width="3.88671875" style="112" customWidth="1"/>
    <col min="5638" max="5638" width="3.5546875" style="112" customWidth="1"/>
    <col min="5639" max="5639" width="13.6640625" style="112" customWidth="1"/>
    <col min="5640" max="5640" width="7.88671875" style="112" customWidth="1"/>
    <col min="5641" max="5641" width="11.44140625" style="112" customWidth="1"/>
    <col min="5642" max="5642" width="10.44140625" style="112" bestFit="1" customWidth="1"/>
    <col min="5643" max="5643" width="9.5546875" style="112" customWidth="1"/>
    <col min="5644" max="5644" width="10.44140625" style="112" bestFit="1" customWidth="1"/>
    <col min="5645" max="5645" width="8.88671875" style="112" customWidth="1"/>
    <col min="5646" max="5646" width="10.44140625" style="112" bestFit="1" customWidth="1"/>
    <col min="5647" max="5671" width="0" style="112" hidden="1" customWidth="1"/>
    <col min="5672" max="5883" width="9.109375" style="112"/>
    <col min="5884" max="5886" width="9.109375" style="112" customWidth="1"/>
    <col min="5887" max="5887" width="27.5546875" style="112" customWidth="1"/>
    <col min="5888" max="5892" width="0" style="112" hidden="1" customWidth="1"/>
    <col min="5893" max="5893" width="3.88671875" style="112" customWidth="1"/>
    <col min="5894" max="5894" width="3.5546875" style="112" customWidth="1"/>
    <col min="5895" max="5895" width="13.6640625" style="112" customWidth="1"/>
    <col min="5896" max="5896" width="7.88671875" style="112" customWidth="1"/>
    <col min="5897" max="5897" width="11.44140625" style="112" customWidth="1"/>
    <col min="5898" max="5898" width="10.44140625" style="112" bestFit="1" customWidth="1"/>
    <col min="5899" max="5899" width="9.5546875" style="112" customWidth="1"/>
    <col min="5900" max="5900" width="10.44140625" style="112" bestFit="1" customWidth="1"/>
    <col min="5901" max="5901" width="8.88671875" style="112" customWidth="1"/>
    <col min="5902" max="5902" width="10.44140625" style="112" bestFit="1" customWidth="1"/>
    <col min="5903" max="5927" width="0" style="112" hidden="1" customWidth="1"/>
    <col min="5928" max="6139" width="9.109375" style="112"/>
    <col min="6140" max="6142" width="9.109375" style="112" customWidth="1"/>
    <col min="6143" max="6143" width="27.5546875" style="112" customWidth="1"/>
    <col min="6144" max="6148" width="0" style="112" hidden="1" customWidth="1"/>
    <col min="6149" max="6149" width="3.88671875" style="112" customWidth="1"/>
    <col min="6150" max="6150" width="3.5546875" style="112" customWidth="1"/>
    <col min="6151" max="6151" width="13.6640625" style="112" customWidth="1"/>
    <col min="6152" max="6152" width="7.88671875" style="112" customWidth="1"/>
    <col min="6153" max="6153" width="11.44140625" style="112" customWidth="1"/>
    <col min="6154" max="6154" width="10.44140625" style="112" bestFit="1" customWidth="1"/>
    <col min="6155" max="6155" width="9.5546875" style="112" customWidth="1"/>
    <col min="6156" max="6156" width="10.44140625" style="112" bestFit="1" customWidth="1"/>
    <col min="6157" max="6157" width="8.88671875" style="112" customWidth="1"/>
    <col min="6158" max="6158" width="10.44140625" style="112" bestFit="1" customWidth="1"/>
    <col min="6159" max="6183" width="0" style="112" hidden="1" customWidth="1"/>
    <col min="6184" max="6395" width="9.109375" style="112"/>
    <col min="6396" max="6398" width="9.109375" style="112" customWidth="1"/>
    <col min="6399" max="6399" width="27.5546875" style="112" customWidth="1"/>
    <col min="6400" max="6404" width="0" style="112" hidden="1" customWidth="1"/>
    <col min="6405" max="6405" width="3.88671875" style="112" customWidth="1"/>
    <col min="6406" max="6406" width="3.5546875" style="112" customWidth="1"/>
    <col min="6407" max="6407" width="13.6640625" style="112" customWidth="1"/>
    <col min="6408" max="6408" width="7.88671875" style="112" customWidth="1"/>
    <col min="6409" max="6409" width="11.44140625" style="112" customWidth="1"/>
    <col min="6410" max="6410" width="10.44140625" style="112" bestFit="1" customWidth="1"/>
    <col min="6411" max="6411" width="9.5546875" style="112" customWidth="1"/>
    <col min="6412" max="6412" width="10.44140625" style="112" bestFit="1" customWidth="1"/>
    <col min="6413" max="6413" width="8.88671875" style="112" customWidth="1"/>
    <col min="6414" max="6414" width="10.44140625" style="112" bestFit="1" customWidth="1"/>
    <col min="6415" max="6439" width="0" style="112" hidden="1" customWidth="1"/>
    <col min="6440" max="6651" width="9.109375" style="112"/>
    <col min="6652" max="6654" width="9.109375" style="112" customWidth="1"/>
    <col min="6655" max="6655" width="27.5546875" style="112" customWidth="1"/>
    <col min="6656" max="6660" width="0" style="112" hidden="1" customWidth="1"/>
    <col min="6661" max="6661" width="3.88671875" style="112" customWidth="1"/>
    <col min="6662" max="6662" width="3.5546875" style="112" customWidth="1"/>
    <col min="6663" max="6663" width="13.6640625" style="112" customWidth="1"/>
    <col min="6664" max="6664" width="7.88671875" style="112" customWidth="1"/>
    <col min="6665" max="6665" width="11.44140625" style="112" customWidth="1"/>
    <col min="6666" max="6666" width="10.44140625" style="112" bestFit="1" customWidth="1"/>
    <col min="6667" max="6667" width="9.5546875" style="112" customWidth="1"/>
    <col min="6668" max="6668" width="10.44140625" style="112" bestFit="1" customWidth="1"/>
    <col min="6669" max="6669" width="8.88671875" style="112" customWidth="1"/>
    <col min="6670" max="6670" width="10.44140625" style="112" bestFit="1" customWidth="1"/>
    <col min="6671" max="6695" width="0" style="112" hidden="1" customWidth="1"/>
    <col min="6696" max="6907" width="9.109375" style="112"/>
    <col min="6908" max="6910" width="9.109375" style="112" customWidth="1"/>
    <col min="6911" max="6911" width="27.5546875" style="112" customWidth="1"/>
    <col min="6912" max="6916" width="0" style="112" hidden="1" customWidth="1"/>
    <col min="6917" max="6917" width="3.88671875" style="112" customWidth="1"/>
    <col min="6918" max="6918" width="3.5546875" style="112" customWidth="1"/>
    <col min="6919" max="6919" width="13.6640625" style="112" customWidth="1"/>
    <col min="6920" max="6920" width="7.88671875" style="112" customWidth="1"/>
    <col min="6921" max="6921" width="11.44140625" style="112" customWidth="1"/>
    <col min="6922" max="6922" width="10.44140625" style="112" bestFit="1" customWidth="1"/>
    <col min="6923" max="6923" width="9.5546875" style="112" customWidth="1"/>
    <col min="6924" max="6924" width="10.44140625" style="112" bestFit="1" customWidth="1"/>
    <col min="6925" max="6925" width="8.88671875" style="112" customWidth="1"/>
    <col min="6926" max="6926" width="10.44140625" style="112" bestFit="1" customWidth="1"/>
    <col min="6927" max="6951" width="0" style="112" hidden="1" customWidth="1"/>
    <col min="6952" max="7163" width="9.109375" style="112"/>
    <col min="7164" max="7166" width="9.109375" style="112" customWidth="1"/>
    <col min="7167" max="7167" width="27.5546875" style="112" customWidth="1"/>
    <col min="7168" max="7172" width="0" style="112" hidden="1" customWidth="1"/>
    <col min="7173" max="7173" width="3.88671875" style="112" customWidth="1"/>
    <col min="7174" max="7174" width="3.5546875" style="112" customWidth="1"/>
    <col min="7175" max="7175" width="13.6640625" style="112" customWidth="1"/>
    <col min="7176" max="7176" width="7.88671875" style="112" customWidth="1"/>
    <col min="7177" max="7177" width="11.44140625" style="112" customWidth="1"/>
    <col min="7178" max="7178" width="10.44140625" style="112" bestFit="1" customWidth="1"/>
    <col min="7179" max="7179" width="9.5546875" style="112" customWidth="1"/>
    <col min="7180" max="7180" width="10.44140625" style="112" bestFit="1" customWidth="1"/>
    <col min="7181" max="7181" width="8.88671875" style="112" customWidth="1"/>
    <col min="7182" max="7182" width="10.44140625" style="112" bestFit="1" customWidth="1"/>
    <col min="7183" max="7207" width="0" style="112" hidden="1" customWidth="1"/>
    <col min="7208" max="7419" width="9.109375" style="112"/>
    <col min="7420" max="7422" width="9.109375" style="112" customWidth="1"/>
    <col min="7423" max="7423" width="27.5546875" style="112" customWidth="1"/>
    <col min="7424" max="7428" width="0" style="112" hidden="1" customWidth="1"/>
    <col min="7429" max="7429" width="3.88671875" style="112" customWidth="1"/>
    <col min="7430" max="7430" width="3.5546875" style="112" customWidth="1"/>
    <col min="7431" max="7431" width="13.6640625" style="112" customWidth="1"/>
    <col min="7432" max="7432" width="7.88671875" style="112" customWidth="1"/>
    <col min="7433" max="7433" width="11.44140625" style="112" customWidth="1"/>
    <col min="7434" max="7434" width="10.44140625" style="112" bestFit="1" customWidth="1"/>
    <col min="7435" max="7435" width="9.5546875" style="112" customWidth="1"/>
    <col min="7436" max="7436" width="10.44140625" style="112" bestFit="1" customWidth="1"/>
    <col min="7437" max="7437" width="8.88671875" style="112" customWidth="1"/>
    <col min="7438" max="7438" width="10.44140625" style="112" bestFit="1" customWidth="1"/>
    <col min="7439" max="7463" width="0" style="112" hidden="1" customWidth="1"/>
    <col min="7464" max="7675" width="9.109375" style="112"/>
    <col min="7676" max="7678" width="9.109375" style="112" customWidth="1"/>
    <col min="7679" max="7679" width="27.5546875" style="112" customWidth="1"/>
    <col min="7680" max="7684" width="0" style="112" hidden="1" customWidth="1"/>
    <col min="7685" max="7685" width="3.88671875" style="112" customWidth="1"/>
    <col min="7686" max="7686" width="3.5546875" style="112" customWidth="1"/>
    <col min="7687" max="7687" width="13.6640625" style="112" customWidth="1"/>
    <col min="7688" max="7688" width="7.88671875" style="112" customWidth="1"/>
    <col min="7689" max="7689" width="11.44140625" style="112" customWidth="1"/>
    <col min="7690" max="7690" width="10.44140625" style="112" bestFit="1" customWidth="1"/>
    <col min="7691" max="7691" width="9.5546875" style="112" customWidth="1"/>
    <col min="7692" max="7692" width="10.44140625" style="112" bestFit="1" customWidth="1"/>
    <col min="7693" max="7693" width="8.88671875" style="112" customWidth="1"/>
    <col min="7694" max="7694" width="10.44140625" style="112" bestFit="1" customWidth="1"/>
    <col min="7695" max="7719" width="0" style="112" hidden="1" customWidth="1"/>
    <col min="7720" max="7931" width="9.109375" style="112"/>
    <col min="7932" max="7934" width="9.109375" style="112" customWidth="1"/>
    <col min="7935" max="7935" width="27.5546875" style="112" customWidth="1"/>
    <col min="7936" max="7940" width="0" style="112" hidden="1" customWidth="1"/>
    <col min="7941" max="7941" width="3.88671875" style="112" customWidth="1"/>
    <col min="7942" max="7942" width="3.5546875" style="112" customWidth="1"/>
    <col min="7943" max="7943" width="13.6640625" style="112" customWidth="1"/>
    <col min="7944" max="7944" width="7.88671875" style="112" customWidth="1"/>
    <col min="7945" max="7945" width="11.44140625" style="112" customWidth="1"/>
    <col min="7946" max="7946" width="10.44140625" style="112" bestFit="1" customWidth="1"/>
    <col min="7947" max="7947" width="9.5546875" style="112" customWidth="1"/>
    <col min="7948" max="7948" width="10.44140625" style="112" bestFit="1" customWidth="1"/>
    <col min="7949" max="7949" width="8.88671875" style="112" customWidth="1"/>
    <col min="7950" max="7950" width="10.44140625" style="112" bestFit="1" customWidth="1"/>
    <col min="7951" max="7975" width="0" style="112" hidden="1" customWidth="1"/>
    <col min="7976" max="8187" width="9.109375" style="112"/>
    <col min="8188" max="8190" width="9.109375" style="112" customWidth="1"/>
    <col min="8191" max="8191" width="27.5546875" style="112" customWidth="1"/>
    <col min="8192" max="8196" width="0" style="112" hidden="1" customWidth="1"/>
    <col min="8197" max="8197" width="3.88671875" style="112" customWidth="1"/>
    <col min="8198" max="8198" width="3.5546875" style="112" customWidth="1"/>
    <col min="8199" max="8199" width="13.6640625" style="112" customWidth="1"/>
    <col min="8200" max="8200" width="7.88671875" style="112" customWidth="1"/>
    <col min="8201" max="8201" width="11.44140625" style="112" customWidth="1"/>
    <col min="8202" max="8202" width="10.44140625" style="112" bestFit="1" customWidth="1"/>
    <col min="8203" max="8203" width="9.5546875" style="112" customWidth="1"/>
    <col min="8204" max="8204" width="10.44140625" style="112" bestFit="1" customWidth="1"/>
    <col min="8205" max="8205" width="8.88671875" style="112" customWidth="1"/>
    <col min="8206" max="8206" width="10.44140625" style="112" bestFit="1" customWidth="1"/>
    <col min="8207" max="8231" width="0" style="112" hidden="1" customWidth="1"/>
    <col min="8232" max="8443" width="9.109375" style="112"/>
    <col min="8444" max="8446" width="9.109375" style="112" customWidth="1"/>
    <col min="8447" max="8447" width="27.5546875" style="112" customWidth="1"/>
    <col min="8448" max="8452" width="0" style="112" hidden="1" customWidth="1"/>
    <col min="8453" max="8453" width="3.88671875" style="112" customWidth="1"/>
    <col min="8454" max="8454" width="3.5546875" style="112" customWidth="1"/>
    <col min="8455" max="8455" width="13.6640625" style="112" customWidth="1"/>
    <col min="8456" max="8456" width="7.88671875" style="112" customWidth="1"/>
    <col min="8457" max="8457" width="11.44140625" style="112" customWidth="1"/>
    <col min="8458" max="8458" width="10.44140625" style="112" bestFit="1" customWidth="1"/>
    <col min="8459" max="8459" width="9.5546875" style="112" customWidth="1"/>
    <col min="8460" max="8460" width="10.44140625" style="112" bestFit="1" customWidth="1"/>
    <col min="8461" max="8461" width="8.88671875" style="112" customWidth="1"/>
    <col min="8462" max="8462" width="10.44140625" style="112" bestFit="1" customWidth="1"/>
    <col min="8463" max="8487" width="0" style="112" hidden="1" customWidth="1"/>
    <col min="8488" max="8699" width="9.109375" style="112"/>
    <col min="8700" max="8702" width="9.109375" style="112" customWidth="1"/>
    <col min="8703" max="8703" width="27.5546875" style="112" customWidth="1"/>
    <col min="8704" max="8708" width="0" style="112" hidden="1" customWidth="1"/>
    <col min="8709" max="8709" width="3.88671875" style="112" customWidth="1"/>
    <col min="8710" max="8710" width="3.5546875" style="112" customWidth="1"/>
    <col min="8711" max="8711" width="13.6640625" style="112" customWidth="1"/>
    <col min="8712" max="8712" width="7.88671875" style="112" customWidth="1"/>
    <col min="8713" max="8713" width="11.44140625" style="112" customWidth="1"/>
    <col min="8714" max="8714" width="10.44140625" style="112" bestFit="1" customWidth="1"/>
    <col min="8715" max="8715" width="9.5546875" style="112" customWidth="1"/>
    <col min="8716" max="8716" width="10.44140625" style="112" bestFit="1" customWidth="1"/>
    <col min="8717" max="8717" width="8.88671875" style="112" customWidth="1"/>
    <col min="8718" max="8718" width="10.44140625" style="112" bestFit="1" customWidth="1"/>
    <col min="8719" max="8743" width="0" style="112" hidden="1" customWidth="1"/>
    <col min="8744" max="8955" width="9.109375" style="112"/>
    <col min="8956" max="8958" width="9.109375" style="112" customWidth="1"/>
    <col min="8959" max="8959" width="27.5546875" style="112" customWidth="1"/>
    <col min="8960" max="8964" width="0" style="112" hidden="1" customWidth="1"/>
    <col min="8965" max="8965" width="3.88671875" style="112" customWidth="1"/>
    <col min="8966" max="8966" width="3.5546875" style="112" customWidth="1"/>
    <col min="8967" max="8967" width="13.6640625" style="112" customWidth="1"/>
    <col min="8968" max="8968" width="7.88671875" style="112" customWidth="1"/>
    <col min="8969" max="8969" width="11.44140625" style="112" customWidth="1"/>
    <col min="8970" max="8970" width="10.44140625" style="112" bestFit="1" customWidth="1"/>
    <col min="8971" max="8971" width="9.5546875" style="112" customWidth="1"/>
    <col min="8972" max="8972" width="10.44140625" style="112" bestFit="1" customWidth="1"/>
    <col min="8973" max="8973" width="8.88671875" style="112" customWidth="1"/>
    <col min="8974" max="8974" width="10.44140625" style="112" bestFit="1" customWidth="1"/>
    <col min="8975" max="8999" width="0" style="112" hidden="1" customWidth="1"/>
    <col min="9000" max="9211" width="9.109375" style="112"/>
    <col min="9212" max="9214" width="9.109375" style="112" customWidth="1"/>
    <col min="9215" max="9215" width="27.5546875" style="112" customWidth="1"/>
    <col min="9216" max="9220" width="0" style="112" hidden="1" customWidth="1"/>
    <col min="9221" max="9221" width="3.88671875" style="112" customWidth="1"/>
    <col min="9222" max="9222" width="3.5546875" style="112" customWidth="1"/>
    <col min="9223" max="9223" width="13.6640625" style="112" customWidth="1"/>
    <col min="9224" max="9224" width="7.88671875" style="112" customWidth="1"/>
    <col min="9225" max="9225" width="11.44140625" style="112" customWidth="1"/>
    <col min="9226" max="9226" width="10.44140625" style="112" bestFit="1" customWidth="1"/>
    <col min="9227" max="9227" width="9.5546875" style="112" customWidth="1"/>
    <col min="9228" max="9228" width="10.44140625" style="112" bestFit="1" customWidth="1"/>
    <col min="9229" max="9229" width="8.88671875" style="112" customWidth="1"/>
    <col min="9230" max="9230" width="10.44140625" style="112" bestFit="1" customWidth="1"/>
    <col min="9231" max="9255" width="0" style="112" hidden="1" customWidth="1"/>
    <col min="9256" max="9467" width="9.109375" style="112"/>
    <col min="9468" max="9470" width="9.109375" style="112" customWidth="1"/>
    <col min="9471" max="9471" width="27.5546875" style="112" customWidth="1"/>
    <col min="9472" max="9476" width="0" style="112" hidden="1" customWidth="1"/>
    <col min="9477" max="9477" width="3.88671875" style="112" customWidth="1"/>
    <col min="9478" max="9478" width="3.5546875" style="112" customWidth="1"/>
    <col min="9479" max="9479" width="13.6640625" style="112" customWidth="1"/>
    <col min="9480" max="9480" width="7.88671875" style="112" customWidth="1"/>
    <col min="9481" max="9481" width="11.44140625" style="112" customWidth="1"/>
    <col min="9482" max="9482" width="10.44140625" style="112" bestFit="1" customWidth="1"/>
    <col min="9483" max="9483" width="9.5546875" style="112" customWidth="1"/>
    <col min="9484" max="9484" width="10.44140625" style="112" bestFit="1" customWidth="1"/>
    <col min="9485" max="9485" width="8.88671875" style="112" customWidth="1"/>
    <col min="9486" max="9486" width="10.44140625" style="112" bestFit="1" customWidth="1"/>
    <col min="9487" max="9511" width="0" style="112" hidden="1" customWidth="1"/>
    <col min="9512" max="9723" width="9.109375" style="112"/>
    <col min="9724" max="9726" width="9.109375" style="112" customWidth="1"/>
    <col min="9727" max="9727" width="27.5546875" style="112" customWidth="1"/>
    <col min="9728" max="9732" width="0" style="112" hidden="1" customWidth="1"/>
    <col min="9733" max="9733" width="3.88671875" style="112" customWidth="1"/>
    <col min="9734" max="9734" width="3.5546875" style="112" customWidth="1"/>
    <col min="9735" max="9735" width="13.6640625" style="112" customWidth="1"/>
    <col min="9736" max="9736" width="7.88671875" style="112" customWidth="1"/>
    <col min="9737" max="9737" width="11.44140625" style="112" customWidth="1"/>
    <col min="9738" max="9738" width="10.44140625" style="112" bestFit="1" customWidth="1"/>
    <col min="9739" max="9739" width="9.5546875" style="112" customWidth="1"/>
    <col min="9740" max="9740" width="10.44140625" style="112" bestFit="1" customWidth="1"/>
    <col min="9741" max="9741" width="8.88671875" style="112" customWidth="1"/>
    <col min="9742" max="9742" width="10.44140625" style="112" bestFit="1" customWidth="1"/>
    <col min="9743" max="9767" width="0" style="112" hidden="1" customWidth="1"/>
    <col min="9768" max="9979" width="9.109375" style="112"/>
    <col min="9980" max="9982" width="9.109375" style="112" customWidth="1"/>
    <col min="9983" max="9983" width="27.5546875" style="112" customWidth="1"/>
    <col min="9984" max="9988" width="0" style="112" hidden="1" customWidth="1"/>
    <col min="9989" max="9989" width="3.88671875" style="112" customWidth="1"/>
    <col min="9990" max="9990" width="3.5546875" style="112" customWidth="1"/>
    <col min="9991" max="9991" width="13.6640625" style="112" customWidth="1"/>
    <col min="9992" max="9992" width="7.88671875" style="112" customWidth="1"/>
    <col min="9993" max="9993" width="11.44140625" style="112" customWidth="1"/>
    <col min="9994" max="9994" width="10.44140625" style="112" bestFit="1" customWidth="1"/>
    <col min="9995" max="9995" width="9.5546875" style="112" customWidth="1"/>
    <col min="9996" max="9996" width="10.44140625" style="112" bestFit="1" customWidth="1"/>
    <col min="9997" max="9997" width="8.88671875" style="112" customWidth="1"/>
    <col min="9998" max="9998" width="10.44140625" style="112" bestFit="1" customWidth="1"/>
    <col min="9999" max="10023" width="0" style="112" hidden="1" customWidth="1"/>
    <col min="10024" max="10235" width="9.109375" style="112"/>
    <col min="10236" max="10238" width="9.109375" style="112" customWidth="1"/>
    <col min="10239" max="10239" width="27.5546875" style="112" customWidth="1"/>
    <col min="10240" max="10244" width="0" style="112" hidden="1" customWidth="1"/>
    <col min="10245" max="10245" width="3.88671875" style="112" customWidth="1"/>
    <col min="10246" max="10246" width="3.5546875" style="112" customWidth="1"/>
    <col min="10247" max="10247" width="13.6640625" style="112" customWidth="1"/>
    <col min="10248" max="10248" width="7.88671875" style="112" customWidth="1"/>
    <col min="10249" max="10249" width="11.44140625" style="112" customWidth="1"/>
    <col min="10250" max="10250" width="10.44140625" style="112" bestFit="1" customWidth="1"/>
    <col min="10251" max="10251" width="9.5546875" style="112" customWidth="1"/>
    <col min="10252" max="10252" width="10.44140625" style="112" bestFit="1" customWidth="1"/>
    <col min="10253" max="10253" width="8.88671875" style="112" customWidth="1"/>
    <col min="10254" max="10254" width="10.44140625" style="112" bestFit="1" customWidth="1"/>
    <col min="10255" max="10279" width="0" style="112" hidden="1" customWidth="1"/>
    <col min="10280" max="10491" width="9.109375" style="112"/>
    <col min="10492" max="10494" width="9.109375" style="112" customWidth="1"/>
    <col min="10495" max="10495" width="27.5546875" style="112" customWidth="1"/>
    <col min="10496" max="10500" width="0" style="112" hidden="1" customWidth="1"/>
    <col min="10501" max="10501" width="3.88671875" style="112" customWidth="1"/>
    <col min="10502" max="10502" width="3.5546875" style="112" customWidth="1"/>
    <col min="10503" max="10503" width="13.6640625" style="112" customWidth="1"/>
    <col min="10504" max="10504" width="7.88671875" style="112" customWidth="1"/>
    <col min="10505" max="10505" width="11.44140625" style="112" customWidth="1"/>
    <col min="10506" max="10506" width="10.44140625" style="112" bestFit="1" customWidth="1"/>
    <col min="10507" max="10507" width="9.5546875" style="112" customWidth="1"/>
    <col min="10508" max="10508" width="10.44140625" style="112" bestFit="1" customWidth="1"/>
    <col min="10509" max="10509" width="8.88671875" style="112" customWidth="1"/>
    <col min="10510" max="10510" width="10.44140625" style="112" bestFit="1" customWidth="1"/>
    <col min="10511" max="10535" width="0" style="112" hidden="1" customWidth="1"/>
    <col min="10536" max="10747" width="9.109375" style="112"/>
    <col min="10748" max="10750" width="9.109375" style="112" customWidth="1"/>
    <col min="10751" max="10751" width="27.5546875" style="112" customWidth="1"/>
    <col min="10752" max="10756" width="0" style="112" hidden="1" customWidth="1"/>
    <col min="10757" max="10757" width="3.88671875" style="112" customWidth="1"/>
    <col min="10758" max="10758" width="3.5546875" style="112" customWidth="1"/>
    <col min="10759" max="10759" width="13.6640625" style="112" customWidth="1"/>
    <col min="10760" max="10760" width="7.88671875" style="112" customWidth="1"/>
    <col min="10761" max="10761" width="11.44140625" style="112" customWidth="1"/>
    <col min="10762" max="10762" width="10.44140625" style="112" bestFit="1" customWidth="1"/>
    <col min="10763" max="10763" width="9.5546875" style="112" customWidth="1"/>
    <col min="10764" max="10764" width="10.44140625" style="112" bestFit="1" customWidth="1"/>
    <col min="10765" max="10765" width="8.88671875" style="112" customWidth="1"/>
    <col min="10766" max="10766" width="10.44140625" style="112" bestFit="1" customWidth="1"/>
    <col min="10767" max="10791" width="0" style="112" hidden="1" customWidth="1"/>
    <col min="10792" max="11003" width="9.109375" style="112"/>
    <col min="11004" max="11006" width="9.109375" style="112" customWidth="1"/>
    <col min="11007" max="11007" width="27.5546875" style="112" customWidth="1"/>
    <col min="11008" max="11012" width="0" style="112" hidden="1" customWidth="1"/>
    <col min="11013" max="11013" width="3.88671875" style="112" customWidth="1"/>
    <col min="11014" max="11014" width="3.5546875" style="112" customWidth="1"/>
    <col min="11015" max="11015" width="13.6640625" style="112" customWidth="1"/>
    <col min="11016" max="11016" width="7.88671875" style="112" customWidth="1"/>
    <col min="11017" max="11017" width="11.44140625" style="112" customWidth="1"/>
    <col min="11018" max="11018" width="10.44140625" style="112" bestFit="1" customWidth="1"/>
    <col min="11019" max="11019" width="9.5546875" style="112" customWidth="1"/>
    <col min="11020" max="11020" width="10.44140625" style="112" bestFit="1" customWidth="1"/>
    <col min="11021" max="11021" width="8.88671875" style="112" customWidth="1"/>
    <col min="11022" max="11022" width="10.44140625" style="112" bestFit="1" customWidth="1"/>
    <col min="11023" max="11047" width="0" style="112" hidden="1" customWidth="1"/>
    <col min="11048" max="11259" width="9.109375" style="112"/>
    <col min="11260" max="11262" width="9.109375" style="112" customWidth="1"/>
    <col min="11263" max="11263" width="27.5546875" style="112" customWidth="1"/>
    <col min="11264" max="11268" width="0" style="112" hidden="1" customWidth="1"/>
    <col min="11269" max="11269" width="3.88671875" style="112" customWidth="1"/>
    <col min="11270" max="11270" width="3.5546875" style="112" customWidth="1"/>
    <col min="11271" max="11271" width="13.6640625" style="112" customWidth="1"/>
    <col min="11272" max="11272" width="7.88671875" style="112" customWidth="1"/>
    <col min="11273" max="11273" width="11.44140625" style="112" customWidth="1"/>
    <col min="11274" max="11274" width="10.44140625" style="112" bestFit="1" customWidth="1"/>
    <col min="11275" max="11275" width="9.5546875" style="112" customWidth="1"/>
    <col min="11276" max="11276" width="10.44140625" style="112" bestFit="1" customWidth="1"/>
    <col min="11277" max="11277" width="8.88671875" style="112" customWidth="1"/>
    <col min="11278" max="11278" width="10.44140625" style="112" bestFit="1" customWidth="1"/>
    <col min="11279" max="11303" width="0" style="112" hidden="1" customWidth="1"/>
    <col min="11304" max="11515" width="9.109375" style="112"/>
    <col min="11516" max="11518" width="9.109375" style="112" customWidth="1"/>
    <col min="11519" max="11519" width="27.5546875" style="112" customWidth="1"/>
    <col min="11520" max="11524" width="0" style="112" hidden="1" customWidth="1"/>
    <col min="11525" max="11525" width="3.88671875" style="112" customWidth="1"/>
    <col min="11526" max="11526" width="3.5546875" style="112" customWidth="1"/>
    <col min="11527" max="11527" width="13.6640625" style="112" customWidth="1"/>
    <col min="11528" max="11528" width="7.88671875" style="112" customWidth="1"/>
    <col min="11529" max="11529" width="11.44140625" style="112" customWidth="1"/>
    <col min="11530" max="11530" width="10.44140625" style="112" bestFit="1" customWidth="1"/>
    <col min="11531" max="11531" width="9.5546875" style="112" customWidth="1"/>
    <col min="11532" max="11532" width="10.44140625" style="112" bestFit="1" customWidth="1"/>
    <col min="11533" max="11533" width="8.88671875" style="112" customWidth="1"/>
    <col min="11534" max="11534" width="10.44140625" style="112" bestFit="1" customWidth="1"/>
    <col min="11535" max="11559" width="0" style="112" hidden="1" customWidth="1"/>
    <col min="11560" max="11771" width="9.109375" style="112"/>
    <col min="11772" max="11774" width="9.109375" style="112" customWidth="1"/>
    <col min="11775" max="11775" width="27.5546875" style="112" customWidth="1"/>
    <col min="11776" max="11780" width="0" style="112" hidden="1" customWidth="1"/>
    <col min="11781" max="11781" width="3.88671875" style="112" customWidth="1"/>
    <col min="11782" max="11782" width="3.5546875" style="112" customWidth="1"/>
    <col min="11783" max="11783" width="13.6640625" style="112" customWidth="1"/>
    <col min="11784" max="11784" width="7.88671875" style="112" customWidth="1"/>
    <col min="11785" max="11785" width="11.44140625" style="112" customWidth="1"/>
    <col min="11786" max="11786" width="10.44140625" style="112" bestFit="1" customWidth="1"/>
    <col min="11787" max="11787" width="9.5546875" style="112" customWidth="1"/>
    <col min="11788" max="11788" width="10.44140625" style="112" bestFit="1" customWidth="1"/>
    <col min="11789" max="11789" width="8.88671875" style="112" customWidth="1"/>
    <col min="11790" max="11790" width="10.44140625" style="112" bestFit="1" customWidth="1"/>
    <col min="11791" max="11815" width="0" style="112" hidden="1" customWidth="1"/>
    <col min="11816" max="12027" width="9.109375" style="112"/>
    <col min="12028" max="12030" width="9.109375" style="112" customWidth="1"/>
    <col min="12031" max="12031" width="27.5546875" style="112" customWidth="1"/>
    <col min="12032" max="12036" width="0" style="112" hidden="1" customWidth="1"/>
    <col min="12037" max="12037" width="3.88671875" style="112" customWidth="1"/>
    <col min="12038" max="12038" width="3.5546875" style="112" customWidth="1"/>
    <col min="12039" max="12039" width="13.6640625" style="112" customWidth="1"/>
    <col min="12040" max="12040" width="7.88671875" style="112" customWidth="1"/>
    <col min="12041" max="12041" width="11.44140625" style="112" customWidth="1"/>
    <col min="12042" max="12042" width="10.44140625" style="112" bestFit="1" customWidth="1"/>
    <col min="12043" max="12043" width="9.5546875" style="112" customWidth="1"/>
    <col min="12044" max="12044" width="10.44140625" style="112" bestFit="1" customWidth="1"/>
    <col min="12045" max="12045" width="8.88671875" style="112" customWidth="1"/>
    <col min="12046" max="12046" width="10.44140625" style="112" bestFit="1" customWidth="1"/>
    <col min="12047" max="12071" width="0" style="112" hidden="1" customWidth="1"/>
    <col min="12072" max="12283" width="9.109375" style="112"/>
    <col min="12284" max="12286" width="9.109375" style="112" customWidth="1"/>
    <col min="12287" max="12287" width="27.5546875" style="112" customWidth="1"/>
    <col min="12288" max="12292" width="0" style="112" hidden="1" customWidth="1"/>
    <col min="12293" max="12293" width="3.88671875" style="112" customWidth="1"/>
    <col min="12294" max="12294" width="3.5546875" style="112" customWidth="1"/>
    <col min="12295" max="12295" width="13.6640625" style="112" customWidth="1"/>
    <col min="12296" max="12296" width="7.88671875" style="112" customWidth="1"/>
    <col min="12297" max="12297" width="11.44140625" style="112" customWidth="1"/>
    <col min="12298" max="12298" width="10.44140625" style="112" bestFit="1" customWidth="1"/>
    <col min="12299" max="12299" width="9.5546875" style="112" customWidth="1"/>
    <col min="12300" max="12300" width="10.44140625" style="112" bestFit="1" customWidth="1"/>
    <col min="12301" max="12301" width="8.88671875" style="112" customWidth="1"/>
    <col min="12302" max="12302" width="10.44140625" style="112" bestFit="1" customWidth="1"/>
    <col min="12303" max="12327" width="0" style="112" hidden="1" customWidth="1"/>
    <col min="12328" max="12539" width="9.109375" style="112"/>
    <col min="12540" max="12542" width="9.109375" style="112" customWidth="1"/>
    <col min="12543" max="12543" width="27.5546875" style="112" customWidth="1"/>
    <col min="12544" max="12548" width="0" style="112" hidden="1" customWidth="1"/>
    <col min="12549" max="12549" width="3.88671875" style="112" customWidth="1"/>
    <col min="12550" max="12550" width="3.5546875" style="112" customWidth="1"/>
    <col min="12551" max="12551" width="13.6640625" style="112" customWidth="1"/>
    <col min="12552" max="12552" width="7.88671875" style="112" customWidth="1"/>
    <col min="12553" max="12553" width="11.44140625" style="112" customWidth="1"/>
    <col min="12554" max="12554" width="10.44140625" style="112" bestFit="1" customWidth="1"/>
    <col min="12555" max="12555" width="9.5546875" style="112" customWidth="1"/>
    <col min="12556" max="12556" width="10.44140625" style="112" bestFit="1" customWidth="1"/>
    <col min="12557" max="12557" width="8.88671875" style="112" customWidth="1"/>
    <col min="12558" max="12558" width="10.44140625" style="112" bestFit="1" customWidth="1"/>
    <col min="12559" max="12583" width="0" style="112" hidden="1" customWidth="1"/>
    <col min="12584" max="12795" width="9.109375" style="112"/>
    <col min="12796" max="12798" width="9.109375" style="112" customWidth="1"/>
    <col min="12799" max="12799" width="27.5546875" style="112" customWidth="1"/>
    <col min="12800" max="12804" width="0" style="112" hidden="1" customWidth="1"/>
    <col min="12805" max="12805" width="3.88671875" style="112" customWidth="1"/>
    <col min="12806" max="12806" width="3.5546875" style="112" customWidth="1"/>
    <col min="12807" max="12807" width="13.6640625" style="112" customWidth="1"/>
    <col min="12808" max="12808" width="7.88671875" style="112" customWidth="1"/>
    <col min="12809" max="12809" width="11.44140625" style="112" customWidth="1"/>
    <col min="12810" max="12810" width="10.44140625" style="112" bestFit="1" customWidth="1"/>
    <col min="12811" max="12811" width="9.5546875" style="112" customWidth="1"/>
    <col min="12812" max="12812" width="10.44140625" style="112" bestFit="1" customWidth="1"/>
    <col min="12813" max="12813" width="8.88671875" style="112" customWidth="1"/>
    <col min="12814" max="12814" width="10.44140625" style="112" bestFit="1" customWidth="1"/>
    <col min="12815" max="12839" width="0" style="112" hidden="1" customWidth="1"/>
    <col min="12840" max="13051" width="9.109375" style="112"/>
    <col min="13052" max="13054" width="9.109375" style="112" customWidth="1"/>
    <col min="13055" max="13055" width="27.5546875" style="112" customWidth="1"/>
    <col min="13056" max="13060" width="0" style="112" hidden="1" customWidth="1"/>
    <col min="13061" max="13061" width="3.88671875" style="112" customWidth="1"/>
    <col min="13062" max="13062" width="3.5546875" style="112" customWidth="1"/>
    <col min="13063" max="13063" width="13.6640625" style="112" customWidth="1"/>
    <col min="13064" max="13064" width="7.88671875" style="112" customWidth="1"/>
    <col min="13065" max="13065" width="11.44140625" style="112" customWidth="1"/>
    <col min="13066" max="13066" width="10.44140625" style="112" bestFit="1" customWidth="1"/>
    <col min="13067" max="13067" width="9.5546875" style="112" customWidth="1"/>
    <col min="13068" max="13068" width="10.44140625" style="112" bestFit="1" customWidth="1"/>
    <col min="13069" max="13069" width="8.88671875" style="112" customWidth="1"/>
    <col min="13070" max="13070" width="10.44140625" style="112" bestFit="1" customWidth="1"/>
    <col min="13071" max="13095" width="0" style="112" hidden="1" customWidth="1"/>
    <col min="13096" max="13307" width="9.109375" style="112"/>
    <col min="13308" max="13310" width="9.109375" style="112" customWidth="1"/>
    <col min="13311" max="13311" width="27.5546875" style="112" customWidth="1"/>
    <col min="13312" max="13316" width="0" style="112" hidden="1" customWidth="1"/>
    <col min="13317" max="13317" width="3.88671875" style="112" customWidth="1"/>
    <col min="13318" max="13318" width="3.5546875" style="112" customWidth="1"/>
    <col min="13319" max="13319" width="13.6640625" style="112" customWidth="1"/>
    <col min="13320" max="13320" width="7.88671875" style="112" customWidth="1"/>
    <col min="13321" max="13321" width="11.44140625" style="112" customWidth="1"/>
    <col min="13322" max="13322" width="10.44140625" style="112" bestFit="1" customWidth="1"/>
    <col min="13323" max="13323" width="9.5546875" style="112" customWidth="1"/>
    <col min="13324" max="13324" width="10.44140625" style="112" bestFit="1" customWidth="1"/>
    <col min="13325" max="13325" width="8.88671875" style="112" customWidth="1"/>
    <col min="13326" max="13326" width="10.44140625" style="112" bestFit="1" customWidth="1"/>
    <col min="13327" max="13351" width="0" style="112" hidden="1" customWidth="1"/>
    <col min="13352" max="13563" width="9.109375" style="112"/>
    <col min="13564" max="13566" width="9.109375" style="112" customWidth="1"/>
    <col min="13567" max="13567" width="27.5546875" style="112" customWidth="1"/>
    <col min="13568" max="13572" width="0" style="112" hidden="1" customWidth="1"/>
    <col min="13573" max="13573" width="3.88671875" style="112" customWidth="1"/>
    <col min="13574" max="13574" width="3.5546875" style="112" customWidth="1"/>
    <col min="13575" max="13575" width="13.6640625" style="112" customWidth="1"/>
    <col min="13576" max="13576" width="7.88671875" style="112" customWidth="1"/>
    <col min="13577" max="13577" width="11.44140625" style="112" customWidth="1"/>
    <col min="13578" max="13578" width="10.44140625" style="112" bestFit="1" customWidth="1"/>
    <col min="13579" max="13579" width="9.5546875" style="112" customWidth="1"/>
    <col min="13580" max="13580" width="10.44140625" style="112" bestFit="1" customWidth="1"/>
    <col min="13581" max="13581" width="8.88671875" style="112" customWidth="1"/>
    <col min="13582" max="13582" width="10.44140625" style="112" bestFit="1" customWidth="1"/>
    <col min="13583" max="13607" width="0" style="112" hidden="1" customWidth="1"/>
    <col min="13608" max="13819" width="9.109375" style="112"/>
    <col min="13820" max="13822" width="9.109375" style="112" customWidth="1"/>
    <col min="13823" max="13823" width="27.5546875" style="112" customWidth="1"/>
    <col min="13824" max="13828" width="0" style="112" hidden="1" customWidth="1"/>
    <col min="13829" max="13829" width="3.88671875" style="112" customWidth="1"/>
    <col min="13830" max="13830" width="3.5546875" style="112" customWidth="1"/>
    <col min="13831" max="13831" width="13.6640625" style="112" customWidth="1"/>
    <col min="13832" max="13832" width="7.88671875" style="112" customWidth="1"/>
    <col min="13833" max="13833" width="11.44140625" style="112" customWidth="1"/>
    <col min="13834" max="13834" width="10.44140625" style="112" bestFit="1" customWidth="1"/>
    <col min="13835" max="13835" width="9.5546875" style="112" customWidth="1"/>
    <col min="13836" max="13836" width="10.44140625" style="112" bestFit="1" customWidth="1"/>
    <col min="13837" max="13837" width="8.88671875" style="112" customWidth="1"/>
    <col min="13838" max="13838" width="10.44140625" style="112" bestFit="1" customWidth="1"/>
    <col min="13839" max="13863" width="0" style="112" hidden="1" customWidth="1"/>
    <col min="13864" max="14075" width="9.109375" style="112"/>
    <col min="14076" max="14078" width="9.109375" style="112" customWidth="1"/>
    <col min="14079" max="14079" width="27.5546875" style="112" customWidth="1"/>
    <col min="14080" max="14084" width="0" style="112" hidden="1" customWidth="1"/>
    <col min="14085" max="14085" width="3.88671875" style="112" customWidth="1"/>
    <col min="14086" max="14086" width="3.5546875" style="112" customWidth="1"/>
    <col min="14087" max="14087" width="13.6640625" style="112" customWidth="1"/>
    <col min="14088" max="14088" width="7.88671875" style="112" customWidth="1"/>
    <col min="14089" max="14089" width="11.44140625" style="112" customWidth="1"/>
    <col min="14090" max="14090" width="10.44140625" style="112" bestFit="1" customWidth="1"/>
    <col min="14091" max="14091" width="9.5546875" style="112" customWidth="1"/>
    <col min="14092" max="14092" width="10.44140625" style="112" bestFit="1" customWidth="1"/>
    <col min="14093" max="14093" width="8.88671875" style="112" customWidth="1"/>
    <col min="14094" max="14094" width="10.44140625" style="112" bestFit="1" customWidth="1"/>
    <col min="14095" max="14119" width="0" style="112" hidden="1" customWidth="1"/>
    <col min="14120" max="14331" width="9.109375" style="112"/>
    <col min="14332" max="14334" width="9.109375" style="112" customWidth="1"/>
    <col min="14335" max="14335" width="27.5546875" style="112" customWidth="1"/>
    <col min="14336" max="14340" width="0" style="112" hidden="1" customWidth="1"/>
    <col min="14341" max="14341" width="3.88671875" style="112" customWidth="1"/>
    <col min="14342" max="14342" width="3.5546875" style="112" customWidth="1"/>
    <col min="14343" max="14343" width="13.6640625" style="112" customWidth="1"/>
    <col min="14344" max="14344" width="7.88671875" style="112" customWidth="1"/>
    <col min="14345" max="14345" width="11.44140625" style="112" customWidth="1"/>
    <col min="14346" max="14346" width="10.44140625" style="112" bestFit="1" customWidth="1"/>
    <col min="14347" max="14347" width="9.5546875" style="112" customWidth="1"/>
    <col min="14348" max="14348" width="10.44140625" style="112" bestFit="1" customWidth="1"/>
    <col min="14349" max="14349" width="8.88671875" style="112" customWidth="1"/>
    <col min="14350" max="14350" width="10.44140625" style="112" bestFit="1" customWidth="1"/>
    <col min="14351" max="14375" width="0" style="112" hidden="1" customWidth="1"/>
    <col min="14376" max="14587" width="9.109375" style="112"/>
    <col min="14588" max="14590" width="9.109375" style="112" customWidth="1"/>
    <col min="14591" max="14591" width="27.5546875" style="112" customWidth="1"/>
    <col min="14592" max="14596" width="0" style="112" hidden="1" customWidth="1"/>
    <col min="14597" max="14597" width="3.88671875" style="112" customWidth="1"/>
    <col min="14598" max="14598" width="3.5546875" style="112" customWidth="1"/>
    <col min="14599" max="14599" width="13.6640625" style="112" customWidth="1"/>
    <col min="14600" max="14600" width="7.88671875" style="112" customWidth="1"/>
    <col min="14601" max="14601" width="11.44140625" style="112" customWidth="1"/>
    <col min="14602" max="14602" width="10.44140625" style="112" bestFit="1" customWidth="1"/>
    <col min="14603" max="14603" width="9.5546875" style="112" customWidth="1"/>
    <col min="14604" max="14604" width="10.44140625" style="112" bestFit="1" customWidth="1"/>
    <col min="14605" max="14605" width="8.88671875" style="112" customWidth="1"/>
    <col min="14606" max="14606" width="10.44140625" style="112" bestFit="1" customWidth="1"/>
    <col min="14607" max="14631" width="0" style="112" hidden="1" customWidth="1"/>
    <col min="14632" max="14843" width="9.109375" style="112"/>
    <col min="14844" max="14846" width="9.109375" style="112" customWidth="1"/>
    <col min="14847" max="14847" width="27.5546875" style="112" customWidth="1"/>
    <col min="14848" max="14852" width="0" style="112" hidden="1" customWidth="1"/>
    <col min="14853" max="14853" width="3.88671875" style="112" customWidth="1"/>
    <col min="14854" max="14854" width="3.5546875" style="112" customWidth="1"/>
    <col min="14855" max="14855" width="13.6640625" style="112" customWidth="1"/>
    <col min="14856" max="14856" width="7.88671875" style="112" customWidth="1"/>
    <col min="14857" max="14857" width="11.44140625" style="112" customWidth="1"/>
    <col min="14858" max="14858" width="10.44140625" style="112" bestFit="1" customWidth="1"/>
    <col min="14859" max="14859" width="9.5546875" style="112" customWidth="1"/>
    <col min="14860" max="14860" width="10.44140625" style="112" bestFit="1" customWidth="1"/>
    <col min="14861" max="14861" width="8.88671875" style="112" customWidth="1"/>
    <col min="14862" max="14862" width="10.44140625" style="112" bestFit="1" customWidth="1"/>
    <col min="14863" max="14887" width="0" style="112" hidden="1" customWidth="1"/>
    <col min="14888" max="15099" width="9.109375" style="112"/>
    <col min="15100" max="15102" width="9.109375" style="112" customWidth="1"/>
    <col min="15103" max="15103" width="27.5546875" style="112" customWidth="1"/>
    <col min="15104" max="15108" width="0" style="112" hidden="1" customWidth="1"/>
    <col min="15109" max="15109" width="3.88671875" style="112" customWidth="1"/>
    <col min="15110" max="15110" width="3.5546875" style="112" customWidth="1"/>
    <col min="15111" max="15111" width="13.6640625" style="112" customWidth="1"/>
    <col min="15112" max="15112" width="7.88671875" style="112" customWidth="1"/>
    <col min="15113" max="15113" width="11.44140625" style="112" customWidth="1"/>
    <col min="15114" max="15114" width="10.44140625" style="112" bestFit="1" customWidth="1"/>
    <col min="15115" max="15115" width="9.5546875" style="112" customWidth="1"/>
    <col min="15116" max="15116" width="10.44140625" style="112" bestFit="1" customWidth="1"/>
    <col min="15117" max="15117" width="8.88671875" style="112" customWidth="1"/>
    <col min="15118" max="15118" width="10.44140625" style="112" bestFit="1" customWidth="1"/>
    <col min="15119" max="15143" width="0" style="112" hidden="1" customWidth="1"/>
    <col min="15144" max="15355" width="9.109375" style="112"/>
    <col min="15356" max="15358" width="9.109375" style="112" customWidth="1"/>
    <col min="15359" max="15359" width="27.5546875" style="112" customWidth="1"/>
    <col min="15360" max="15364" width="0" style="112" hidden="1" customWidth="1"/>
    <col min="15365" max="15365" width="3.88671875" style="112" customWidth="1"/>
    <col min="15366" max="15366" width="3.5546875" style="112" customWidth="1"/>
    <col min="15367" max="15367" width="13.6640625" style="112" customWidth="1"/>
    <col min="15368" max="15368" width="7.88671875" style="112" customWidth="1"/>
    <col min="15369" max="15369" width="11.44140625" style="112" customWidth="1"/>
    <col min="15370" max="15370" width="10.44140625" style="112" bestFit="1" customWidth="1"/>
    <col min="15371" max="15371" width="9.5546875" style="112" customWidth="1"/>
    <col min="15372" max="15372" width="10.44140625" style="112" bestFit="1" customWidth="1"/>
    <col min="15373" max="15373" width="8.88671875" style="112" customWidth="1"/>
    <col min="15374" max="15374" width="10.44140625" style="112" bestFit="1" customWidth="1"/>
    <col min="15375" max="15399" width="0" style="112" hidden="1" customWidth="1"/>
    <col min="15400" max="15611" width="9.109375" style="112"/>
    <col min="15612" max="15614" width="9.109375" style="112" customWidth="1"/>
    <col min="15615" max="15615" width="27.5546875" style="112" customWidth="1"/>
    <col min="15616" max="15620" width="0" style="112" hidden="1" customWidth="1"/>
    <col min="15621" max="15621" width="3.88671875" style="112" customWidth="1"/>
    <col min="15622" max="15622" width="3.5546875" style="112" customWidth="1"/>
    <col min="15623" max="15623" width="13.6640625" style="112" customWidth="1"/>
    <col min="15624" max="15624" width="7.88671875" style="112" customWidth="1"/>
    <col min="15625" max="15625" width="11.44140625" style="112" customWidth="1"/>
    <col min="15626" max="15626" width="10.44140625" style="112" bestFit="1" customWidth="1"/>
    <col min="15627" max="15627" width="9.5546875" style="112" customWidth="1"/>
    <col min="15628" max="15628" width="10.44140625" style="112" bestFit="1" customWidth="1"/>
    <col min="15629" max="15629" width="8.88671875" style="112" customWidth="1"/>
    <col min="15630" max="15630" width="10.44140625" style="112" bestFit="1" customWidth="1"/>
    <col min="15631" max="15655" width="0" style="112" hidden="1" customWidth="1"/>
    <col min="15656" max="15867" width="9.109375" style="112"/>
    <col min="15868" max="15870" width="9.109375" style="112" customWidth="1"/>
    <col min="15871" max="15871" width="27.5546875" style="112" customWidth="1"/>
    <col min="15872" max="15876" width="0" style="112" hidden="1" customWidth="1"/>
    <col min="15877" max="15877" width="3.88671875" style="112" customWidth="1"/>
    <col min="15878" max="15878" width="3.5546875" style="112" customWidth="1"/>
    <col min="15879" max="15879" width="13.6640625" style="112" customWidth="1"/>
    <col min="15880" max="15880" width="7.88671875" style="112" customWidth="1"/>
    <col min="15881" max="15881" width="11.44140625" style="112" customWidth="1"/>
    <col min="15882" max="15882" width="10.44140625" style="112" bestFit="1" customWidth="1"/>
    <col min="15883" max="15883" width="9.5546875" style="112" customWidth="1"/>
    <col min="15884" max="15884" width="10.44140625" style="112" bestFit="1" customWidth="1"/>
    <col min="15885" max="15885" width="8.88671875" style="112" customWidth="1"/>
    <col min="15886" max="15886" width="10.44140625" style="112" bestFit="1" customWidth="1"/>
    <col min="15887" max="15911" width="0" style="112" hidden="1" customWidth="1"/>
    <col min="15912" max="16123" width="9.109375" style="112"/>
    <col min="16124" max="16126" width="9.109375" style="112" customWidth="1"/>
    <col min="16127" max="16127" width="27.5546875" style="112" customWidth="1"/>
    <col min="16128" max="16132" width="0" style="112" hidden="1" customWidth="1"/>
    <col min="16133" max="16133" width="3.88671875" style="112" customWidth="1"/>
    <col min="16134" max="16134" width="3.5546875" style="112" customWidth="1"/>
    <col min="16135" max="16135" width="13.6640625" style="112" customWidth="1"/>
    <col min="16136" max="16136" width="7.88671875" style="112" customWidth="1"/>
    <col min="16137" max="16137" width="11.44140625" style="112" customWidth="1"/>
    <col min="16138" max="16138" width="10.44140625" style="112" bestFit="1" customWidth="1"/>
    <col min="16139" max="16139" width="9.5546875" style="112" customWidth="1"/>
    <col min="16140" max="16140" width="10.44140625" style="112" bestFit="1" customWidth="1"/>
    <col min="16141" max="16141" width="8.88671875" style="112" customWidth="1"/>
    <col min="16142" max="16142" width="10.44140625" style="112" bestFit="1" customWidth="1"/>
    <col min="16143" max="16167" width="0" style="112" hidden="1" customWidth="1"/>
    <col min="16168" max="16384" width="9.109375" style="112"/>
  </cols>
  <sheetData>
    <row r="1" spans="1:40" ht="25.95" customHeight="1">
      <c r="D1" s="111"/>
      <c r="K1" s="33" t="s">
        <v>384</v>
      </c>
      <c r="L1" s="33"/>
      <c r="M1" s="33"/>
      <c r="N1" s="33"/>
    </row>
    <row r="2" spans="1:40">
      <c r="D2" s="117"/>
      <c r="K2" s="33" t="s">
        <v>107</v>
      </c>
      <c r="L2" s="33"/>
      <c r="M2" s="33"/>
      <c r="N2" s="33"/>
    </row>
    <row r="3" spans="1:40" s="119" customFormat="1" ht="15" customHeight="1">
      <c r="A3" s="109"/>
      <c r="B3" s="110"/>
      <c r="C3" s="110"/>
      <c r="D3" s="34"/>
      <c r="E3" s="112"/>
      <c r="F3" s="112"/>
      <c r="G3" s="35"/>
      <c r="H3" s="118"/>
      <c r="I3" s="36"/>
      <c r="J3" s="37"/>
      <c r="K3" s="38" t="s">
        <v>406</v>
      </c>
      <c r="L3" s="38"/>
      <c r="M3" s="38"/>
      <c r="N3" s="38"/>
      <c r="P3" s="120"/>
      <c r="AD3" s="121"/>
      <c r="AE3" s="121"/>
      <c r="AF3" s="121"/>
      <c r="AG3" s="121"/>
      <c r="AH3" s="121"/>
      <c r="AJ3" s="122"/>
    </row>
    <row r="4" spans="1:40" s="119" customFormat="1" ht="15" customHeight="1">
      <c r="A4" s="109"/>
      <c r="B4" s="110"/>
      <c r="C4" s="110"/>
      <c r="D4" s="34"/>
      <c r="E4" s="112"/>
      <c r="F4" s="112"/>
      <c r="G4" s="35"/>
      <c r="H4" s="118"/>
      <c r="I4" s="36"/>
      <c r="J4" s="37"/>
      <c r="K4" s="38"/>
      <c r="L4" s="38"/>
      <c r="M4" s="38"/>
      <c r="N4" s="38"/>
      <c r="P4" s="120"/>
      <c r="AD4" s="121"/>
      <c r="AE4" s="121"/>
      <c r="AF4" s="121"/>
      <c r="AG4" s="121"/>
      <c r="AH4" s="121"/>
      <c r="AJ4" s="122"/>
    </row>
    <row r="5" spans="1:40" ht="25.95" customHeight="1">
      <c r="D5" s="111"/>
      <c r="K5" s="33" t="s">
        <v>384</v>
      </c>
      <c r="L5" s="33"/>
      <c r="M5" s="33"/>
      <c r="N5" s="33"/>
    </row>
    <row r="6" spans="1:40">
      <c r="D6" s="117"/>
      <c r="K6" s="33" t="s">
        <v>107</v>
      </c>
      <c r="L6" s="33"/>
      <c r="M6" s="33"/>
      <c r="N6" s="33"/>
    </row>
    <row r="7" spans="1:40" s="119" customFormat="1" ht="15" customHeight="1">
      <c r="A7" s="109"/>
      <c r="B7" s="110"/>
      <c r="C7" s="110"/>
      <c r="D7" s="34"/>
      <c r="E7" s="112"/>
      <c r="F7" s="112"/>
      <c r="G7" s="35"/>
      <c r="H7" s="118"/>
      <c r="I7" s="36"/>
      <c r="J7" s="37"/>
      <c r="K7" s="38" t="s">
        <v>385</v>
      </c>
      <c r="L7" s="38"/>
      <c r="M7" s="38"/>
      <c r="N7" s="38"/>
      <c r="P7" s="120"/>
      <c r="AD7" s="121"/>
      <c r="AE7" s="121"/>
      <c r="AF7" s="121"/>
      <c r="AG7" s="121"/>
      <c r="AH7" s="121"/>
      <c r="AJ7" s="122"/>
    </row>
    <row r="8" spans="1:40" s="119" customFormat="1" ht="15" customHeight="1">
      <c r="A8" s="109"/>
      <c r="B8" s="110"/>
      <c r="C8" s="110"/>
      <c r="D8" s="34"/>
      <c r="E8" s="112"/>
      <c r="F8" s="112"/>
      <c r="G8" s="35"/>
      <c r="H8" s="118"/>
      <c r="I8" s="36"/>
      <c r="J8" s="37"/>
      <c r="K8" s="38"/>
      <c r="L8" s="38"/>
      <c r="M8" s="38"/>
      <c r="N8" s="38"/>
      <c r="P8" s="120"/>
      <c r="AD8" s="121"/>
      <c r="AE8" s="121"/>
      <c r="AF8" s="121"/>
      <c r="AG8" s="121"/>
      <c r="AH8" s="121"/>
      <c r="AJ8" s="122"/>
    </row>
    <row r="9" spans="1:40" s="119" customFormat="1" ht="18" customHeight="1">
      <c r="A9" s="179" t="s">
        <v>311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P9" s="120"/>
      <c r="AD9" s="121"/>
      <c r="AE9" s="121"/>
      <c r="AF9" s="121"/>
      <c r="AG9" s="121"/>
      <c r="AH9" s="121"/>
      <c r="AJ9" s="122"/>
    </row>
    <row r="10" spans="1:40" s="119" customFormat="1" ht="42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P10" s="120"/>
      <c r="AD10" s="121"/>
      <c r="AE10" s="121"/>
      <c r="AF10" s="121"/>
      <c r="AG10" s="121"/>
      <c r="AH10" s="121"/>
      <c r="AJ10" s="122"/>
    </row>
    <row r="11" spans="1:40">
      <c r="A11" s="181" t="s">
        <v>27</v>
      </c>
      <c r="B11" s="181"/>
      <c r="C11" s="181"/>
      <c r="D11" s="181"/>
      <c r="E11" s="182"/>
      <c r="F11" s="182"/>
      <c r="G11" s="182"/>
      <c r="H11" s="182"/>
      <c r="I11" s="183" t="s">
        <v>156</v>
      </c>
      <c r="J11" s="183" t="s">
        <v>68</v>
      </c>
      <c r="K11" s="183" t="s">
        <v>172</v>
      </c>
      <c r="L11" s="183" t="s">
        <v>68</v>
      </c>
      <c r="M11" s="183" t="s">
        <v>310</v>
      </c>
      <c r="N11" s="183" t="s">
        <v>68</v>
      </c>
    </row>
    <row r="12" spans="1:40" ht="15.6" customHeight="1">
      <c r="A12" s="181"/>
      <c r="B12" s="181"/>
      <c r="C12" s="181"/>
      <c r="D12" s="181"/>
      <c r="E12" s="182"/>
      <c r="F12" s="182"/>
      <c r="G12" s="182"/>
      <c r="H12" s="182"/>
      <c r="I12" s="183"/>
      <c r="J12" s="183"/>
      <c r="K12" s="183"/>
      <c r="L12" s="183"/>
      <c r="M12" s="183"/>
      <c r="N12" s="183"/>
    </row>
    <row r="13" spans="1:40" ht="42.6" customHeight="1">
      <c r="A13" s="181"/>
      <c r="B13" s="181"/>
      <c r="C13" s="181"/>
      <c r="D13" s="181"/>
      <c r="E13" s="178" t="s">
        <v>24</v>
      </c>
      <c r="F13" s="178" t="s">
        <v>25</v>
      </c>
      <c r="G13" s="178" t="s">
        <v>69</v>
      </c>
      <c r="H13" s="178" t="s">
        <v>70</v>
      </c>
      <c r="I13" s="183"/>
      <c r="J13" s="183"/>
      <c r="K13" s="183"/>
      <c r="L13" s="183"/>
      <c r="M13" s="183"/>
      <c r="N13" s="183"/>
      <c r="AN13" s="112">
        <v>107853.1</v>
      </c>
    </row>
    <row r="14" spans="1:40">
      <c r="A14" s="192">
        <v>1</v>
      </c>
      <c r="B14" s="192"/>
      <c r="C14" s="192"/>
      <c r="D14" s="192"/>
      <c r="E14" s="39">
        <v>2</v>
      </c>
      <c r="F14" s="39">
        <v>3</v>
      </c>
      <c r="G14" s="39">
        <v>4</v>
      </c>
      <c r="H14" s="39">
        <v>5</v>
      </c>
      <c r="I14" s="39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Q14" s="112">
        <v>61324.032629465437</v>
      </c>
      <c r="AN14" s="174">
        <f>I15-AN13</f>
        <v>43.100000000005821</v>
      </c>
    </row>
    <row r="15" spans="1:40" s="124" customFormat="1" ht="31.95" customHeight="1">
      <c r="A15" s="189" t="s">
        <v>104</v>
      </c>
      <c r="B15" s="189"/>
      <c r="C15" s="189"/>
      <c r="D15" s="189"/>
      <c r="E15" s="40"/>
      <c r="F15" s="40"/>
      <c r="G15" s="41"/>
      <c r="H15" s="42"/>
      <c r="I15" s="123">
        <f>I16+I61+I70+I109+I143+I184+I201+I208</f>
        <v>107896.20000000001</v>
      </c>
      <c r="J15" s="123">
        <v>250.8</v>
      </c>
      <c r="K15" s="123">
        <f>48438.2-0.4</f>
        <v>48437.799999999996</v>
      </c>
      <c r="L15" s="123">
        <v>259.09999999999997</v>
      </c>
      <c r="M15" s="123">
        <f>49810.7-0.5</f>
        <v>49810.2</v>
      </c>
      <c r="N15" s="123">
        <v>268.09999999999997</v>
      </c>
      <c r="O15" s="124">
        <v>45175.6</v>
      </c>
      <c r="P15" s="125">
        <v>61324.179759465442</v>
      </c>
      <c r="Q15" s="126">
        <f>61324080.4094654/1000</f>
        <v>61324.080409465401</v>
      </c>
      <c r="R15" s="126">
        <v>55766244</v>
      </c>
      <c r="S15" s="126">
        <v>50330575</v>
      </c>
      <c r="AA15" s="124">
        <v>53932.822789999998</v>
      </c>
      <c r="AB15" s="124">
        <v>50327.234539999998</v>
      </c>
      <c r="AC15" s="124">
        <v>48536.894319999999</v>
      </c>
      <c r="AD15" s="127">
        <v>53932.800000000003</v>
      </c>
      <c r="AE15" s="127">
        <v>247.9</v>
      </c>
      <c r="AF15" s="127">
        <v>50327.199999999997</v>
      </c>
      <c r="AG15" s="127">
        <v>247.9</v>
      </c>
      <c r="AH15" s="127">
        <v>48536.899999999994</v>
      </c>
      <c r="AI15" s="128"/>
      <c r="AJ15" s="129">
        <v>48438.299999999996</v>
      </c>
      <c r="AK15" s="124">
        <v>48438.2</v>
      </c>
      <c r="AL15" s="124">
        <v>49810.7</v>
      </c>
    </row>
    <row r="16" spans="1:40" s="124" customFormat="1" ht="18.75" customHeight="1">
      <c r="A16" s="189" t="s">
        <v>17</v>
      </c>
      <c r="B16" s="189"/>
      <c r="C16" s="189"/>
      <c r="D16" s="189"/>
      <c r="E16" s="40">
        <v>1</v>
      </c>
      <c r="F16" s="40">
        <v>0</v>
      </c>
      <c r="G16" s="41"/>
      <c r="H16" s="42"/>
      <c r="I16" s="43">
        <f>I17+I23+I34+I40</f>
        <v>17547.3</v>
      </c>
      <c r="J16" s="43">
        <v>0</v>
      </c>
      <c r="K16" s="43">
        <f>16817.7+300</f>
        <v>17117.7</v>
      </c>
      <c r="L16" s="43">
        <v>0</v>
      </c>
      <c r="M16" s="43">
        <f>18317.8+300</f>
        <v>18617.8</v>
      </c>
      <c r="N16" s="43">
        <v>0</v>
      </c>
      <c r="O16" s="128"/>
      <c r="P16" s="125">
        <v>17432.597669465438</v>
      </c>
      <c r="Q16" s="128">
        <f>I15-Q15</f>
        <v>46572.11959053461</v>
      </c>
      <c r="AA16" s="128">
        <f>AA15-I15</f>
        <v>-53963.377210000013</v>
      </c>
      <c r="AB16" s="128">
        <f>K15-AB15</f>
        <v>-1889.434540000002</v>
      </c>
      <c r="AC16" s="128">
        <f>M15-AC15</f>
        <v>1273.3056799999977</v>
      </c>
      <c r="AD16" s="63">
        <v>14435.9</v>
      </c>
      <c r="AE16" s="63">
        <v>0</v>
      </c>
      <c r="AF16" s="63">
        <v>17558.599999999999</v>
      </c>
      <c r="AG16" s="63">
        <v>0</v>
      </c>
      <c r="AH16" s="63">
        <v>18390</v>
      </c>
      <c r="AI16" s="128"/>
      <c r="AJ16" s="129">
        <v>16817.7</v>
      </c>
      <c r="AK16" s="128">
        <f>K15-AK15</f>
        <v>-0.40000000000145519</v>
      </c>
      <c r="AL16" s="128">
        <f>M15-AL15</f>
        <v>-0.5</v>
      </c>
    </row>
    <row r="17" spans="1:36" s="130" customFormat="1" ht="38.4" customHeight="1">
      <c r="A17" s="189" t="s">
        <v>14</v>
      </c>
      <c r="B17" s="189"/>
      <c r="C17" s="189"/>
      <c r="D17" s="189"/>
      <c r="E17" s="40">
        <v>1</v>
      </c>
      <c r="F17" s="40">
        <v>2</v>
      </c>
      <c r="G17" s="41"/>
      <c r="H17" s="42"/>
      <c r="I17" s="43">
        <v>1431.2</v>
      </c>
      <c r="J17" s="43">
        <v>0</v>
      </c>
      <c r="K17" s="43">
        <v>1422.8</v>
      </c>
      <c r="L17" s="43">
        <v>0</v>
      </c>
      <c r="M17" s="43">
        <v>1422.8</v>
      </c>
      <c r="N17" s="43">
        <v>0</v>
      </c>
      <c r="P17" s="131">
        <v>1418.6</v>
      </c>
      <c r="AD17" s="63">
        <v>1273.5999999999999</v>
      </c>
      <c r="AE17" s="63">
        <v>0</v>
      </c>
      <c r="AF17" s="63">
        <v>1423.6</v>
      </c>
      <c r="AG17" s="63">
        <v>0</v>
      </c>
      <c r="AH17" s="63">
        <v>1423.6</v>
      </c>
      <c r="AJ17" s="132">
        <v>1422.8</v>
      </c>
    </row>
    <row r="18" spans="1:36" s="133" customFormat="1" ht="27.6" customHeight="1">
      <c r="A18" s="193" t="s">
        <v>313</v>
      </c>
      <c r="B18" s="194"/>
      <c r="C18" s="194"/>
      <c r="D18" s="195"/>
      <c r="E18" s="44">
        <v>1</v>
      </c>
      <c r="F18" s="44">
        <v>2</v>
      </c>
      <c r="G18" s="45" t="s">
        <v>54</v>
      </c>
      <c r="H18" s="48">
        <v>0</v>
      </c>
      <c r="I18" s="46">
        <v>1431.2</v>
      </c>
      <c r="J18" s="46">
        <v>0</v>
      </c>
      <c r="K18" s="46">
        <v>1422.8</v>
      </c>
      <c r="L18" s="46">
        <v>0</v>
      </c>
      <c r="M18" s="46">
        <v>1422.8</v>
      </c>
      <c r="N18" s="46">
        <v>0</v>
      </c>
      <c r="P18" s="134">
        <v>1418.6</v>
      </c>
      <c r="AD18" s="64">
        <v>1273.5999999999999</v>
      </c>
      <c r="AE18" s="64">
        <v>0</v>
      </c>
      <c r="AF18" s="64">
        <v>1423.6</v>
      </c>
      <c r="AG18" s="64">
        <v>0</v>
      </c>
      <c r="AH18" s="64">
        <v>1423.6</v>
      </c>
      <c r="AJ18" s="135">
        <v>1422.8</v>
      </c>
    </row>
    <row r="19" spans="1:36" s="130" customFormat="1" ht="47.4" customHeight="1">
      <c r="A19" s="188" t="s">
        <v>158</v>
      </c>
      <c r="B19" s="188"/>
      <c r="C19" s="188"/>
      <c r="D19" s="188"/>
      <c r="E19" s="47">
        <v>1</v>
      </c>
      <c r="F19" s="47">
        <v>2</v>
      </c>
      <c r="G19" s="31" t="s">
        <v>115</v>
      </c>
      <c r="H19" s="48">
        <v>0</v>
      </c>
      <c r="I19" s="49">
        <v>1431.2</v>
      </c>
      <c r="J19" s="49">
        <v>0</v>
      </c>
      <c r="K19" s="49">
        <v>1422.8</v>
      </c>
      <c r="L19" s="49">
        <v>0</v>
      </c>
      <c r="M19" s="49">
        <v>1422.8</v>
      </c>
      <c r="N19" s="49">
        <v>0</v>
      </c>
      <c r="P19" s="131">
        <v>1418.6</v>
      </c>
      <c r="AD19" s="65">
        <v>1273.5999999999999</v>
      </c>
      <c r="AE19" s="65">
        <v>0</v>
      </c>
      <c r="AF19" s="65">
        <v>1423.6</v>
      </c>
      <c r="AG19" s="65">
        <v>0</v>
      </c>
      <c r="AH19" s="65">
        <v>1423.6</v>
      </c>
      <c r="AJ19" s="132">
        <v>1422.8</v>
      </c>
    </row>
    <row r="20" spans="1:36" s="130" customFormat="1" ht="34.799999999999997" customHeight="1">
      <c r="A20" s="184" t="s">
        <v>364</v>
      </c>
      <c r="B20" s="185"/>
      <c r="C20" s="185"/>
      <c r="D20" s="185"/>
      <c r="E20" s="47">
        <v>1</v>
      </c>
      <c r="F20" s="47">
        <v>2</v>
      </c>
      <c r="G20" s="31" t="s">
        <v>116</v>
      </c>
      <c r="H20" s="48">
        <v>0</v>
      </c>
      <c r="I20" s="49">
        <v>1431.2</v>
      </c>
      <c r="J20" s="49">
        <v>0</v>
      </c>
      <c r="K20" s="49">
        <v>1422.8</v>
      </c>
      <c r="L20" s="49">
        <v>0</v>
      </c>
      <c r="M20" s="49">
        <v>1422.8</v>
      </c>
      <c r="N20" s="49">
        <v>0</v>
      </c>
      <c r="P20" s="131"/>
      <c r="AD20" s="65"/>
      <c r="AE20" s="65"/>
      <c r="AF20" s="65"/>
      <c r="AG20" s="65"/>
      <c r="AH20" s="65"/>
      <c r="AJ20" s="132"/>
    </row>
    <row r="21" spans="1:36" s="130" customFormat="1" ht="66.599999999999994" customHeight="1">
      <c r="A21" s="186" t="s">
        <v>51</v>
      </c>
      <c r="B21" s="187"/>
      <c r="C21" s="187"/>
      <c r="D21" s="187"/>
      <c r="E21" s="47">
        <v>1</v>
      </c>
      <c r="F21" s="47">
        <v>2</v>
      </c>
      <c r="G21" s="31" t="s">
        <v>116</v>
      </c>
      <c r="H21" s="48">
        <v>100</v>
      </c>
      <c r="I21" s="49">
        <v>1431.2</v>
      </c>
      <c r="J21" s="49">
        <v>0</v>
      </c>
      <c r="K21" s="49">
        <v>1422.8</v>
      </c>
      <c r="L21" s="49">
        <v>0</v>
      </c>
      <c r="M21" s="49">
        <v>1422.8</v>
      </c>
      <c r="N21" s="49">
        <v>0</v>
      </c>
      <c r="P21" s="131">
        <v>1418.6</v>
      </c>
      <c r="AD21" s="65">
        <v>1273.5999999999999</v>
      </c>
      <c r="AE21" s="65">
        <v>0</v>
      </c>
      <c r="AF21" s="65">
        <v>1423.6</v>
      </c>
      <c r="AG21" s="65">
        <v>0</v>
      </c>
      <c r="AH21" s="65">
        <v>1423.6</v>
      </c>
      <c r="AJ21" s="132">
        <v>1422.8</v>
      </c>
    </row>
    <row r="22" spans="1:36" s="130" customFormat="1" ht="28.2" customHeight="1">
      <c r="A22" s="188" t="s">
        <v>55</v>
      </c>
      <c r="B22" s="188"/>
      <c r="C22" s="188"/>
      <c r="D22" s="188"/>
      <c r="E22" s="47">
        <v>1</v>
      </c>
      <c r="F22" s="47">
        <v>2</v>
      </c>
      <c r="G22" s="31" t="s">
        <v>116</v>
      </c>
      <c r="H22" s="48">
        <v>120</v>
      </c>
      <c r="I22" s="49">
        <v>1431.2</v>
      </c>
      <c r="J22" s="49">
        <v>0</v>
      </c>
      <c r="K22" s="49">
        <v>1422.8</v>
      </c>
      <c r="L22" s="49">
        <v>0</v>
      </c>
      <c r="M22" s="49">
        <v>1422.8</v>
      </c>
      <c r="N22" s="49">
        <v>0</v>
      </c>
      <c r="P22" s="131">
        <v>1418.6</v>
      </c>
      <c r="AD22" s="65">
        <v>1273.5999999999999</v>
      </c>
      <c r="AE22" s="65">
        <v>0</v>
      </c>
      <c r="AF22" s="65">
        <v>1423.6</v>
      </c>
      <c r="AG22" s="65">
        <v>0</v>
      </c>
      <c r="AH22" s="65">
        <v>1423.6</v>
      </c>
      <c r="AJ22" s="132">
        <v>1422.8</v>
      </c>
    </row>
    <row r="23" spans="1:36" s="130" customFormat="1" ht="43.2" customHeight="1">
      <c r="A23" s="189" t="s">
        <v>13</v>
      </c>
      <c r="B23" s="189"/>
      <c r="C23" s="189"/>
      <c r="D23" s="189"/>
      <c r="E23" s="40">
        <v>1</v>
      </c>
      <c r="F23" s="40">
        <v>4</v>
      </c>
      <c r="G23" s="41"/>
      <c r="H23" s="42"/>
      <c r="I23" s="43">
        <f>I24</f>
        <v>6578.7000000000007</v>
      </c>
      <c r="J23" s="43">
        <v>0</v>
      </c>
      <c r="K23" s="43">
        <v>6254.5</v>
      </c>
      <c r="L23" s="43">
        <v>0</v>
      </c>
      <c r="M23" s="43">
        <v>6254.6</v>
      </c>
      <c r="N23" s="43">
        <v>0</v>
      </c>
      <c r="P23" s="131">
        <v>6766.9889986039998</v>
      </c>
      <c r="AD23" s="63">
        <v>5940.2999999999993</v>
      </c>
      <c r="AE23" s="63">
        <v>0</v>
      </c>
      <c r="AF23" s="63">
        <v>6606.6</v>
      </c>
      <c r="AG23" s="63">
        <v>0</v>
      </c>
      <c r="AH23" s="63">
        <v>6426.6</v>
      </c>
      <c r="AJ23" s="132">
        <v>6254.5</v>
      </c>
    </row>
    <row r="24" spans="1:36" s="130" customFormat="1" ht="33.6" customHeight="1">
      <c r="A24" s="190" t="s">
        <v>313</v>
      </c>
      <c r="B24" s="190"/>
      <c r="C24" s="190"/>
      <c r="D24" s="190"/>
      <c r="E24" s="50">
        <v>1</v>
      </c>
      <c r="F24" s="50">
        <v>4</v>
      </c>
      <c r="G24" s="51" t="s">
        <v>54</v>
      </c>
      <c r="H24" s="48">
        <v>0</v>
      </c>
      <c r="I24" s="53">
        <f>I25+I29</f>
        <v>6578.7000000000007</v>
      </c>
      <c r="J24" s="53">
        <v>0</v>
      </c>
      <c r="K24" s="53">
        <v>6254.5</v>
      </c>
      <c r="L24" s="53">
        <v>0</v>
      </c>
      <c r="M24" s="53">
        <v>6254.6</v>
      </c>
      <c r="N24" s="53">
        <v>0</v>
      </c>
      <c r="P24" s="131">
        <v>6766.9889986039998</v>
      </c>
      <c r="AD24" s="66">
        <v>5940.2999999999993</v>
      </c>
      <c r="AE24" s="66">
        <v>0</v>
      </c>
      <c r="AF24" s="66">
        <v>6606.6</v>
      </c>
      <c r="AG24" s="66">
        <v>0</v>
      </c>
      <c r="AH24" s="66">
        <v>6426.6</v>
      </c>
      <c r="AJ24" s="132">
        <v>6254.5</v>
      </c>
    </row>
    <row r="25" spans="1:36" s="130" customFormat="1" ht="40.799999999999997" customHeight="1">
      <c r="A25" s="186" t="s">
        <v>158</v>
      </c>
      <c r="B25" s="187"/>
      <c r="C25" s="187"/>
      <c r="D25" s="191"/>
      <c r="E25" s="47">
        <v>1</v>
      </c>
      <c r="F25" s="47">
        <v>4</v>
      </c>
      <c r="G25" s="31" t="s">
        <v>115</v>
      </c>
      <c r="H25" s="48">
        <v>0</v>
      </c>
      <c r="I25" s="49">
        <f>I26</f>
        <v>6400.6</v>
      </c>
      <c r="J25" s="49">
        <v>0</v>
      </c>
      <c r="K25" s="49">
        <v>6254.5</v>
      </c>
      <c r="L25" s="49">
        <v>0</v>
      </c>
      <c r="M25" s="49">
        <v>6254.6</v>
      </c>
      <c r="N25" s="49">
        <v>0</v>
      </c>
      <c r="P25" s="131">
        <v>6555.5889986040002</v>
      </c>
      <c r="AD25" s="65">
        <v>5735.9</v>
      </c>
      <c r="AE25" s="65">
        <v>0</v>
      </c>
      <c r="AF25" s="65">
        <v>6606.6</v>
      </c>
      <c r="AG25" s="65">
        <v>0</v>
      </c>
      <c r="AH25" s="65">
        <v>6426.6</v>
      </c>
      <c r="AJ25" s="132">
        <v>6254.5</v>
      </c>
    </row>
    <row r="26" spans="1:36" s="130" customFormat="1" ht="73.2" customHeight="1">
      <c r="A26" s="186" t="s">
        <v>365</v>
      </c>
      <c r="B26" s="187"/>
      <c r="C26" s="187"/>
      <c r="D26" s="187"/>
      <c r="E26" s="47">
        <v>1</v>
      </c>
      <c r="F26" s="47">
        <v>4</v>
      </c>
      <c r="G26" s="31" t="s">
        <v>149</v>
      </c>
      <c r="H26" s="48">
        <v>0</v>
      </c>
      <c r="I26" s="49">
        <f>I27</f>
        <v>6400.6</v>
      </c>
      <c r="J26" s="49">
        <v>0</v>
      </c>
      <c r="K26" s="49">
        <v>6254.5</v>
      </c>
      <c r="L26" s="49">
        <v>0</v>
      </c>
      <c r="M26" s="49">
        <v>6254.6</v>
      </c>
      <c r="N26" s="49">
        <v>0</v>
      </c>
      <c r="P26" s="131">
        <v>6555.5889986040002</v>
      </c>
      <c r="AD26" s="65">
        <v>5735.9</v>
      </c>
      <c r="AE26" s="65">
        <v>0</v>
      </c>
      <c r="AF26" s="65">
        <v>6606.6</v>
      </c>
      <c r="AG26" s="65">
        <v>0</v>
      </c>
      <c r="AH26" s="65">
        <v>6426.6</v>
      </c>
      <c r="AJ26" s="132">
        <v>6254.5</v>
      </c>
    </row>
    <row r="27" spans="1:36" s="130" customFormat="1" ht="60" customHeight="1">
      <c r="A27" s="186" t="s">
        <v>51</v>
      </c>
      <c r="B27" s="187"/>
      <c r="C27" s="187"/>
      <c r="D27" s="187"/>
      <c r="E27" s="47">
        <v>1</v>
      </c>
      <c r="F27" s="47">
        <v>4</v>
      </c>
      <c r="G27" s="31" t="s">
        <v>149</v>
      </c>
      <c r="H27" s="48">
        <v>100</v>
      </c>
      <c r="I27" s="49">
        <f>I28</f>
        <v>6400.6</v>
      </c>
      <c r="J27" s="49">
        <v>0</v>
      </c>
      <c r="K27" s="49">
        <v>6254.5</v>
      </c>
      <c r="L27" s="49">
        <v>0</v>
      </c>
      <c r="M27" s="49">
        <v>6254.6</v>
      </c>
      <c r="N27" s="49">
        <v>0</v>
      </c>
      <c r="P27" s="131">
        <v>6555.5889986040002</v>
      </c>
      <c r="AD27" s="65">
        <v>5735.9</v>
      </c>
      <c r="AE27" s="65">
        <v>0</v>
      </c>
      <c r="AF27" s="65">
        <v>6606.6</v>
      </c>
      <c r="AG27" s="65">
        <v>0</v>
      </c>
      <c r="AH27" s="65">
        <v>6426.6</v>
      </c>
      <c r="AJ27" s="132">
        <v>6254.5</v>
      </c>
    </row>
    <row r="28" spans="1:36" s="130" customFormat="1" ht="34.200000000000003" customHeight="1">
      <c r="A28" s="188" t="s">
        <v>55</v>
      </c>
      <c r="B28" s="188"/>
      <c r="C28" s="188"/>
      <c r="D28" s="188"/>
      <c r="E28" s="47">
        <v>1</v>
      </c>
      <c r="F28" s="47">
        <v>4</v>
      </c>
      <c r="G28" s="31" t="s">
        <v>149</v>
      </c>
      <c r="H28" s="48">
        <v>120</v>
      </c>
      <c r="I28" s="49">
        <f>6400.6</f>
        <v>6400.6</v>
      </c>
      <c r="J28" s="49">
        <v>0</v>
      </c>
      <c r="K28" s="49">
        <v>6254.5</v>
      </c>
      <c r="L28" s="49">
        <v>0</v>
      </c>
      <c r="M28" s="49">
        <v>6254.6</v>
      </c>
      <c r="N28" s="49">
        <v>0</v>
      </c>
      <c r="P28" s="131">
        <v>6555.5889986040002</v>
      </c>
      <c r="AD28" s="65">
        <v>5735.9</v>
      </c>
      <c r="AE28" s="65">
        <v>0</v>
      </c>
      <c r="AF28" s="65">
        <v>6606.6</v>
      </c>
      <c r="AG28" s="65">
        <v>0</v>
      </c>
      <c r="AH28" s="65">
        <v>6426.6</v>
      </c>
      <c r="AJ28" s="132">
        <v>6254.5</v>
      </c>
    </row>
    <row r="29" spans="1:36" s="130" customFormat="1" ht="31.2" customHeight="1">
      <c r="A29" s="190" t="s">
        <v>313</v>
      </c>
      <c r="B29" s="190"/>
      <c r="C29" s="190"/>
      <c r="D29" s="190"/>
      <c r="E29" s="50">
        <v>1</v>
      </c>
      <c r="F29" s="50">
        <v>4</v>
      </c>
      <c r="G29" s="51" t="s">
        <v>54</v>
      </c>
      <c r="H29" s="52"/>
      <c r="I29" s="53">
        <v>178.1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P29" s="131">
        <v>211.4</v>
      </c>
      <c r="AD29" s="66">
        <v>204.4</v>
      </c>
      <c r="AE29" s="66">
        <v>0</v>
      </c>
      <c r="AF29" s="66">
        <v>0</v>
      </c>
      <c r="AG29" s="66">
        <v>0</v>
      </c>
      <c r="AH29" s="66">
        <v>0</v>
      </c>
      <c r="AJ29" s="132">
        <v>0</v>
      </c>
    </row>
    <row r="30" spans="1:36" s="130" customFormat="1" ht="46.8" customHeight="1">
      <c r="A30" s="197" t="s">
        <v>137</v>
      </c>
      <c r="B30" s="198"/>
      <c r="C30" s="198"/>
      <c r="D30" s="199"/>
      <c r="E30" s="47">
        <v>1</v>
      </c>
      <c r="F30" s="47">
        <v>4</v>
      </c>
      <c r="G30" s="31" t="s">
        <v>115</v>
      </c>
      <c r="H30" s="48">
        <v>0</v>
      </c>
      <c r="I30" s="49">
        <v>178.1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P30" s="131"/>
      <c r="AD30" s="66"/>
      <c r="AE30" s="66"/>
      <c r="AF30" s="66"/>
      <c r="AG30" s="66"/>
      <c r="AH30" s="66"/>
      <c r="AJ30" s="132"/>
    </row>
    <row r="31" spans="1:36" s="130" customFormat="1" ht="50.4" customHeight="1">
      <c r="A31" s="200" t="s">
        <v>366</v>
      </c>
      <c r="B31" s="201"/>
      <c r="C31" s="201"/>
      <c r="D31" s="201"/>
      <c r="E31" s="47">
        <v>1</v>
      </c>
      <c r="F31" s="47">
        <v>4</v>
      </c>
      <c r="G31" s="31" t="s">
        <v>150</v>
      </c>
      <c r="H31" s="48">
        <v>0</v>
      </c>
      <c r="I31" s="49">
        <v>178.1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P31" s="131">
        <v>211.4</v>
      </c>
      <c r="AD31" s="65">
        <v>204.4</v>
      </c>
      <c r="AE31" s="65">
        <v>0</v>
      </c>
      <c r="AF31" s="65">
        <v>0</v>
      </c>
      <c r="AG31" s="65">
        <v>0</v>
      </c>
      <c r="AH31" s="65">
        <v>0</v>
      </c>
      <c r="AJ31" s="132">
        <v>0</v>
      </c>
    </row>
    <row r="32" spans="1:36" s="130" customFormat="1">
      <c r="A32" s="188" t="s">
        <v>32</v>
      </c>
      <c r="B32" s="188"/>
      <c r="C32" s="188"/>
      <c r="D32" s="188"/>
      <c r="E32" s="47">
        <v>1</v>
      </c>
      <c r="F32" s="47">
        <v>4</v>
      </c>
      <c r="G32" s="31" t="s">
        <v>150</v>
      </c>
      <c r="H32" s="48">
        <v>500</v>
      </c>
      <c r="I32" s="49">
        <v>178.1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P32" s="131">
        <v>211.4</v>
      </c>
      <c r="AD32" s="65">
        <v>204.4</v>
      </c>
      <c r="AE32" s="65">
        <v>0</v>
      </c>
      <c r="AF32" s="65">
        <v>0</v>
      </c>
      <c r="AG32" s="65">
        <v>0</v>
      </c>
      <c r="AH32" s="65">
        <v>0</v>
      </c>
      <c r="AJ32" s="132">
        <v>0</v>
      </c>
    </row>
    <row r="33" spans="1:36" s="130" customFormat="1">
      <c r="A33" s="188" t="s">
        <v>34</v>
      </c>
      <c r="B33" s="188"/>
      <c r="C33" s="188"/>
      <c r="D33" s="188"/>
      <c r="E33" s="47">
        <v>1</v>
      </c>
      <c r="F33" s="47">
        <v>4</v>
      </c>
      <c r="G33" s="31" t="s">
        <v>150</v>
      </c>
      <c r="H33" s="48">
        <v>540</v>
      </c>
      <c r="I33" s="49">
        <v>178.1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P33" s="131">
        <v>211.4</v>
      </c>
      <c r="AD33" s="65">
        <v>204.4</v>
      </c>
      <c r="AE33" s="65">
        <v>0</v>
      </c>
      <c r="AF33" s="65">
        <v>0</v>
      </c>
      <c r="AG33" s="65">
        <v>0</v>
      </c>
      <c r="AH33" s="65">
        <v>0</v>
      </c>
      <c r="AJ33" s="132">
        <v>0</v>
      </c>
    </row>
    <row r="34" spans="1:36" s="130" customFormat="1">
      <c r="A34" s="189" t="s">
        <v>12</v>
      </c>
      <c r="B34" s="189"/>
      <c r="C34" s="189"/>
      <c r="D34" s="189"/>
      <c r="E34" s="40">
        <v>1</v>
      </c>
      <c r="F34" s="40">
        <v>11</v>
      </c>
      <c r="G34" s="41"/>
      <c r="H34" s="42"/>
      <c r="I34" s="43">
        <v>10</v>
      </c>
      <c r="J34" s="43">
        <v>0</v>
      </c>
      <c r="K34" s="43">
        <v>10</v>
      </c>
      <c r="L34" s="43">
        <v>0</v>
      </c>
      <c r="M34" s="43">
        <v>10</v>
      </c>
      <c r="N34" s="43">
        <v>0</v>
      </c>
      <c r="P34" s="131">
        <v>10</v>
      </c>
      <c r="AD34" s="63">
        <v>10</v>
      </c>
      <c r="AE34" s="63">
        <v>0</v>
      </c>
      <c r="AF34" s="63">
        <v>10</v>
      </c>
      <c r="AG34" s="63">
        <v>0</v>
      </c>
      <c r="AH34" s="63">
        <v>10</v>
      </c>
      <c r="AJ34" s="132">
        <v>10</v>
      </c>
    </row>
    <row r="35" spans="1:36" s="130" customFormat="1" ht="39" customHeight="1">
      <c r="A35" s="190" t="s">
        <v>124</v>
      </c>
      <c r="B35" s="190"/>
      <c r="C35" s="190"/>
      <c r="D35" s="190"/>
      <c r="E35" s="50">
        <v>1</v>
      </c>
      <c r="F35" s="50">
        <v>11</v>
      </c>
      <c r="G35" s="51" t="s">
        <v>30</v>
      </c>
      <c r="H35" s="48">
        <v>0</v>
      </c>
      <c r="I35" s="53">
        <v>10</v>
      </c>
      <c r="J35" s="53">
        <v>0</v>
      </c>
      <c r="K35" s="53">
        <v>10</v>
      </c>
      <c r="L35" s="53">
        <v>0</v>
      </c>
      <c r="M35" s="53">
        <v>10</v>
      </c>
      <c r="N35" s="53">
        <v>0</v>
      </c>
      <c r="P35" s="131">
        <v>10</v>
      </c>
      <c r="AD35" s="66">
        <v>10</v>
      </c>
      <c r="AE35" s="66">
        <v>0</v>
      </c>
      <c r="AF35" s="66">
        <v>10</v>
      </c>
      <c r="AG35" s="66">
        <v>0</v>
      </c>
      <c r="AH35" s="66">
        <v>10</v>
      </c>
      <c r="AJ35" s="132">
        <v>10</v>
      </c>
    </row>
    <row r="36" spans="1:36" s="130" customFormat="1" ht="21.6" customHeight="1">
      <c r="A36" s="184" t="s">
        <v>119</v>
      </c>
      <c r="B36" s="185"/>
      <c r="C36" s="185"/>
      <c r="D36" s="196"/>
      <c r="E36" s="50"/>
      <c r="F36" s="50"/>
      <c r="G36" s="31" t="s">
        <v>120</v>
      </c>
      <c r="H36" s="48">
        <v>0</v>
      </c>
      <c r="I36" s="53"/>
      <c r="J36" s="53"/>
      <c r="K36" s="53"/>
      <c r="L36" s="53"/>
      <c r="M36" s="53"/>
      <c r="N36" s="53"/>
      <c r="P36" s="131"/>
      <c r="AD36" s="66"/>
      <c r="AE36" s="66"/>
      <c r="AF36" s="66"/>
      <c r="AG36" s="66"/>
      <c r="AH36" s="66"/>
      <c r="AJ36" s="132"/>
    </row>
    <row r="37" spans="1:36" s="130" customFormat="1" ht="36" customHeight="1">
      <c r="A37" s="188" t="s">
        <v>357</v>
      </c>
      <c r="B37" s="188"/>
      <c r="C37" s="188"/>
      <c r="D37" s="188"/>
      <c r="E37" s="47">
        <v>1</v>
      </c>
      <c r="F37" s="47">
        <v>11</v>
      </c>
      <c r="G37" s="31" t="s">
        <v>121</v>
      </c>
      <c r="H37" s="48">
        <v>0</v>
      </c>
      <c r="I37" s="49">
        <v>10</v>
      </c>
      <c r="J37" s="49">
        <v>0</v>
      </c>
      <c r="K37" s="49">
        <v>10</v>
      </c>
      <c r="L37" s="49">
        <v>0</v>
      </c>
      <c r="M37" s="49">
        <v>10</v>
      </c>
      <c r="N37" s="49">
        <v>0</v>
      </c>
      <c r="P37" s="131">
        <v>10</v>
      </c>
      <c r="AD37" s="65">
        <v>10</v>
      </c>
      <c r="AE37" s="65">
        <v>0</v>
      </c>
      <c r="AF37" s="65">
        <v>10</v>
      </c>
      <c r="AG37" s="65">
        <v>0</v>
      </c>
      <c r="AH37" s="65">
        <v>10</v>
      </c>
      <c r="AJ37" s="132">
        <v>10</v>
      </c>
    </row>
    <row r="38" spans="1:36" s="130" customFormat="1">
      <c r="A38" s="188" t="s">
        <v>36</v>
      </c>
      <c r="B38" s="188"/>
      <c r="C38" s="188"/>
      <c r="D38" s="188"/>
      <c r="E38" s="47">
        <v>1</v>
      </c>
      <c r="F38" s="47">
        <v>11</v>
      </c>
      <c r="G38" s="31" t="s">
        <v>121</v>
      </c>
      <c r="H38" s="48">
        <v>800</v>
      </c>
      <c r="I38" s="49">
        <v>10</v>
      </c>
      <c r="J38" s="49">
        <v>0</v>
      </c>
      <c r="K38" s="49">
        <v>10</v>
      </c>
      <c r="L38" s="49">
        <v>0</v>
      </c>
      <c r="M38" s="49">
        <v>10</v>
      </c>
      <c r="N38" s="49">
        <v>0</v>
      </c>
      <c r="P38" s="131">
        <v>10</v>
      </c>
      <c r="AD38" s="65">
        <v>10</v>
      </c>
      <c r="AE38" s="65">
        <v>0</v>
      </c>
      <c r="AF38" s="65">
        <v>10</v>
      </c>
      <c r="AG38" s="65">
        <v>0</v>
      </c>
      <c r="AH38" s="65">
        <v>10</v>
      </c>
      <c r="AJ38" s="132">
        <v>10</v>
      </c>
    </row>
    <row r="39" spans="1:36" s="130" customFormat="1">
      <c r="A39" s="188" t="s">
        <v>38</v>
      </c>
      <c r="B39" s="188"/>
      <c r="C39" s="188"/>
      <c r="D39" s="188"/>
      <c r="E39" s="47">
        <v>1</v>
      </c>
      <c r="F39" s="47">
        <v>11</v>
      </c>
      <c r="G39" s="31" t="s">
        <v>121</v>
      </c>
      <c r="H39" s="48">
        <v>870</v>
      </c>
      <c r="I39" s="49">
        <v>10</v>
      </c>
      <c r="J39" s="49">
        <v>0</v>
      </c>
      <c r="K39" s="49">
        <v>10</v>
      </c>
      <c r="L39" s="49">
        <v>0</v>
      </c>
      <c r="M39" s="49">
        <v>10</v>
      </c>
      <c r="N39" s="49">
        <v>0</v>
      </c>
      <c r="P39" s="131">
        <v>10</v>
      </c>
      <c r="AD39" s="65">
        <v>10</v>
      </c>
      <c r="AE39" s="65">
        <v>0</v>
      </c>
      <c r="AF39" s="65">
        <v>10</v>
      </c>
      <c r="AG39" s="65">
        <v>0</v>
      </c>
      <c r="AH39" s="65">
        <v>10</v>
      </c>
      <c r="AJ39" s="132">
        <v>10</v>
      </c>
    </row>
    <row r="40" spans="1:36" s="130" customFormat="1" ht="22.95" customHeight="1">
      <c r="A40" s="189" t="s">
        <v>11</v>
      </c>
      <c r="B40" s="189"/>
      <c r="C40" s="189"/>
      <c r="D40" s="189"/>
      <c r="E40" s="40">
        <v>1</v>
      </c>
      <c r="F40" s="40">
        <v>13</v>
      </c>
      <c r="G40" s="41"/>
      <c r="H40" s="42"/>
      <c r="I40" s="43">
        <f>I46</f>
        <v>9527.4</v>
      </c>
      <c r="J40" s="43">
        <v>0</v>
      </c>
      <c r="K40" s="43">
        <f>9130.4+300-0.4</f>
        <v>9430</v>
      </c>
      <c r="L40" s="43">
        <v>0</v>
      </c>
      <c r="M40" s="43">
        <f>10630.4+300-0.5</f>
        <v>10929.9</v>
      </c>
      <c r="N40" s="43">
        <v>0</v>
      </c>
      <c r="P40" s="131">
        <v>9237.0086708614381</v>
      </c>
      <c r="AD40" s="63">
        <v>7212</v>
      </c>
      <c r="AE40" s="63">
        <v>0</v>
      </c>
      <c r="AF40" s="63">
        <v>9518.4</v>
      </c>
      <c r="AG40" s="63">
        <v>0</v>
      </c>
      <c r="AH40" s="63">
        <v>10529.8</v>
      </c>
      <c r="AJ40" s="132">
        <v>9130.4</v>
      </c>
    </row>
    <row r="41" spans="1:36" s="130" customFormat="1" ht="30" customHeight="1">
      <c r="A41" s="190" t="s">
        <v>124</v>
      </c>
      <c r="B41" s="190"/>
      <c r="C41" s="190"/>
      <c r="D41" s="190"/>
      <c r="E41" s="50">
        <v>1</v>
      </c>
      <c r="F41" s="50">
        <v>13</v>
      </c>
      <c r="G41" s="51" t="s">
        <v>30</v>
      </c>
      <c r="H41" s="48">
        <v>0</v>
      </c>
      <c r="I41" s="53">
        <v>0</v>
      </c>
      <c r="J41" s="53">
        <v>0</v>
      </c>
      <c r="K41" s="53">
        <v>2500</v>
      </c>
      <c r="L41" s="53">
        <v>0</v>
      </c>
      <c r="M41" s="53">
        <v>4000</v>
      </c>
      <c r="N41" s="53">
        <v>0</v>
      </c>
      <c r="P41" s="131">
        <v>0</v>
      </c>
      <c r="AD41" s="66">
        <v>0</v>
      </c>
      <c r="AE41" s="66">
        <v>0</v>
      </c>
      <c r="AF41" s="66">
        <v>1400</v>
      </c>
      <c r="AG41" s="66">
        <v>0</v>
      </c>
      <c r="AH41" s="66">
        <v>2500</v>
      </c>
      <c r="AJ41" s="132">
        <v>2500</v>
      </c>
    </row>
    <row r="42" spans="1:36" s="130" customFormat="1" ht="20.399999999999999" customHeight="1">
      <c r="A42" s="184" t="s">
        <v>119</v>
      </c>
      <c r="B42" s="185"/>
      <c r="C42" s="185"/>
      <c r="D42" s="196"/>
      <c r="E42" s="47">
        <v>1</v>
      </c>
      <c r="F42" s="47">
        <v>13</v>
      </c>
      <c r="G42" s="31" t="s">
        <v>120</v>
      </c>
      <c r="H42" s="48">
        <v>0</v>
      </c>
      <c r="I42" s="49">
        <v>0</v>
      </c>
      <c r="J42" s="49">
        <v>0</v>
      </c>
      <c r="K42" s="49">
        <v>2500</v>
      </c>
      <c r="L42" s="49">
        <v>0</v>
      </c>
      <c r="M42" s="49">
        <v>4000</v>
      </c>
      <c r="N42" s="49">
        <v>0</v>
      </c>
      <c r="P42" s="131">
        <v>0</v>
      </c>
      <c r="AD42" s="65">
        <v>0</v>
      </c>
      <c r="AE42" s="65">
        <v>0</v>
      </c>
      <c r="AF42" s="65">
        <v>1400</v>
      </c>
      <c r="AG42" s="65">
        <v>0</v>
      </c>
      <c r="AH42" s="65">
        <v>2500</v>
      </c>
      <c r="AJ42" s="132">
        <v>2500</v>
      </c>
    </row>
    <row r="43" spans="1:36" s="130" customFormat="1" ht="51.6" customHeight="1">
      <c r="A43" s="188" t="s">
        <v>386</v>
      </c>
      <c r="B43" s="201"/>
      <c r="C43" s="201"/>
      <c r="D43" s="201"/>
      <c r="E43" s="47">
        <v>1</v>
      </c>
      <c r="F43" s="47">
        <v>13</v>
      </c>
      <c r="G43" s="31" t="s">
        <v>122</v>
      </c>
      <c r="H43" s="48">
        <v>0</v>
      </c>
      <c r="I43" s="49">
        <v>0</v>
      </c>
      <c r="J43" s="49">
        <v>0</v>
      </c>
      <c r="K43" s="49">
        <v>2500</v>
      </c>
      <c r="L43" s="49">
        <v>0</v>
      </c>
      <c r="M43" s="49">
        <v>4000</v>
      </c>
      <c r="N43" s="49">
        <v>0</v>
      </c>
      <c r="P43" s="131">
        <v>0</v>
      </c>
      <c r="AD43" s="65">
        <v>0</v>
      </c>
      <c r="AE43" s="65">
        <v>0</v>
      </c>
      <c r="AF43" s="65">
        <v>1400</v>
      </c>
      <c r="AG43" s="65">
        <v>0</v>
      </c>
      <c r="AH43" s="65">
        <v>2500</v>
      </c>
      <c r="AJ43" s="132">
        <v>2500</v>
      </c>
    </row>
    <row r="44" spans="1:36" s="130" customFormat="1" ht="16.95" customHeight="1">
      <c r="A44" s="188" t="s">
        <v>36</v>
      </c>
      <c r="B44" s="188"/>
      <c r="C44" s="188"/>
      <c r="D44" s="188"/>
      <c r="E44" s="47">
        <v>1</v>
      </c>
      <c r="F44" s="47">
        <v>13</v>
      </c>
      <c r="G44" s="31" t="s">
        <v>122</v>
      </c>
      <c r="H44" s="48">
        <v>800</v>
      </c>
      <c r="I44" s="49">
        <v>0</v>
      </c>
      <c r="J44" s="49">
        <v>0</v>
      </c>
      <c r="K44" s="49">
        <v>2500</v>
      </c>
      <c r="L44" s="49">
        <v>0</v>
      </c>
      <c r="M44" s="49">
        <v>4000</v>
      </c>
      <c r="N44" s="49">
        <v>0</v>
      </c>
      <c r="P44" s="131">
        <v>0</v>
      </c>
      <c r="AD44" s="65">
        <v>0</v>
      </c>
      <c r="AE44" s="65">
        <v>0</v>
      </c>
      <c r="AF44" s="65">
        <v>1400</v>
      </c>
      <c r="AG44" s="65">
        <v>0</v>
      </c>
      <c r="AH44" s="65">
        <v>2500</v>
      </c>
      <c r="AJ44" s="132">
        <v>2500</v>
      </c>
    </row>
    <row r="45" spans="1:36" s="130" customFormat="1" ht="16.95" customHeight="1">
      <c r="A45" s="188" t="s">
        <v>38</v>
      </c>
      <c r="B45" s="188"/>
      <c r="C45" s="188"/>
      <c r="D45" s="188"/>
      <c r="E45" s="47">
        <v>1</v>
      </c>
      <c r="F45" s="47">
        <v>13</v>
      </c>
      <c r="G45" s="31" t="s">
        <v>122</v>
      </c>
      <c r="H45" s="48">
        <v>870</v>
      </c>
      <c r="I45" s="49">
        <v>0</v>
      </c>
      <c r="J45" s="49">
        <v>0</v>
      </c>
      <c r="K45" s="49">
        <v>2500</v>
      </c>
      <c r="L45" s="49">
        <v>0</v>
      </c>
      <c r="M45" s="49">
        <v>4000</v>
      </c>
      <c r="N45" s="49">
        <v>0</v>
      </c>
      <c r="P45" s="131">
        <v>0</v>
      </c>
      <c r="AD45" s="65">
        <v>0</v>
      </c>
      <c r="AE45" s="65">
        <v>0</v>
      </c>
      <c r="AF45" s="65">
        <v>1400</v>
      </c>
      <c r="AG45" s="65">
        <v>0</v>
      </c>
      <c r="AH45" s="65">
        <v>2500</v>
      </c>
      <c r="AJ45" s="132">
        <v>2500</v>
      </c>
    </row>
    <row r="46" spans="1:36" s="130" customFormat="1" ht="35.4" customHeight="1">
      <c r="A46" s="190" t="s">
        <v>313</v>
      </c>
      <c r="B46" s="190"/>
      <c r="C46" s="190"/>
      <c r="D46" s="190"/>
      <c r="E46" s="50">
        <v>1</v>
      </c>
      <c r="F46" s="50">
        <v>13</v>
      </c>
      <c r="G46" s="51" t="s">
        <v>54</v>
      </c>
      <c r="H46" s="48">
        <v>0</v>
      </c>
      <c r="I46" s="53">
        <f>I47+I53</f>
        <v>9527.4</v>
      </c>
      <c r="J46" s="53">
        <v>0</v>
      </c>
      <c r="K46" s="53">
        <f>K47</f>
        <v>314.60000000000002</v>
      </c>
      <c r="L46" s="53">
        <v>0</v>
      </c>
      <c r="M46" s="53">
        <f>M47</f>
        <v>314.5</v>
      </c>
      <c r="N46" s="53">
        <v>0</v>
      </c>
      <c r="P46" s="131">
        <v>323.70458999999994</v>
      </c>
      <c r="AD46" s="66">
        <v>127.6</v>
      </c>
      <c r="AE46" s="66">
        <v>0</v>
      </c>
      <c r="AF46" s="66">
        <v>127.6</v>
      </c>
      <c r="AG46" s="66">
        <v>0</v>
      </c>
      <c r="AH46" s="66">
        <v>127.6</v>
      </c>
      <c r="AJ46" s="132">
        <v>15</v>
      </c>
    </row>
    <row r="47" spans="1:36" s="130" customFormat="1" ht="48" customHeight="1">
      <c r="A47" s="186" t="s">
        <v>158</v>
      </c>
      <c r="B47" s="187"/>
      <c r="C47" s="187"/>
      <c r="D47" s="191"/>
      <c r="E47" s="47">
        <v>1</v>
      </c>
      <c r="F47" s="47">
        <v>13</v>
      </c>
      <c r="G47" s="31" t="s">
        <v>115</v>
      </c>
      <c r="H47" s="48">
        <v>0</v>
      </c>
      <c r="I47" s="49">
        <f>I48+I51</f>
        <v>806.1</v>
      </c>
      <c r="J47" s="49">
        <v>0</v>
      </c>
      <c r="K47" s="49">
        <f>K48</f>
        <v>314.60000000000002</v>
      </c>
      <c r="L47" s="49">
        <v>0</v>
      </c>
      <c r="M47" s="49">
        <f>M48</f>
        <v>314.5</v>
      </c>
      <c r="N47" s="49">
        <v>0</v>
      </c>
      <c r="P47" s="131">
        <v>323.70458999999994</v>
      </c>
      <c r="AD47" s="65">
        <v>127.6</v>
      </c>
      <c r="AE47" s="65">
        <v>0</v>
      </c>
      <c r="AF47" s="65">
        <v>127.6</v>
      </c>
      <c r="AG47" s="65">
        <v>0</v>
      </c>
      <c r="AH47" s="65">
        <v>127.6</v>
      </c>
      <c r="AJ47" s="132">
        <v>15</v>
      </c>
    </row>
    <row r="48" spans="1:36" s="130" customFormat="1" ht="24" customHeight="1">
      <c r="A48" s="188" t="s">
        <v>367</v>
      </c>
      <c r="B48" s="201"/>
      <c r="C48" s="201"/>
      <c r="D48" s="201"/>
      <c r="E48" s="47">
        <v>1</v>
      </c>
      <c r="F48" s="47">
        <v>13</v>
      </c>
      <c r="G48" s="31" t="s">
        <v>152</v>
      </c>
      <c r="H48" s="48">
        <v>0</v>
      </c>
      <c r="I48" s="49">
        <v>791.1</v>
      </c>
      <c r="J48" s="49">
        <v>0</v>
      </c>
      <c r="K48" s="49">
        <f>K49+K51</f>
        <v>314.60000000000002</v>
      </c>
      <c r="L48" s="49">
        <v>0</v>
      </c>
      <c r="M48" s="49">
        <f>M49+M51</f>
        <v>314.5</v>
      </c>
      <c r="N48" s="49">
        <v>0</v>
      </c>
      <c r="P48" s="131">
        <v>323.70458999999994</v>
      </c>
      <c r="AD48" s="65">
        <v>127.6</v>
      </c>
      <c r="AE48" s="65">
        <v>0</v>
      </c>
      <c r="AF48" s="65">
        <v>127.6</v>
      </c>
      <c r="AG48" s="65">
        <v>0</v>
      </c>
      <c r="AH48" s="65">
        <v>127.6</v>
      </c>
      <c r="AJ48" s="132">
        <v>15</v>
      </c>
    </row>
    <row r="49" spans="1:36" s="130" customFormat="1" ht="31.95" customHeight="1">
      <c r="A49" s="188" t="s">
        <v>44</v>
      </c>
      <c r="B49" s="188"/>
      <c r="C49" s="188"/>
      <c r="D49" s="188"/>
      <c r="E49" s="47">
        <v>1</v>
      </c>
      <c r="F49" s="47">
        <v>13</v>
      </c>
      <c r="G49" s="31" t="s">
        <v>152</v>
      </c>
      <c r="H49" s="48">
        <v>200</v>
      </c>
      <c r="I49" s="49">
        <v>791.1</v>
      </c>
      <c r="J49" s="49">
        <v>0</v>
      </c>
      <c r="K49" s="49">
        <f>K50</f>
        <v>299.60000000000002</v>
      </c>
      <c r="L49" s="49">
        <v>0</v>
      </c>
      <c r="M49" s="49">
        <f>M50</f>
        <v>299.5</v>
      </c>
      <c r="N49" s="49">
        <v>0</v>
      </c>
      <c r="P49" s="131">
        <v>308.70458999999994</v>
      </c>
      <c r="AD49" s="65">
        <v>112.6</v>
      </c>
      <c r="AE49" s="65">
        <v>0</v>
      </c>
      <c r="AF49" s="65">
        <v>112.6</v>
      </c>
      <c r="AG49" s="65">
        <v>0</v>
      </c>
      <c r="AH49" s="65">
        <v>112.6</v>
      </c>
      <c r="AJ49" s="132">
        <v>0</v>
      </c>
    </row>
    <row r="50" spans="1:36" s="130" customFormat="1" ht="31.95" customHeight="1">
      <c r="A50" s="188" t="s">
        <v>46</v>
      </c>
      <c r="B50" s="188"/>
      <c r="C50" s="188"/>
      <c r="D50" s="188"/>
      <c r="E50" s="47">
        <v>1</v>
      </c>
      <c r="F50" s="47">
        <v>13</v>
      </c>
      <c r="G50" s="31" t="s">
        <v>152</v>
      </c>
      <c r="H50" s="48">
        <v>240</v>
      </c>
      <c r="I50" s="49">
        <f>422.3+368.8</f>
        <v>791.1</v>
      </c>
      <c r="J50" s="49">
        <v>0</v>
      </c>
      <c r="K50" s="49">
        <f>300-0.4</f>
        <v>299.60000000000002</v>
      </c>
      <c r="L50" s="49">
        <v>0</v>
      </c>
      <c r="M50" s="49">
        <f>300-0.5</f>
        <v>299.5</v>
      </c>
      <c r="N50" s="49">
        <v>0</v>
      </c>
      <c r="P50" s="131">
        <v>308.70459</v>
      </c>
      <c r="AC50" s="131">
        <v>308.69999999999993</v>
      </c>
      <c r="AD50" s="65">
        <v>112.6</v>
      </c>
      <c r="AE50" s="65">
        <v>0</v>
      </c>
      <c r="AF50" s="65">
        <v>112.6</v>
      </c>
      <c r="AG50" s="65">
        <v>0</v>
      </c>
      <c r="AH50" s="65">
        <v>112.6</v>
      </c>
      <c r="AJ50" s="132">
        <v>0</v>
      </c>
    </row>
    <row r="51" spans="1:36" s="130" customFormat="1" ht="18.600000000000001" customHeight="1">
      <c r="A51" s="188" t="s">
        <v>36</v>
      </c>
      <c r="B51" s="188"/>
      <c r="C51" s="188"/>
      <c r="D51" s="188"/>
      <c r="E51" s="47">
        <v>1</v>
      </c>
      <c r="F51" s="47">
        <v>13</v>
      </c>
      <c r="G51" s="31" t="s">
        <v>152</v>
      </c>
      <c r="H51" s="48">
        <v>800</v>
      </c>
      <c r="I51" s="49">
        <v>15</v>
      </c>
      <c r="J51" s="49">
        <v>0</v>
      </c>
      <c r="K51" s="49">
        <v>15</v>
      </c>
      <c r="L51" s="49">
        <v>0</v>
      </c>
      <c r="M51" s="49">
        <v>15</v>
      </c>
      <c r="N51" s="49">
        <v>0</v>
      </c>
      <c r="P51" s="131">
        <v>15</v>
      </c>
      <c r="AD51" s="65">
        <v>15</v>
      </c>
      <c r="AE51" s="65">
        <v>0</v>
      </c>
      <c r="AF51" s="65">
        <v>15</v>
      </c>
      <c r="AG51" s="65">
        <v>0</v>
      </c>
      <c r="AH51" s="65">
        <v>15</v>
      </c>
      <c r="AJ51" s="132">
        <v>15</v>
      </c>
    </row>
    <row r="52" spans="1:36" s="130" customFormat="1" ht="18.600000000000001" customHeight="1">
      <c r="A52" s="188" t="s">
        <v>49</v>
      </c>
      <c r="B52" s="200"/>
      <c r="C52" s="200"/>
      <c r="D52" s="200"/>
      <c r="E52" s="47">
        <v>1</v>
      </c>
      <c r="F52" s="47">
        <v>13</v>
      </c>
      <c r="G52" s="31" t="s">
        <v>152</v>
      </c>
      <c r="H52" s="48">
        <v>850</v>
      </c>
      <c r="I52" s="49">
        <v>15</v>
      </c>
      <c r="J52" s="49">
        <v>0</v>
      </c>
      <c r="K52" s="49">
        <v>15</v>
      </c>
      <c r="L52" s="49">
        <v>0</v>
      </c>
      <c r="M52" s="49">
        <v>15</v>
      </c>
      <c r="N52" s="49">
        <v>0</v>
      </c>
      <c r="P52" s="131">
        <v>15</v>
      </c>
      <c r="AD52" s="65">
        <v>15</v>
      </c>
      <c r="AE52" s="65">
        <v>0</v>
      </c>
      <c r="AF52" s="65">
        <v>15</v>
      </c>
      <c r="AG52" s="65">
        <v>0</v>
      </c>
      <c r="AH52" s="65">
        <v>15</v>
      </c>
      <c r="AJ52" s="132">
        <v>15</v>
      </c>
    </row>
    <row r="53" spans="1:36" s="130" customFormat="1" ht="46.8" customHeight="1">
      <c r="A53" s="188" t="s">
        <v>137</v>
      </c>
      <c r="B53" s="201"/>
      <c r="C53" s="201"/>
      <c r="D53" s="201"/>
      <c r="E53" s="47">
        <v>1</v>
      </c>
      <c r="F53" s="47">
        <v>13</v>
      </c>
      <c r="G53" s="31" t="s">
        <v>295</v>
      </c>
      <c r="H53" s="48">
        <v>0</v>
      </c>
      <c r="I53" s="49">
        <f>I54</f>
        <v>8721.2999999999993</v>
      </c>
      <c r="J53" s="49">
        <v>0</v>
      </c>
      <c r="K53" s="49">
        <v>6615.4</v>
      </c>
      <c r="L53" s="49">
        <v>0</v>
      </c>
      <c r="M53" s="49">
        <v>6615.4</v>
      </c>
      <c r="N53" s="49">
        <v>0</v>
      </c>
      <c r="P53" s="131">
        <v>8913.3040808614387</v>
      </c>
      <c r="AD53" s="65">
        <v>7084.4</v>
      </c>
      <c r="AE53" s="65">
        <v>0</v>
      </c>
      <c r="AF53" s="65">
        <v>7990.7999999999993</v>
      </c>
      <c r="AG53" s="65">
        <v>0</v>
      </c>
      <c r="AH53" s="65">
        <v>7902.2</v>
      </c>
      <c r="AJ53" s="132">
        <v>6615.4</v>
      </c>
    </row>
    <row r="54" spans="1:36" s="130" customFormat="1" ht="45.6" customHeight="1">
      <c r="A54" s="188" t="s">
        <v>373</v>
      </c>
      <c r="B54" s="201"/>
      <c r="C54" s="201"/>
      <c r="D54" s="201"/>
      <c r="E54" s="47">
        <v>1</v>
      </c>
      <c r="F54" s="47">
        <v>13</v>
      </c>
      <c r="G54" s="31" t="s">
        <v>296</v>
      </c>
      <c r="H54" s="48">
        <v>0</v>
      </c>
      <c r="I54" s="49">
        <f>I55+I57+I59</f>
        <v>8721.2999999999993</v>
      </c>
      <c r="J54" s="49">
        <v>0</v>
      </c>
      <c r="K54" s="49">
        <v>6615.4</v>
      </c>
      <c r="L54" s="49">
        <v>0</v>
      </c>
      <c r="M54" s="49">
        <v>6615.4</v>
      </c>
      <c r="N54" s="49">
        <v>0</v>
      </c>
      <c r="P54" s="131">
        <v>8913.3040808614387</v>
      </c>
      <c r="AC54" s="130">
        <v>8913.3040808614387</v>
      </c>
      <c r="AD54" s="65">
        <v>7084.4</v>
      </c>
      <c r="AE54" s="65">
        <v>0</v>
      </c>
      <c r="AF54" s="65">
        <v>7990.7999999999993</v>
      </c>
      <c r="AG54" s="65">
        <v>0</v>
      </c>
      <c r="AH54" s="65">
        <v>7902.2</v>
      </c>
      <c r="AJ54" s="132">
        <v>6615.4</v>
      </c>
    </row>
    <row r="55" spans="1:36" s="130" customFormat="1" ht="58.95" customHeight="1">
      <c r="A55" s="186" t="s">
        <v>51</v>
      </c>
      <c r="B55" s="187" t="s">
        <v>51</v>
      </c>
      <c r="C55" s="187" t="s">
        <v>51</v>
      </c>
      <c r="D55" s="187" t="s">
        <v>51</v>
      </c>
      <c r="E55" s="47">
        <v>1</v>
      </c>
      <c r="F55" s="47">
        <v>13</v>
      </c>
      <c r="G55" s="31" t="s">
        <v>296</v>
      </c>
      <c r="H55" s="48">
        <v>100</v>
      </c>
      <c r="I55" s="49">
        <v>6250.5</v>
      </c>
      <c r="J55" s="49">
        <v>0</v>
      </c>
      <c r="K55" s="49">
        <v>5969.7</v>
      </c>
      <c r="L55" s="49">
        <v>0</v>
      </c>
      <c r="M55" s="49">
        <v>5969.7</v>
      </c>
      <c r="N55" s="49">
        <v>0</v>
      </c>
      <c r="P55" s="131">
        <v>5963.4420029374396</v>
      </c>
      <c r="AC55" s="130">
        <v>5963.4420029374396</v>
      </c>
      <c r="AD55" s="65">
        <v>5260.9</v>
      </c>
      <c r="AE55" s="65">
        <v>0</v>
      </c>
      <c r="AF55" s="65">
        <v>5902.9</v>
      </c>
      <c r="AG55" s="65">
        <v>0</v>
      </c>
      <c r="AH55" s="65">
        <v>5902.9</v>
      </c>
      <c r="AJ55" s="132">
        <v>5969.7</v>
      </c>
    </row>
    <row r="56" spans="1:36" s="130" customFormat="1" ht="22.8" customHeight="1">
      <c r="A56" s="186" t="s">
        <v>52</v>
      </c>
      <c r="B56" s="187" t="s">
        <v>52</v>
      </c>
      <c r="C56" s="187" t="s">
        <v>52</v>
      </c>
      <c r="D56" s="187" t="s">
        <v>52</v>
      </c>
      <c r="E56" s="47">
        <v>1</v>
      </c>
      <c r="F56" s="47">
        <v>13</v>
      </c>
      <c r="G56" s="31" t="s">
        <v>296</v>
      </c>
      <c r="H56" s="48">
        <v>110</v>
      </c>
      <c r="I56" s="49">
        <f>6119.7+130.8</f>
        <v>6250.5</v>
      </c>
      <c r="J56" s="49">
        <v>0</v>
      </c>
      <c r="K56" s="49">
        <v>5969.7</v>
      </c>
      <c r="L56" s="49">
        <v>0</v>
      </c>
      <c r="M56" s="49">
        <v>5969.7</v>
      </c>
      <c r="N56" s="49">
        <v>0</v>
      </c>
      <c r="P56" s="131">
        <v>5963.4420029374396</v>
      </c>
      <c r="AC56" s="130">
        <v>5963.4420029374396</v>
      </c>
      <c r="AD56" s="65">
        <v>5260.9</v>
      </c>
      <c r="AE56" s="65">
        <v>0</v>
      </c>
      <c r="AF56" s="65">
        <v>5902.9</v>
      </c>
      <c r="AG56" s="65">
        <v>0</v>
      </c>
      <c r="AH56" s="65">
        <v>5902.9</v>
      </c>
      <c r="AJ56" s="132">
        <v>5969.7</v>
      </c>
    </row>
    <row r="57" spans="1:36" s="130" customFormat="1" ht="26.4" customHeight="1">
      <c r="A57" s="188" t="s">
        <v>44</v>
      </c>
      <c r="B57" s="188"/>
      <c r="C57" s="188"/>
      <c r="D57" s="188"/>
      <c r="E57" s="47">
        <v>1</v>
      </c>
      <c r="F57" s="47">
        <v>13</v>
      </c>
      <c r="G57" s="31" t="s">
        <v>296</v>
      </c>
      <c r="H57" s="48">
        <v>200</v>
      </c>
      <c r="I57" s="49">
        <v>2459.8000000000002</v>
      </c>
      <c r="J57" s="49">
        <v>0</v>
      </c>
      <c r="K57" s="49">
        <v>645.70000000000005</v>
      </c>
      <c r="L57" s="49">
        <v>0</v>
      </c>
      <c r="M57" s="49">
        <v>645.70000000000005</v>
      </c>
      <c r="N57" s="49">
        <v>0</v>
      </c>
      <c r="P57" s="131">
        <v>2945.862077924</v>
      </c>
      <c r="AC57" s="130">
        <v>2945.862077924</v>
      </c>
      <c r="AD57" s="65">
        <v>1812.5</v>
      </c>
      <c r="AE57" s="65">
        <v>0</v>
      </c>
      <c r="AF57" s="65">
        <v>2076.9</v>
      </c>
      <c r="AG57" s="65">
        <v>0</v>
      </c>
      <c r="AH57" s="65">
        <v>1988.3</v>
      </c>
      <c r="AJ57" s="132">
        <v>645.70000000000005</v>
      </c>
    </row>
    <row r="58" spans="1:36" s="130" customFormat="1" ht="26.4" customHeight="1">
      <c r="A58" s="188" t="s">
        <v>46</v>
      </c>
      <c r="B58" s="188"/>
      <c r="C58" s="188"/>
      <c r="D58" s="188"/>
      <c r="E58" s="47">
        <v>1</v>
      </c>
      <c r="F58" s="47">
        <v>13</v>
      </c>
      <c r="G58" s="31" t="s">
        <v>296</v>
      </c>
      <c r="H58" s="48">
        <v>240</v>
      </c>
      <c r="I58" s="49">
        <f>2254.5+205.3</f>
        <v>2459.8000000000002</v>
      </c>
      <c r="J58" s="49">
        <v>0</v>
      </c>
      <c r="K58" s="49">
        <v>645.70000000000005</v>
      </c>
      <c r="L58" s="49">
        <v>0</v>
      </c>
      <c r="M58" s="49">
        <v>645.70000000000005</v>
      </c>
      <c r="N58" s="49">
        <v>0</v>
      </c>
      <c r="P58" s="131">
        <v>2945.862077924</v>
      </c>
      <c r="AC58" s="130">
        <v>2945.862077924</v>
      </c>
      <c r="AD58" s="65">
        <v>1812.5</v>
      </c>
      <c r="AE58" s="65">
        <v>0</v>
      </c>
      <c r="AF58" s="65">
        <v>2076.9</v>
      </c>
      <c r="AG58" s="65">
        <v>0</v>
      </c>
      <c r="AH58" s="65">
        <v>1988.3</v>
      </c>
      <c r="AJ58" s="132">
        <v>645.70000000000005</v>
      </c>
    </row>
    <row r="59" spans="1:36" s="130" customFormat="1" ht="20.399999999999999" customHeight="1">
      <c r="A59" s="188" t="s">
        <v>36</v>
      </c>
      <c r="B59" s="188"/>
      <c r="C59" s="188"/>
      <c r="D59" s="188"/>
      <c r="E59" s="47">
        <v>1</v>
      </c>
      <c r="F59" s="47">
        <v>13</v>
      </c>
      <c r="G59" s="31" t="s">
        <v>296</v>
      </c>
      <c r="H59" s="48">
        <v>800</v>
      </c>
      <c r="I59" s="49">
        <v>11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P59" s="131">
        <v>4</v>
      </c>
      <c r="AD59" s="65">
        <v>11</v>
      </c>
      <c r="AE59" s="65">
        <v>0</v>
      </c>
      <c r="AF59" s="65">
        <v>11</v>
      </c>
      <c r="AG59" s="65">
        <v>0</v>
      </c>
      <c r="AH59" s="65">
        <v>11</v>
      </c>
      <c r="AJ59" s="132">
        <v>0</v>
      </c>
    </row>
    <row r="60" spans="1:36" s="130" customFormat="1" ht="20.399999999999999" customHeight="1">
      <c r="A60" s="188" t="s">
        <v>49</v>
      </c>
      <c r="B60" s="188"/>
      <c r="C60" s="188"/>
      <c r="D60" s="188"/>
      <c r="E60" s="47">
        <v>1</v>
      </c>
      <c r="F60" s="47">
        <v>13</v>
      </c>
      <c r="G60" s="31" t="s">
        <v>296</v>
      </c>
      <c r="H60" s="48">
        <v>850</v>
      </c>
      <c r="I60" s="49">
        <v>11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P60" s="131">
        <v>4</v>
      </c>
      <c r="AD60" s="65">
        <v>11</v>
      </c>
      <c r="AE60" s="65">
        <v>0</v>
      </c>
      <c r="AF60" s="65">
        <v>11</v>
      </c>
      <c r="AG60" s="65">
        <v>0</v>
      </c>
      <c r="AH60" s="65">
        <v>11</v>
      </c>
      <c r="AJ60" s="132">
        <v>0</v>
      </c>
    </row>
    <row r="61" spans="1:36" s="130" customFormat="1">
      <c r="A61" s="189" t="s">
        <v>21</v>
      </c>
      <c r="B61" s="189"/>
      <c r="C61" s="189"/>
      <c r="D61" s="189"/>
      <c r="E61" s="40">
        <v>2</v>
      </c>
      <c r="F61" s="40">
        <v>0</v>
      </c>
      <c r="G61" s="41"/>
      <c r="H61" s="42"/>
      <c r="I61" s="43">
        <v>246.9</v>
      </c>
      <c r="J61" s="43">
        <v>246.9</v>
      </c>
      <c r="K61" s="43">
        <v>255.2</v>
      </c>
      <c r="L61" s="43">
        <v>255.2</v>
      </c>
      <c r="M61" s="43">
        <v>264.2</v>
      </c>
      <c r="N61" s="43">
        <v>264.2</v>
      </c>
      <c r="P61" s="131">
        <v>219</v>
      </c>
      <c r="AD61" s="63">
        <v>245.5</v>
      </c>
      <c r="AE61" s="63">
        <v>245.5</v>
      </c>
      <c r="AF61" s="63">
        <v>245.5</v>
      </c>
      <c r="AG61" s="63">
        <v>245.5</v>
      </c>
      <c r="AH61" s="63">
        <v>260.2</v>
      </c>
      <c r="AJ61" s="132">
        <v>255.2</v>
      </c>
    </row>
    <row r="62" spans="1:36" s="130" customFormat="1">
      <c r="A62" s="189" t="s">
        <v>10</v>
      </c>
      <c r="B62" s="189"/>
      <c r="C62" s="189"/>
      <c r="D62" s="189"/>
      <c r="E62" s="40">
        <v>2</v>
      </c>
      <c r="F62" s="40">
        <v>3</v>
      </c>
      <c r="G62" s="41"/>
      <c r="H62" s="42"/>
      <c r="I62" s="43">
        <v>246.9</v>
      </c>
      <c r="J62" s="43">
        <v>246.9</v>
      </c>
      <c r="K62" s="43">
        <v>255.2</v>
      </c>
      <c r="L62" s="43">
        <v>255.2</v>
      </c>
      <c r="M62" s="43">
        <v>264.2</v>
      </c>
      <c r="N62" s="43">
        <v>264.2</v>
      </c>
      <c r="P62" s="131">
        <v>219</v>
      </c>
      <c r="AD62" s="63">
        <v>245.5</v>
      </c>
      <c r="AE62" s="63">
        <v>245.5</v>
      </c>
      <c r="AF62" s="63">
        <v>245.5</v>
      </c>
      <c r="AG62" s="63">
        <v>245.5</v>
      </c>
      <c r="AH62" s="63">
        <v>260.2</v>
      </c>
      <c r="AJ62" s="132">
        <v>255.2</v>
      </c>
    </row>
    <row r="63" spans="1:36" s="130" customFormat="1" ht="27.6" customHeight="1">
      <c r="A63" s="190" t="s">
        <v>313</v>
      </c>
      <c r="B63" s="190"/>
      <c r="C63" s="190"/>
      <c r="D63" s="190"/>
      <c r="E63" s="50">
        <v>2</v>
      </c>
      <c r="F63" s="50">
        <v>3</v>
      </c>
      <c r="G63" s="51" t="s">
        <v>54</v>
      </c>
      <c r="H63" s="48">
        <v>0</v>
      </c>
      <c r="I63" s="53">
        <v>246.9</v>
      </c>
      <c r="J63" s="53">
        <v>246.9</v>
      </c>
      <c r="K63" s="53">
        <v>255.2</v>
      </c>
      <c r="L63" s="53">
        <v>255.2</v>
      </c>
      <c r="M63" s="53">
        <v>264.2</v>
      </c>
      <c r="N63" s="53">
        <v>264.2</v>
      </c>
      <c r="P63" s="131">
        <v>219</v>
      </c>
      <c r="AD63" s="66">
        <v>245.5</v>
      </c>
      <c r="AE63" s="66">
        <v>245.5</v>
      </c>
      <c r="AF63" s="66">
        <v>245.5</v>
      </c>
      <c r="AG63" s="66">
        <v>245.5</v>
      </c>
      <c r="AH63" s="66">
        <v>260.2</v>
      </c>
      <c r="AJ63" s="132">
        <v>255.2</v>
      </c>
    </row>
    <row r="64" spans="1:36" s="130" customFormat="1" ht="42.6" customHeight="1">
      <c r="A64" s="188" t="s">
        <v>158</v>
      </c>
      <c r="B64" s="201"/>
      <c r="C64" s="201"/>
      <c r="D64" s="201"/>
      <c r="E64" s="47">
        <v>2</v>
      </c>
      <c r="F64" s="47">
        <v>3</v>
      </c>
      <c r="G64" s="31" t="s">
        <v>115</v>
      </c>
      <c r="H64" s="48">
        <v>0</v>
      </c>
      <c r="I64" s="49">
        <v>246.9</v>
      </c>
      <c r="J64" s="49">
        <v>246.9</v>
      </c>
      <c r="K64" s="49">
        <v>255.2</v>
      </c>
      <c r="L64" s="49">
        <v>255.2</v>
      </c>
      <c r="M64" s="49">
        <v>264.2</v>
      </c>
      <c r="N64" s="49">
        <v>264.2</v>
      </c>
      <c r="P64" s="131">
        <v>219</v>
      </c>
      <c r="AD64" s="65">
        <v>245.5</v>
      </c>
      <c r="AE64" s="65">
        <v>245.5</v>
      </c>
      <c r="AF64" s="65">
        <v>245.5</v>
      </c>
      <c r="AG64" s="65">
        <v>245.5</v>
      </c>
      <c r="AH64" s="65">
        <v>260.2</v>
      </c>
      <c r="AJ64" s="132">
        <v>255.2</v>
      </c>
    </row>
    <row r="65" spans="1:36" s="130" customFormat="1" ht="39" customHeight="1">
      <c r="A65" s="188" t="s">
        <v>368</v>
      </c>
      <c r="B65" s="201"/>
      <c r="C65" s="201"/>
      <c r="D65" s="201"/>
      <c r="E65" s="47">
        <v>2</v>
      </c>
      <c r="F65" s="47">
        <v>3</v>
      </c>
      <c r="G65" s="54" t="s">
        <v>151</v>
      </c>
      <c r="H65" s="48">
        <v>0</v>
      </c>
      <c r="I65" s="49">
        <v>246.9</v>
      </c>
      <c r="J65" s="49">
        <v>246.9</v>
      </c>
      <c r="K65" s="49">
        <v>255.2</v>
      </c>
      <c r="L65" s="49">
        <v>255.2</v>
      </c>
      <c r="M65" s="49">
        <v>264.2</v>
      </c>
      <c r="N65" s="49">
        <v>264.2</v>
      </c>
      <c r="P65" s="131">
        <v>219</v>
      </c>
      <c r="AD65" s="65">
        <v>245.5</v>
      </c>
      <c r="AE65" s="65">
        <v>245.5</v>
      </c>
      <c r="AF65" s="65">
        <v>245.5</v>
      </c>
      <c r="AG65" s="65">
        <v>245.5</v>
      </c>
      <c r="AH65" s="65">
        <v>260.2</v>
      </c>
      <c r="AJ65" s="132">
        <v>255.2</v>
      </c>
    </row>
    <row r="66" spans="1:36" s="130" customFormat="1" ht="29.4" customHeight="1">
      <c r="A66" s="188" t="s">
        <v>72</v>
      </c>
      <c r="B66" s="200"/>
      <c r="C66" s="200"/>
      <c r="D66" s="200"/>
      <c r="E66" s="47">
        <v>2</v>
      </c>
      <c r="F66" s="47">
        <v>3</v>
      </c>
      <c r="G66" s="54" t="s">
        <v>151</v>
      </c>
      <c r="H66" s="48">
        <v>100</v>
      </c>
      <c r="I66" s="49">
        <v>244</v>
      </c>
      <c r="J66" s="49">
        <v>244</v>
      </c>
      <c r="K66" s="49">
        <v>244</v>
      </c>
      <c r="L66" s="49">
        <v>244</v>
      </c>
      <c r="M66" s="49">
        <v>244</v>
      </c>
      <c r="N66" s="49">
        <v>244</v>
      </c>
      <c r="P66" s="131">
        <v>219</v>
      </c>
      <c r="AD66" s="65">
        <v>240.7</v>
      </c>
      <c r="AE66" s="65">
        <v>240.7</v>
      </c>
      <c r="AF66" s="65">
        <v>240.7</v>
      </c>
      <c r="AG66" s="65">
        <v>240.7</v>
      </c>
      <c r="AH66" s="65">
        <v>247.8</v>
      </c>
      <c r="AJ66" s="132">
        <v>244</v>
      </c>
    </row>
    <row r="67" spans="1:36" s="130" customFormat="1" ht="32.4" customHeight="1">
      <c r="A67" s="188" t="s">
        <v>55</v>
      </c>
      <c r="B67" s="200"/>
      <c r="C67" s="200"/>
      <c r="D67" s="200"/>
      <c r="E67" s="47">
        <v>2</v>
      </c>
      <c r="F67" s="47">
        <v>3</v>
      </c>
      <c r="G67" s="54" t="s">
        <v>151</v>
      </c>
      <c r="H67" s="48">
        <v>120</v>
      </c>
      <c r="I67" s="49">
        <v>244</v>
      </c>
      <c r="J67" s="49">
        <v>244</v>
      </c>
      <c r="K67" s="49">
        <v>244</v>
      </c>
      <c r="L67" s="49">
        <v>244</v>
      </c>
      <c r="M67" s="49">
        <v>244</v>
      </c>
      <c r="N67" s="49">
        <v>244</v>
      </c>
      <c r="P67" s="131">
        <v>219</v>
      </c>
      <c r="AD67" s="65">
        <v>240.7</v>
      </c>
      <c r="AE67" s="65">
        <v>240.7</v>
      </c>
      <c r="AF67" s="65">
        <v>240.7</v>
      </c>
      <c r="AG67" s="65">
        <v>240.7</v>
      </c>
      <c r="AH67" s="65">
        <v>247.8</v>
      </c>
      <c r="AJ67" s="132">
        <v>244</v>
      </c>
    </row>
    <row r="68" spans="1:36" s="130" customFormat="1" ht="26.4" customHeight="1">
      <c r="A68" s="188" t="s">
        <v>44</v>
      </c>
      <c r="B68" s="188"/>
      <c r="C68" s="188"/>
      <c r="D68" s="188"/>
      <c r="E68" s="47">
        <v>2</v>
      </c>
      <c r="F68" s="47">
        <v>3</v>
      </c>
      <c r="G68" s="54" t="s">
        <v>151</v>
      </c>
      <c r="H68" s="48">
        <v>200</v>
      </c>
      <c r="I68" s="49">
        <v>2.9</v>
      </c>
      <c r="J68" s="49">
        <v>2.9</v>
      </c>
      <c r="K68" s="49">
        <v>11.2</v>
      </c>
      <c r="L68" s="49">
        <v>11.2</v>
      </c>
      <c r="M68" s="49">
        <v>20.2</v>
      </c>
      <c r="N68" s="49">
        <v>20.2</v>
      </c>
      <c r="P68" s="131">
        <v>0</v>
      </c>
      <c r="AD68" s="65">
        <v>4.8</v>
      </c>
      <c r="AE68" s="65">
        <v>4.8</v>
      </c>
      <c r="AF68" s="65">
        <v>4.8</v>
      </c>
      <c r="AG68" s="65">
        <v>4.8</v>
      </c>
      <c r="AH68" s="65">
        <v>12.4</v>
      </c>
      <c r="AJ68" s="132">
        <v>11.2</v>
      </c>
    </row>
    <row r="69" spans="1:36" s="130" customFormat="1" ht="26.4" customHeight="1">
      <c r="A69" s="188" t="s">
        <v>46</v>
      </c>
      <c r="B69" s="188"/>
      <c r="C69" s="188"/>
      <c r="D69" s="188"/>
      <c r="E69" s="47">
        <v>2</v>
      </c>
      <c r="F69" s="47">
        <v>3</v>
      </c>
      <c r="G69" s="54" t="s">
        <v>151</v>
      </c>
      <c r="H69" s="48">
        <v>240</v>
      </c>
      <c r="I69" s="49">
        <v>2.9</v>
      </c>
      <c r="J69" s="49">
        <v>2.9</v>
      </c>
      <c r="K69" s="49">
        <v>11.2</v>
      </c>
      <c r="L69" s="49">
        <v>11.2</v>
      </c>
      <c r="M69" s="49">
        <v>20.2</v>
      </c>
      <c r="N69" s="49">
        <v>20.2</v>
      </c>
      <c r="P69" s="131">
        <v>0</v>
      </c>
      <c r="AD69" s="65">
        <v>4.8</v>
      </c>
      <c r="AE69" s="65">
        <v>4.8</v>
      </c>
      <c r="AF69" s="65">
        <v>4.8</v>
      </c>
      <c r="AG69" s="65">
        <v>4.8</v>
      </c>
      <c r="AH69" s="65">
        <v>12.4</v>
      </c>
      <c r="AJ69" s="132">
        <v>11.2</v>
      </c>
    </row>
    <row r="70" spans="1:36" s="130" customFormat="1" ht="34.200000000000003" customHeight="1">
      <c r="A70" s="189" t="s">
        <v>18</v>
      </c>
      <c r="B70" s="189"/>
      <c r="C70" s="189"/>
      <c r="D70" s="189"/>
      <c r="E70" s="40">
        <v>3</v>
      </c>
      <c r="F70" s="40">
        <v>0</v>
      </c>
      <c r="G70" s="41"/>
      <c r="H70" s="42"/>
      <c r="I70" s="43">
        <f>I71+I80+I100</f>
        <v>2510.9</v>
      </c>
      <c r="J70" s="43">
        <v>3.9</v>
      </c>
      <c r="K70" s="43">
        <v>1122.6000000000001</v>
      </c>
      <c r="L70" s="43">
        <v>3.9</v>
      </c>
      <c r="M70" s="43">
        <v>1122.6000000000001</v>
      </c>
      <c r="N70" s="43">
        <v>3.9</v>
      </c>
      <c r="P70" s="131">
        <v>1350.7710400000001</v>
      </c>
      <c r="AD70" s="63">
        <v>675.5</v>
      </c>
      <c r="AE70" s="63">
        <v>2.4</v>
      </c>
      <c r="AF70" s="63">
        <v>1305.6000000000001</v>
      </c>
      <c r="AG70" s="63">
        <v>2.4</v>
      </c>
      <c r="AH70" s="63">
        <v>1305.6000000000001</v>
      </c>
      <c r="AJ70" s="132">
        <v>1122.6000000000001</v>
      </c>
    </row>
    <row r="71" spans="1:36" s="136" customFormat="1">
      <c r="A71" s="189" t="s">
        <v>16</v>
      </c>
      <c r="B71" s="189"/>
      <c r="C71" s="189"/>
      <c r="D71" s="189"/>
      <c r="E71" s="40">
        <v>3</v>
      </c>
      <c r="F71" s="40">
        <v>4</v>
      </c>
      <c r="G71" s="41"/>
      <c r="H71" s="42"/>
      <c r="I71" s="43">
        <v>3.9</v>
      </c>
      <c r="J71" s="43">
        <v>3.9</v>
      </c>
      <c r="K71" s="43">
        <v>3.9</v>
      </c>
      <c r="L71" s="43">
        <v>3.9</v>
      </c>
      <c r="M71" s="43">
        <v>3.9</v>
      </c>
      <c r="N71" s="43">
        <v>3.9</v>
      </c>
      <c r="P71" s="137">
        <v>7</v>
      </c>
      <c r="AD71" s="63">
        <v>2.4</v>
      </c>
      <c r="AE71" s="63">
        <v>2.4</v>
      </c>
      <c r="AF71" s="63">
        <v>2.4</v>
      </c>
      <c r="AG71" s="63">
        <v>2.4</v>
      </c>
      <c r="AH71" s="63">
        <v>2.4</v>
      </c>
      <c r="AJ71" s="138">
        <v>3.9</v>
      </c>
    </row>
    <row r="72" spans="1:36" s="130" customFormat="1" ht="36" customHeight="1">
      <c r="A72" s="190" t="s">
        <v>313</v>
      </c>
      <c r="B72" s="190"/>
      <c r="C72" s="190"/>
      <c r="D72" s="190"/>
      <c r="E72" s="50">
        <v>3</v>
      </c>
      <c r="F72" s="50">
        <v>4</v>
      </c>
      <c r="G72" s="51" t="s">
        <v>54</v>
      </c>
      <c r="H72" s="52">
        <v>0</v>
      </c>
      <c r="I72" s="53">
        <v>3.9</v>
      </c>
      <c r="J72" s="53">
        <v>3.9</v>
      </c>
      <c r="K72" s="53">
        <v>3.9</v>
      </c>
      <c r="L72" s="53">
        <v>3.9</v>
      </c>
      <c r="M72" s="53">
        <v>3.9</v>
      </c>
      <c r="N72" s="53">
        <v>3.9</v>
      </c>
      <c r="P72" s="131">
        <v>7</v>
      </c>
      <c r="AD72" s="66">
        <v>2.4</v>
      </c>
      <c r="AE72" s="66">
        <v>2.4</v>
      </c>
      <c r="AF72" s="66">
        <v>2.4</v>
      </c>
      <c r="AG72" s="66">
        <v>2.4</v>
      </c>
      <c r="AH72" s="66">
        <v>2.4</v>
      </c>
      <c r="AJ72" s="132">
        <v>3.9</v>
      </c>
    </row>
    <row r="73" spans="1:36" s="130" customFormat="1" ht="48.6" customHeight="1">
      <c r="A73" s="186" t="s">
        <v>158</v>
      </c>
      <c r="B73" s="187"/>
      <c r="C73" s="187"/>
      <c r="D73" s="191"/>
      <c r="E73" s="47">
        <v>3</v>
      </c>
      <c r="F73" s="47">
        <v>4</v>
      </c>
      <c r="G73" s="54" t="s">
        <v>115</v>
      </c>
      <c r="H73" s="48">
        <v>0</v>
      </c>
      <c r="I73" s="49">
        <v>3.9</v>
      </c>
      <c r="J73" s="49">
        <v>3.9</v>
      </c>
      <c r="K73" s="49">
        <v>3.9</v>
      </c>
      <c r="L73" s="49">
        <v>3.9</v>
      </c>
      <c r="M73" s="49">
        <v>3.9</v>
      </c>
      <c r="N73" s="49">
        <v>3.9</v>
      </c>
      <c r="P73" s="131">
        <v>7</v>
      </c>
      <c r="AD73" s="65">
        <v>2.4</v>
      </c>
      <c r="AE73" s="65">
        <v>2.4</v>
      </c>
      <c r="AF73" s="65">
        <v>2.4</v>
      </c>
      <c r="AG73" s="65">
        <v>2.4</v>
      </c>
      <c r="AH73" s="65">
        <v>2.4</v>
      </c>
      <c r="AJ73" s="132">
        <v>3.9</v>
      </c>
    </row>
    <row r="74" spans="1:36" s="130" customFormat="1" ht="34.799999999999997" customHeight="1">
      <c r="A74" s="186" t="s">
        <v>369</v>
      </c>
      <c r="B74" s="187" t="s">
        <v>138</v>
      </c>
      <c r="C74" s="187" t="s">
        <v>138</v>
      </c>
      <c r="D74" s="191" t="s">
        <v>138</v>
      </c>
      <c r="E74" s="47">
        <v>3</v>
      </c>
      <c r="F74" s="47">
        <v>4</v>
      </c>
      <c r="G74" s="54" t="s">
        <v>154</v>
      </c>
      <c r="H74" s="48">
        <v>0</v>
      </c>
      <c r="I74" s="49">
        <v>3</v>
      </c>
      <c r="J74" s="49">
        <v>3</v>
      </c>
      <c r="K74" s="49">
        <v>3</v>
      </c>
      <c r="L74" s="49">
        <v>3</v>
      </c>
      <c r="M74" s="49">
        <v>3</v>
      </c>
      <c r="N74" s="49">
        <v>3</v>
      </c>
      <c r="P74" s="131">
        <v>5.6</v>
      </c>
      <c r="AD74" s="65">
        <v>1.8</v>
      </c>
      <c r="AE74" s="65">
        <v>1.8</v>
      </c>
      <c r="AF74" s="65">
        <v>1.8</v>
      </c>
      <c r="AG74" s="65">
        <v>1.8</v>
      </c>
      <c r="AH74" s="65">
        <v>1.8</v>
      </c>
      <c r="AJ74" s="132">
        <v>3</v>
      </c>
    </row>
    <row r="75" spans="1:36" s="130" customFormat="1" ht="27" customHeight="1">
      <c r="A75" s="188" t="s">
        <v>44</v>
      </c>
      <c r="B75" s="188"/>
      <c r="C75" s="188"/>
      <c r="D75" s="188"/>
      <c r="E75" s="47">
        <v>3</v>
      </c>
      <c r="F75" s="47">
        <v>4</v>
      </c>
      <c r="G75" s="31" t="s">
        <v>154</v>
      </c>
      <c r="H75" s="48">
        <v>200</v>
      </c>
      <c r="I75" s="49">
        <v>3</v>
      </c>
      <c r="J75" s="49">
        <v>3</v>
      </c>
      <c r="K75" s="49">
        <v>3</v>
      </c>
      <c r="L75" s="49">
        <v>3</v>
      </c>
      <c r="M75" s="49">
        <v>3</v>
      </c>
      <c r="N75" s="49">
        <v>3</v>
      </c>
      <c r="P75" s="131">
        <v>5.6</v>
      </c>
      <c r="AD75" s="65">
        <v>1.8</v>
      </c>
      <c r="AE75" s="65">
        <v>1.8</v>
      </c>
      <c r="AF75" s="65">
        <v>1.8</v>
      </c>
      <c r="AG75" s="65">
        <v>1.8</v>
      </c>
      <c r="AH75" s="65">
        <v>1.8</v>
      </c>
      <c r="AJ75" s="132">
        <v>3</v>
      </c>
    </row>
    <row r="76" spans="1:36" s="130" customFormat="1" ht="27" customHeight="1">
      <c r="A76" s="188" t="s">
        <v>46</v>
      </c>
      <c r="B76" s="188"/>
      <c r="C76" s="188"/>
      <c r="D76" s="188"/>
      <c r="E76" s="47">
        <v>3</v>
      </c>
      <c r="F76" s="47">
        <v>4</v>
      </c>
      <c r="G76" s="31" t="s">
        <v>154</v>
      </c>
      <c r="H76" s="48">
        <v>240</v>
      </c>
      <c r="I76" s="49">
        <v>3</v>
      </c>
      <c r="J76" s="49">
        <v>3</v>
      </c>
      <c r="K76" s="49">
        <v>3</v>
      </c>
      <c r="L76" s="49">
        <v>3</v>
      </c>
      <c r="M76" s="49">
        <v>3</v>
      </c>
      <c r="N76" s="49">
        <v>3</v>
      </c>
      <c r="P76" s="131">
        <v>5.6</v>
      </c>
      <c r="AD76" s="65">
        <v>1.8</v>
      </c>
      <c r="AE76" s="65">
        <v>1.8</v>
      </c>
      <c r="AF76" s="65">
        <v>1.8</v>
      </c>
      <c r="AG76" s="65">
        <v>1.8</v>
      </c>
      <c r="AH76" s="65">
        <v>1.8</v>
      </c>
      <c r="AJ76" s="132">
        <v>3</v>
      </c>
    </row>
    <row r="77" spans="1:36" s="130" customFormat="1" ht="51" customHeight="1">
      <c r="A77" s="188" t="s">
        <v>370</v>
      </c>
      <c r="B77" s="201" t="s">
        <v>139</v>
      </c>
      <c r="C77" s="201" t="s">
        <v>139</v>
      </c>
      <c r="D77" s="201" t="s">
        <v>139</v>
      </c>
      <c r="E77" s="47">
        <v>3</v>
      </c>
      <c r="F77" s="47">
        <v>4</v>
      </c>
      <c r="G77" s="31" t="s">
        <v>153</v>
      </c>
      <c r="H77" s="48">
        <v>0</v>
      </c>
      <c r="I77" s="49">
        <v>0.9</v>
      </c>
      <c r="J77" s="49">
        <v>0.9</v>
      </c>
      <c r="K77" s="49">
        <v>0.9</v>
      </c>
      <c r="L77" s="49">
        <v>0.9</v>
      </c>
      <c r="M77" s="49">
        <v>0.9</v>
      </c>
      <c r="N77" s="49">
        <v>0.9</v>
      </c>
      <c r="P77" s="131">
        <v>1.4</v>
      </c>
      <c r="AD77" s="65">
        <v>0.6</v>
      </c>
      <c r="AE77" s="65">
        <v>0.6</v>
      </c>
      <c r="AF77" s="65">
        <v>0.6</v>
      </c>
      <c r="AG77" s="65">
        <v>0.6</v>
      </c>
      <c r="AH77" s="65">
        <v>0.6</v>
      </c>
      <c r="AJ77" s="132">
        <v>0.9</v>
      </c>
    </row>
    <row r="78" spans="1:36" s="130" customFormat="1" ht="33.6" customHeight="1">
      <c r="A78" s="188" t="s">
        <v>44</v>
      </c>
      <c r="B78" s="188"/>
      <c r="C78" s="188"/>
      <c r="D78" s="188"/>
      <c r="E78" s="47">
        <v>3</v>
      </c>
      <c r="F78" s="47">
        <v>4</v>
      </c>
      <c r="G78" s="31" t="s">
        <v>153</v>
      </c>
      <c r="H78" s="48">
        <v>200</v>
      </c>
      <c r="I78" s="49">
        <v>0.9</v>
      </c>
      <c r="J78" s="49">
        <v>0.9</v>
      </c>
      <c r="K78" s="49">
        <v>0.9</v>
      </c>
      <c r="L78" s="49">
        <v>0.9</v>
      </c>
      <c r="M78" s="49">
        <v>0.9</v>
      </c>
      <c r="N78" s="49">
        <v>0.9</v>
      </c>
      <c r="P78" s="131">
        <v>1.4</v>
      </c>
      <c r="AD78" s="65">
        <v>0.6</v>
      </c>
      <c r="AE78" s="65">
        <v>0.6</v>
      </c>
      <c r="AF78" s="65">
        <v>0.6</v>
      </c>
      <c r="AG78" s="65">
        <v>0.6</v>
      </c>
      <c r="AH78" s="65">
        <v>0.6</v>
      </c>
      <c r="AJ78" s="132">
        <v>0.9</v>
      </c>
    </row>
    <row r="79" spans="1:36" s="130" customFormat="1" ht="33.6" customHeight="1">
      <c r="A79" s="190" t="s">
        <v>46</v>
      </c>
      <c r="B79" s="190"/>
      <c r="C79" s="190"/>
      <c r="D79" s="190"/>
      <c r="E79" s="47">
        <v>3</v>
      </c>
      <c r="F79" s="47">
        <v>4</v>
      </c>
      <c r="G79" s="31" t="s">
        <v>153</v>
      </c>
      <c r="H79" s="48">
        <v>240</v>
      </c>
      <c r="I79" s="49">
        <v>0.9</v>
      </c>
      <c r="J79" s="49">
        <v>0.9</v>
      </c>
      <c r="K79" s="49">
        <v>0.9</v>
      </c>
      <c r="L79" s="49">
        <v>0.9</v>
      </c>
      <c r="M79" s="49">
        <v>0.9</v>
      </c>
      <c r="N79" s="49">
        <v>0.9</v>
      </c>
      <c r="P79" s="131">
        <v>1.4</v>
      </c>
      <c r="AD79" s="65">
        <v>0.6</v>
      </c>
      <c r="AE79" s="65">
        <v>0.6</v>
      </c>
      <c r="AF79" s="65">
        <v>0.6</v>
      </c>
      <c r="AG79" s="65">
        <v>0.6</v>
      </c>
      <c r="AH79" s="65">
        <v>0.6</v>
      </c>
      <c r="AJ79" s="132">
        <v>0.9</v>
      </c>
    </row>
    <row r="80" spans="1:36" s="130" customFormat="1" ht="43.2" customHeight="1">
      <c r="A80" s="189" t="s">
        <v>387</v>
      </c>
      <c r="B80" s="189"/>
      <c r="C80" s="189"/>
      <c r="D80" s="189"/>
      <c r="E80" s="40">
        <v>3</v>
      </c>
      <c r="F80" s="40">
        <v>10</v>
      </c>
      <c r="G80" s="41"/>
      <c r="H80" s="42"/>
      <c r="I80" s="43">
        <f>I81+I86+I95</f>
        <v>2479.8000000000002</v>
      </c>
      <c r="J80" s="43">
        <v>0</v>
      </c>
      <c r="K80" s="43">
        <v>1091.5</v>
      </c>
      <c r="L80" s="43">
        <v>0</v>
      </c>
      <c r="M80" s="43">
        <v>1091.5</v>
      </c>
      <c r="N80" s="43">
        <v>0</v>
      </c>
      <c r="P80" s="131">
        <v>1316.6710400000002</v>
      </c>
      <c r="AD80" s="63">
        <v>646</v>
      </c>
      <c r="AE80" s="63">
        <v>0</v>
      </c>
      <c r="AF80" s="63">
        <v>1276</v>
      </c>
      <c r="AG80" s="63">
        <v>0</v>
      </c>
      <c r="AH80" s="63">
        <v>1276</v>
      </c>
      <c r="AJ80" s="132">
        <v>1091.5</v>
      </c>
    </row>
    <row r="81" spans="1:36" s="124" customFormat="1" ht="31.2" customHeight="1">
      <c r="A81" s="212" t="s">
        <v>124</v>
      </c>
      <c r="B81" s="213"/>
      <c r="C81" s="213"/>
      <c r="D81" s="214"/>
      <c r="E81" s="50">
        <v>3</v>
      </c>
      <c r="F81" s="50">
        <v>10</v>
      </c>
      <c r="G81" s="60" t="s">
        <v>30</v>
      </c>
      <c r="H81" s="48">
        <v>0</v>
      </c>
      <c r="I81" s="53">
        <v>583.70000000000005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P81" s="125">
        <v>333.90199999999999</v>
      </c>
      <c r="AD81" s="66">
        <v>2600</v>
      </c>
      <c r="AE81" s="66">
        <v>0</v>
      </c>
      <c r="AF81" s="66">
        <v>0</v>
      </c>
      <c r="AG81" s="66">
        <v>0</v>
      </c>
      <c r="AH81" s="66">
        <v>0</v>
      </c>
      <c r="AJ81" s="129">
        <v>0</v>
      </c>
    </row>
    <row r="82" spans="1:36" s="124" customFormat="1" ht="35.4" customHeight="1">
      <c r="A82" s="209" t="s">
        <v>123</v>
      </c>
      <c r="B82" s="210"/>
      <c r="C82" s="210"/>
      <c r="D82" s="211"/>
      <c r="E82" s="47">
        <v>3</v>
      </c>
      <c r="F82" s="47">
        <v>10</v>
      </c>
      <c r="G82" s="54" t="s">
        <v>118</v>
      </c>
      <c r="H82" s="48">
        <v>0</v>
      </c>
      <c r="I82" s="49">
        <v>583.70000000000005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P82" s="125">
        <v>333.90199999999999</v>
      </c>
      <c r="AD82" s="65">
        <v>2600</v>
      </c>
      <c r="AE82" s="65">
        <v>0</v>
      </c>
      <c r="AF82" s="65">
        <v>0</v>
      </c>
      <c r="AG82" s="65">
        <v>0</v>
      </c>
      <c r="AH82" s="65">
        <v>0</v>
      </c>
      <c r="AJ82" s="129">
        <v>0</v>
      </c>
    </row>
    <row r="83" spans="1:36" s="124" customFormat="1" ht="52.2" customHeight="1">
      <c r="A83" s="209" t="s">
        <v>355</v>
      </c>
      <c r="B83" s="210"/>
      <c r="C83" s="210"/>
      <c r="D83" s="211"/>
      <c r="E83" s="47">
        <v>3</v>
      </c>
      <c r="F83" s="47">
        <v>10</v>
      </c>
      <c r="G83" s="54" t="s">
        <v>117</v>
      </c>
      <c r="H83" s="48">
        <v>0</v>
      </c>
      <c r="I83" s="49">
        <v>583.70000000000005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P83" s="125">
        <v>333.90199999999999</v>
      </c>
      <c r="AD83" s="65">
        <v>2600</v>
      </c>
      <c r="AE83" s="65">
        <v>0</v>
      </c>
      <c r="AF83" s="65">
        <v>0</v>
      </c>
      <c r="AG83" s="65">
        <v>0</v>
      </c>
      <c r="AH83" s="65">
        <v>0</v>
      </c>
      <c r="AJ83" s="129">
        <v>0</v>
      </c>
    </row>
    <row r="84" spans="1:36" s="124" customFormat="1" ht="19.95" customHeight="1">
      <c r="A84" s="222" t="s">
        <v>32</v>
      </c>
      <c r="B84" s="223"/>
      <c r="C84" s="223"/>
      <c r="D84" s="224"/>
      <c r="E84" s="47">
        <v>3</v>
      </c>
      <c r="F84" s="47">
        <v>10</v>
      </c>
      <c r="G84" s="54" t="s">
        <v>117</v>
      </c>
      <c r="H84" s="48">
        <v>500</v>
      </c>
      <c r="I84" s="49">
        <v>583.70000000000005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P84" s="125">
        <v>333.90199999999999</v>
      </c>
      <c r="AD84" s="65">
        <v>2600</v>
      </c>
      <c r="AE84" s="65">
        <v>0</v>
      </c>
      <c r="AF84" s="65">
        <v>0</v>
      </c>
      <c r="AG84" s="65">
        <v>0</v>
      </c>
      <c r="AH84" s="65">
        <v>0</v>
      </c>
      <c r="AJ84" s="129">
        <v>0</v>
      </c>
    </row>
    <row r="85" spans="1:36" s="124" customFormat="1" ht="19.95" customHeight="1">
      <c r="A85" s="212" t="s">
        <v>34</v>
      </c>
      <c r="B85" s="213"/>
      <c r="C85" s="213"/>
      <c r="D85" s="214"/>
      <c r="E85" s="47">
        <v>3</v>
      </c>
      <c r="F85" s="47">
        <v>10</v>
      </c>
      <c r="G85" s="54" t="s">
        <v>117</v>
      </c>
      <c r="H85" s="48">
        <v>540</v>
      </c>
      <c r="I85" s="49">
        <v>583.70000000000005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P85" s="125">
        <v>333.90199999999999</v>
      </c>
      <c r="AD85" s="65">
        <v>2600</v>
      </c>
      <c r="AE85" s="65">
        <v>0</v>
      </c>
      <c r="AF85" s="65">
        <v>0</v>
      </c>
      <c r="AG85" s="65">
        <v>0</v>
      </c>
      <c r="AH85" s="65">
        <v>0</v>
      </c>
      <c r="AJ85" s="129">
        <v>0</v>
      </c>
    </row>
    <row r="86" spans="1:36" s="130" customFormat="1" ht="34.200000000000003" customHeight="1">
      <c r="A86" s="202" t="s">
        <v>114</v>
      </c>
      <c r="B86" s="203"/>
      <c r="C86" s="203"/>
      <c r="D86" s="204"/>
      <c r="E86" s="50">
        <v>3</v>
      </c>
      <c r="F86" s="50">
        <v>10</v>
      </c>
      <c r="G86" s="51" t="s">
        <v>388</v>
      </c>
      <c r="H86" s="48">
        <v>0</v>
      </c>
      <c r="I86" s="53">
        <f>I87+I91</f>
        <v>1296.1000000000001</v>
      </c>
      <c r="J86" s="53">
        <v>0</v>
      </c>
      <c r="K86" s="53">
        <v>1091.5</v>
      </c>
      <c r="L86" s="53">
        <v>0</v>
      </c>
      <c r="M86" s="53">
        <v>1091.5</v>
      </c>
      <c r="N86" s="53">
        <v>0</v>
      </c>
      <c r="P86" s="131">
        <v>946.67104000000006</v>
      </c>
      <c r="AD86" s="66">
        <v>246</v>
      </c>
      <c r="AE86" s="66">
        <v>0</v>
      </c>
      <c r="AF86" s="66">
        <v>876</v>
      </c>
      <c r="AG86" s="66">
        <v>0</v>
      </c>
      <c r="AH86" s="66">
        <v>876</v>
      </c>
      <c r="AJ86" s="132">
        <v>1091.5</v>
      </c>
    </row>
    <row r="87" spans="1:36" s="130" customFormat="1" ht="55.95" customHeight="1">
      <c r="A87" s="186" t="str">
        <f>'[1]Прил. 6'!A43</f>
        <v>Основное мероприятие: 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здоровья.</v>
      </c>
      <c r="B87" s="187"/>
      <c r="C87" s="187"/>
      <c r="D87" s="191"/>
      <c r="E87" s="47">
        <v>3</v>
      </c>
      <c r="F87" s="47">
        <v>10</v>
      </c>
      <c r="G87" s="31" t="s">
        <v>140</v>
      </c>
      <c r="H87" s="48">
        <v>0</v>
      </c>
      <c r="I87" s="49">
        <v>1012.4000000000001</v>
      </c>
      <c r="J87" s="49">
        <v>0</v>
      </c>
      <c r="K87" s="49">
        <v>925.6</v>
      </c>
      <c r="L87" s="49">
        <v>0</v>
      </c>
      <c r="M87" s="49">
        <v>925.6</v>
      </c>
      <c r="N87" s="49">
        <v>0</v>
      </c>
      <c r="P87" s="131">
        <v>946.67104000000006</v>
      </c>
      <c r="AD87" s="65">
        <v>246</v>
      </c>
      <c r="AE87" s="65">
        <v>0</v>
      </c>
      <c r="AF87" s="65">
        <v>876</v>
      </c>
      <c r="AG87" s="65">
        <v>0</v>
      </c>
      <c r="AH87" s="65">
        <v>876</v>
      </c>
      <c r="AJ87" s="132">
        <v>925.6</v>
      </c>
    </row>
    <row r="88" spans="1:36" s="130" customFormat="1" ht="71.400000000000006" customHeight="1">
      <c r="A88" s="186" t="s">
        <v>362</v>
      </c>
      <c r="B88" s="187"/>
      <c r="C88" s="187"/>
      <c r="D88" s="187"/>
      <c r="E88" s="47">
        <v>3</v>
      </c>
      <c r="F88" s="47">
        <v>10</v>
      </c>
      <c r="G88" s="31" t="s">
        <v>163</v>
      </c>
      <c r="H88" s="48" t="s">
        <v>31</v>
      </c>
      <c r="I88" s="49">
        <v>1012.4000000000001</v>
      </c>
      <c r="J88" s="49">
        <v>0</v>
      </c>
      <c r="K88" s="49">
        <v>925.6</v>
      </c>
      <c r="L88" s="49">
        <v>0</v>
      </c>
      <c r="M88" s="49">
        <v>925.6</v>
      </c>
      <c r="N88" s="49">
        <v>0</v>
      </c>
      <c r="P88" s="131">
        <v>946.67104000000006</v>
      </c>
      <c r="AD88" s="65">
        <v>246</v>
      </c>
      <c r="AE88" s="65">
        <v>0</v>
      </c>
      <c r="AF88" s="65">
        <v>876</v>
      </c>
      <c r="AG88" s="65">
        <v>0</v>
      </c>
      <c r="AH88" s="65">
        <v>876</v>
      </c>
      <c r="AJ88" s="132">
        <v>925.6</v>
      </c>
    </row>
    <row r="89" spans="1:36" s="130" customFormat="1" ht="30.6" customHeight="1">
      <c r="A89" s="186" t="s">
        <v>44</v>
      </c>
      <c r="B89" s="187"/>
      <c r="C89" s="187"/>
      <c r="D89" s="187"/>
      <c r="E89" s="47">
        <v>3</v>
      </c>
      <c r="F89" s="47">
        <v>10</v>
      </c>
      <c r="G89" s="31" t="s">
        <v>163</v>
      </c>
      <c r="H89" s="48" t="s">
        <v>45</v>
      </c>
      <c r="I89" s="49">
        <v>1012.4000000000001</v>
      </c>
      <c r="J89" s="49">
        <v>0</v>
      </c>
      <c r="K89" s="49">
        <v>925.6</v>
      </c>
      <c r="L89" s="49">
        <v>0</v>
      </c>
      <c r="M89" s="49">
        <v>925.6</v>
      </c>
      <c r="N89" s="49">
        <v>0</v>
      </c>
      <c r="P89" s="131">
        <v>946.67104000000006</v>
      </c>
      <c r="AD89" s="65">
        <v>246</v>
      </c>
      <c r="AE89" s="65">
        <v>0</v>
      </c>
      <c r="AF89" s="65">
        <v>876</v>
      </c>
      <c r="AG89" s="65">
        <v>0</v>
      </c>
      <c r="AH89" s="65">
        <v>876</v>
      </c>
      <c r="AJ89" s="132">
        <v>925.6</v>
      </c>
    </row>
    <row r="90" spans="1:36" s="130" customFormat="1" ht="29.4" customHeight="1">
      <c r="A90" s="186" t="s">
        <v>46</v>
      </c>
      <c r="B90" s="187"/>
      <c r="C90" s="187"/>
      <c r="D90" s="191"/>
      <c r="E90" s="47">
        <v>3</v>
      </c>
      <c r="F90" s="47">
        <v>10</v>
      </c>
      <c r="G90" s="31" t="s">
        <v>163</v>
      </c>
      <c r="H90" s="48" t="s">
        <v>47</v>
      </c>
      <c r="I90" s="49">
        <f>914.7+97.7</f>
        <v>1012.4000000000001</v>
      </c>
      <c r="J90" s="49">
        <v>0</v>
      </c>
      <c r="K90" s="49">
        <v>925.6</v>
      </c>
      <c r="L90" s="49">
        <v>0</v>
      </c>
      <c r="M90" s="49">
        <v>925.6</v>
      </c>
      <c r="N90" s="49">
        <v>0</v>
      </c>
      <c r="P90" s="131">
        <v>946.67104000000006</v>
      </c>
      <c r="AD90" s="65">
        <v>246</v>
      </c>
      <c r="AE90" s="65">
        <v>0</v>
      </c>
      <c r="AF90" s="65">
        <v>876</v>
      </c>
      <c r="AG90" s="65">
        <v>0</v>
      </c>
      <c r="AH90" s="65">
        <v>876</v>
      </c>
      <c r="AJ90" s="132">
        <v>925.6</v>
      </c>
    </row>
    <row r="91" spans="1:36" s="130" customFormat="1" ht="26.4" customHeight="1">
      <c r="A91" s="186" t="str">
        <f>'[1]Прил. 6'!A47</f>
        <v>Основное мероприятие: Укрепление пожарной безопасности в поселении.</v>
      </c>
      <c r="B91" s="187"/>
      <c r="C91" s="187"/>
      <c r="D91" s="191"/>
      <c r="E91" s="47">
        <v>3</v>
      </c>
      <c r="F91" s="47">
        <v>10</v>
      </c>
      <c r="G91" s="31" t="s">
        <v>176</v>
      </c>
      <c r="H91" s="48">
        <v>0</v>
      </c>
      <c r="I91" s="49">
        <v>283.7</v>
      </c>
      <c r="J91" s="49">
        <v>0</v>
      </c>
      <c r="K91" s="49">
        <v>165.9</v>
      </c>
      <c r="L91" s="49">
        <v>0</v>
      </c>
      <c r="M91" s="49">
        <v>165.9</v>
      </c>
      <c r="N91" s="49">
        <v>0</v>
      </c>
      <c r="P91" s="131">
        <v>946.67104000000006</v>
      </c>
      <c r="AD91" s="65">
        <v>246</v>
      </c>
      <c r="AE91" s="65">
        <v>0</v>
      </c>
      <c r="AF91" s="65">
        <v>876</v>
      </c>
      <c r="AG91" s="65">
        <v>0</v>
      </c>
      <c r="AH91" s="65">
        <v>876</v>
      </c>
      <c r="AJ91" s="132">
        <v>165.9</v>
      </c>
    </row>
    <row r="92" spans="1:36" s="130" customFormat="1" ht="40.799999999999997" customHeight="1">
      <c r="A92" s="186" t="s">
        <v>363</v>
      </c>
      <c r="B92" s="187"/>
      <c r="C92" s="187"/>
      <c r="D92" s="187"/>
      <c r="E92" s="47">
        <v>3</v>
      </c>
      <c r="F92" s="47">
        <v>10</v>
      </c>
      <c r="G92" s="31" t="s">
        <v>170</v>
      </c>
      <c r="H92" s="48" t="s">
        <v>31</v>
      </c>
      <c r="I92" s="49">
        <v>283.7</v>
      </c>
      <c r="J92" s="49">
        <v>0</v>
      </c>
      <c r="K92" s="49">
        <v>165.9</v>
      </c>
      <c r="L92" s="49">
        <v>0</v>
      </c>
      <c r="M92" s="49">
        <v>165.9</v>
      </c>
      <c r="N92" s="49">
        <v>0</v>
      </c>
      <c r="P92" s="131">
        <v>946.67104000000006</v>
      </c>
      <c r="AD92" s="65">
        <v>246</v>
      </c>
      <c r="AE92" s="65">
        <v>0</v>
      </c>
      <c r="AF92" s="65">
        <v>876</v>
      </c>
      <c r="AG92" s="65">
        <v>0</v>
      </c>
      <c r="AH92" s="65">
        <v>876</v>
      </c>
      <c r="AJ92" s="132">
        <v>165.9</v>
      </c>
    </row>
    <row r="93" spans="1:36" s="130" customFormat="1" ht="30.6" customHeight="1">
      <c r="A93" s="186" t="s">
        <v>44</v>
      </c>
      <c r="B93" s="187"/>
      <c r="C93" s="187"/>
      <c r="D93" s="187"/>
      <c r="E93" s="47">
        <v>3</v>
      </c>
      <c r="F93" s="47">
        <v>10</v>
      </c>
      <c r="G93" s="31" t="s">
        <v>170</v>
      </c>
      <c r="H93" s="48" t="s">
        <v>45</v>
      </c>
      <c r="I93" s="49">
        <v>283.7</v>
      </c>
      <c r="J93" s="49">
        <v>0</v>
      </c>
      <c r="K93" s="49">
        <v>165.9</v>
      </c>
      <c r="L93" s="49">
        <v>0</v>
      </c>
      <c r="M93" s="49">
        <v>165.9</v>
      </c>
      <c r="N93" s="49">
        <v>0</v>
      </c>
      <c r="P93" s="131">
        <v>946.67104000000006</v>
      </c>
      <c r="AD93" s="65">
        <v>246</v>
      </c>
      <c r="AE93" s="65">
        <v>0</v>
      </c>
      <c r="AF93" s="65">
        <v>876</v>
      </c>
      <c r="AG93" s="65">
        <v>0</v>
      </c>
      <c r="AH93" s="65">
        <v>876</v>
      </c>
      <c r="AJ93" s="132">
        <v>165.9</v>
      </c>
    </row>
    <row r="94" spans="1:36" s="130" customFormat="1" ht="37.200000000000003" customHeight="1">
      <c r="A94" s="186" t="s">
        <v>46</v>
      </c>
      <c r="B94" s="187"/>
      <c r="C94" s="187"/>
      <c r="D94" s="191"/>
      <c r="E94" s="47">
        <v>3</v>
      </c>
      <c r="F94" s="47">
        <v>10</v>
      </c>
      <c r="G94" s="31" t="s">
        <v>170</v>
      </c>
      <c r="H94" s="48" t="s">
        <v>47</v>
      </c>
      <c r="I94" s="49">
        <f>165.9+117.8</f>
        <v>283.7</v>
      </c>
      <c r="J94" s="49">
        <v>0</v>
      </c>
      <c r="K94" s="49">
        <v>165.9</v>
      </c>
      <c r="L94" s="49">
        <v>0</v>
      </c>
      <c r="M94" s="49">
        <v>165.9</v>
      </c>
      <c r="N94" s="49">
        <v>0</v>
      </c>
      <c r="P94" s="131">
        <v>946.67104000000006</v>
      </c>
      <c r="AD94" s="65">
        <v>246</v>
      </c>
      <c r="AE94" s="65">
        <v>0</v>
      </c>
      <c r="AF94" s="65">
        <v>876</v>
      </c>
      <c r="AG94" s="65">
        <v>0</v>
      </c>
      <c r="AH94" s="65">
        <v>876</v>
      </c>
      <c r="AJ94" s="132">
        <v>165.9</v>
      </c>
    </row>
    <row r="95" spans="1:36" s="139" customFormat="1" ht="34.200000000000003" customHeight="1">
      <c r="A95" s="197" t="s">
        <v>112</v>
      </c>
      <c r="B95" s="198"/>
      <c r="C95" s="198"/>
      <c r="D95" s="199"/>
      <c r="E95" s="50">
        <v>3</v>
      </c>
      <c r="F95" s="50">
        <v>10</v>
      </c>
      <c r="G95" s="51" t="s">
        <v>64</v>
      </c>
      <c r="H95" s="48">
        <v>0</v>
      </c>
      <c r="I95" s="53">
        <v>600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P95" s="140">
        <v>370</v>
      </c>
      <c r="AD95" s="66">
        <v>400</v>
      </c>
      <c r="AE95" s="66">
        <v>0</v>
      </c>
      <c r="AF95" s="66">
        <v>400</v>
      </c>
      <c r="AG95" s="66">
        <v>0</v>
      </c>
      <c r="AH95" s="66">
        <v>400</v>
      </c>
      <c r="AJ95" s="141">
        <v>0</v>
      </c>
    </row>
    <row r="96" spans="1:36" s="130" customFormat="1" ht="37.200000000000003" customHeight="1">
      <c r="A96" s="184" t="s">
        <v>145</v>
      </c>
      <c r="B96" s="185"/>
      <c r="C96" s="185"/>
      <c r="D96" s="196"/>
      <c r="E96" s="47">
        <v>3</v>
      </c>
      <c r="F96" s="47">
        <v>10</v>
      </c>
      <c r="G96" s="31" t="s">
        <v>146</v>
      </c>
      <c r="H96" s="48">
        <v>0</v>
      </c>
      <c r="I96" s="49">
        <v>600</v>
      </c>
      <c r="J96" s="49">
        <v>0</v>
      </c>
      <c r="K96" s="49">
        <v>0</v>
      </c>
      <c r="L96" s="49"/>
      <c r="M96" s="49">
        <v>0</v>
      </c>
      <c r="N96" s="49">
        <v>0</v>
      </c>
      <c r="P96" s="131">
        <v>370</v>
      </c>
      <c r="AD96" s="65">
        <v>400</v>
      </c>
      <c r="AE96" s="65">
        <v>0</v>
      </c>
      <c r="AF96" s="65">
        <v>400</v>
      </c>
      <c r="AG96" s="65"/>
      <c r="AH96" s="65">
        <v>400</v>
      </c>
      <c r="AJ96" s="132">
        <v>0</v>
      </c>
    </row>
    <row r="97" spans="1:36" s="130" customFormat="1" ht="38.4" customHeight="1">
      <c r="A97" s="184" t="s">
        <v>389</v>
      </c>
      <c r="B97" s="185"/>
      <c r="C97" s="185"/>
      <c r="D97" s="196"/>
      <c r="E97" s="47">
        <v>3</v>
      </c>
      <c r="F97" s="47">
        <v>10</v>
      </c>
      <c r="G97" s="31" t="s">
        <v>65</v>
      </c>
      <c r="H97" s="48">
        <v>0</v>
      </c>
      <c r="I97" s="49">
        <v>600</v>
      </c>
      <c r="J97" s="49">
        <v>0</v>
      </c>
      <c r="K97" s="49">
        <v>0</v>
      </c>
      <c r="L97" s="49"/>
      <c r="M97" s="49">
        <v>0</v>
      </c>
      <c r="N97" s="49">
        <v>0</v>
      </c>
      <c r="P97" s="131">
        <v>370</v>
      </c>
      <c r="AD97" s="65">
        <v>400</v>
      </c>
      <c r="AE97" s="65">
        <v>0</v>
      </c>
      <c r="AF97" s="65">
        <v>400</v>
      </c>
      <c r="AG97" s="65"/>
      <c r="AH97" s="65">
        <v>400</v>
      </c>
      <c r="AJ97" s="132">
        <v>0</v>
      </c>
    </row>
    <row r="98" spans="1:36" s="130" customFormat="1" ht="36" customHeight="1">
      <c r="A98" s="184" t="s">
        <v>44</v>
      </c>
      <c r="B98" s="185"/>
      <c r="C98" s="185"/>
      <c r="D98" s="196"/>
      <c r="E98" s="47">
        <v>3</v>
      </c>
      <c r="F98" s="47">
        <v>10</v>
      </c>
      <c r="G98" s="31" t="s">
        <v>65</v>
      </c>
      <c r="H98" s="48" t="s">
        <v>45</v>
      </c>
      <c r="I98" s="49">
        <v>600</v>
      </c>
      <c r="J98" s="49">
        <v>0</v>
      </c>
      <c r="K98" s="49">
        <v>0</v>
      </c>
      <c r="L98" s="49"/>
      <c r="M98" s="49">
        <v>0</v>
      </c>
      <c r="N98" s="49">
        <v>0</v>
      </c>
      <c r="P98" s="131">
        <v>370</v>
      </c>
      <c r="AD98" s="65">
        <v>400</v>
      </c>
      <c r="AE98" s="65">
        <v>0</v>
      </c>
      <c r="AF98" s="65">
        <v>400</v>
      </c>
      <c r="AG98" s="65"/>
      <c r="AH98" s="65">
        <v>400</v>
      </c>
      <c r="AJ98" s="132">
        <v>0</v>
      </c>
    </row>
    <row r="99" spans="1:36" s="130" customFormat="1" ht="36" customHeight="1">
      <c r="A99" s="184" t="s">
        <v>46</v>
      </c>
      <c r="B99" s="185"/>
      <c r="C99" s="185"/>
      <c r="D99" s="196"/>
      <c r="E99" s="47">
        <v>3</v>
      </c>
      <c r="F99" s="47">
        <v>10</v>
      </c>
      <c r="G99" s="31" t="s">
        <v>65</v>
      </c>
      <c r="H99" s="48" t="s">
        <v>47</v>
      </c>
      <c r="I99" s="49">
        <v>600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P99" s="131">
        <v>370</v>
      </c>
      <c r="AD99" s="65">
        <v>400</v>
      </c>
      <c r="AE99" s="65">
        <v>0</v>
      </c>
      <c r="AF99" s="65">
        <v>400</v>
      </c>
      <c r="AG99" s="65">
        <v>0</v>
      </c>
      <c r="AH99" s="65">
        <v>400</v>
      </c>
      <c r="AJ99" s="132">
        <v>0</v>
      </c>
    </row>
    <row r="100" spans="1:36" s="130" customFormat="1" ht="28.2" customHeight="1">
      <c r="A100" s="189" t="s">
        <v>15</v>
      </c>
      <c r="B100" s="189"/>
      <c r="C100" s="189"/>
      <c r="D100" s="189"/>
      <c r="E100" s="40">
        <v>3</v>
      </c>
      <c r="F100" s="40">
        <v>14</v>
      </c>
      <c r="G100" s="41"/>
      <c r="H100" s="42"/>
      <c r="I100" s="43">
        <v>27.2</v>
      </c>
      <c r="J100" s="43">
        <v>0</v>
      </c>
      <c r="K100" s="43">
        <v>27.2</v>
      </c>
      <c r="L100" s="43">
        <v>0</v>
      </c>
      <c r="M100" s="43">
        <v>27.2</v>
      </c>
      <c r="N100" s="43">
        <v>0</v>
      </c>
      <c r="P100" s="131">
        <v>27.1</v>
      </c>
      <c r="AD100" s="63">
        <v>27.1</v>
      </c>
      <c r="AE100" s="63">
        <v>0</v>
      </c>
      <c r="AF100" s="63">
        <v>27.2</v>
      </c>
      <c r="AG100" s="63">
        <v>0</v>
      </c>
      <c r="AH100" s="63">
        <v>27.2</v>
      </c>
      <c r="AJ100" s="132">
        <v>27.2</v>
      </c>
    </row>
    <row r="101" spans="1:36" s="130" customFormat="1" ht="28.95" customHeight="1">
      <c r="A101" s="205" t="s">
        <v>109</v>
      </c>
      <c r="B101" s="205"/>
      <c r="C101" s="205"/>
      <c r="D101" s="205"/>
      <c r="E101" s="47">
        <v>3</v>
      </c>
      <c r="F101" s="47">
        <v>14</v>
      </c>
      <c r="G101" s="31" t="s">
        <v>59</v>
      </c>
      <c r="H101" s="48">
        <v>0</v>
      </c>
      <c r="I101" s="49">
        <v>27.2</v>
      </c>
      <c r="J101" s="49">
        <v>0</v>
      </c>
      <c r="K101" s="49">
        <v>27.2</v>
      </c>
      <c r="L101" s="49">
        <v>0</v>
      </c>
      <c r="M101" s="49">
        <v>27.2</v>
      </c>
      <c r="N101" s="49">
        <v>0</v>
      </c>
      <c r="P101" s="131">
        <v>27.1</v>
      </c>
      <c r="AD101" s="65">
        <v>27.1</v>
      </c>
      <c r="AE101" s="65">
        <v>0</v>
      </c>
      <c r="AF101" s="65">
        <v>27.2</v>
      </c>
      <c r="AG101" s="65">
        <v>0</v>
      </c>
      <c r="AH101" s="65">
        <v>27.2</v>
      </c>
      <c r="AJ101" s="132">
        <v>27.2</v>
      </c>
    </row>
    <row r="102" spans="1:36" s="130" customFormat="1" ht="28.95" customHeight="1">
      <c r="A102" s="206" t="s">
        <v>125</v>
      </c>
      <c r="B102" s="207"/>
      <c r="C102" s="207"/>
      <c r="D102" s="208"/>
      <c r="E102" s="47">
        <v>3</v>
      </c>
      <c r="F102" s="47">
        <v>14</v>
      </c>
      <c r="G102" s="31" t="s">
        <v>126</v>
      </c>
      <c r="H102" s="48">
        <v>0</v>
      </c>
      <c r="I102" s="49">
        <v>27.2</v>
      </c>
      <c r="J102" s="49">
        <v>0</v>
      </c>
      <c r="K102" s="49">
        <v>27.2</v>
      </c>
      <c r="L102" s="49">
        <v>0</v>
      </c>
      <c r="M102" s="49">
        <v>27.2</v>
      </c>
      <c r="N102" s="49">
        <v>0</v>
      </c>
      <c r="P102" s="131">
        <v>27.1</v>
      </c>
      <c r="AD102" s="65">
        <v>27.1</v>
      </c>
      <c r="AE102" s="65">
        <v>0</v>
      </c>
      <c r="AF102" s="65">
        <v>27.2</v>
      </c>
      <c r="AG102" s="65">
        <v>0</v>
      </c>
      <c r="AH102" s="65">
        <v>27.2</v>
      </c>
      <c r="AJ102" s="132">
        <v>27.2</v>
      </c>
    </row>
    <row r="103" spans="1:36" s="130" customFormat="1" ht="37.200000000000003" customHeight="1">
      <c r="A103" s="205" t="s">
        <v>374</v>
      </c>
      <c r="B103" s="205"/>
      <c r="C103" s="205"/>
      <c r="D103" s="205"/>
      <c r="E103" s="47">
        <v>3</v>
      </c>
      <c r="F103" s="47">
        <v>14</v>
      </c>
      <c r="G103" s="31" t="s">
        <v>60</v>
      </c>
      <c r="H103" s="48">
        <v>0</v>
      </c>
      <c r="I103" s="49">
        <v>13.6</v>
      </c>
      <c r="J103" s="49">
        <v>0</v>
      </c>
      <c r="K103" s="49">
        <v>13.6</v>
      </c>
      <c r="L103" s="49">
        <v>0</v>
      </c>
      <c r="M103" s="49">
        <v>13.6</v>
      </c>
      <c r="N103" s="49">
        <v>0</v>
      </c>
      <c r="P103" s="131">
        <v>13.5</v>
      </c>
      <c r="AD103" s="65">
        <v>13.5</v>
      </c>
      <c r="AE103" s="65">
        <v>0</v>
      </c>
      <c r="AF103" s="65">
        <v>13.6</v>
      </c>
      <c r="AG103" s="65">
        <v>0</v>
      </c>
      <c r="AH103" s="65">
        <v>13.6</v>
      </c>
      <c r="AJ103" s="132">
        <v>13.6</v>
      </c>
    </row>
    <row r="104" spans="1:36" s="130" customFormat="1" ht="30" customHeight="1">
      <c r="A104" s="188" t="s">
        <v>44</v>
      </c>
      <c r="B104" s="188"/>
      <c r="C104" s="188"/>
      <c r="D104" s="188"/>
      <c r="E104" s="47">
        <v>3</v>
      </c>
      <c r="F104" s="47">
        <v>14</v>
      </c>
      <c r="G104" s="31" t="s">
        <v>60</v>
      </c>
      <c r="H104" s="48">
        <v>200</v>
      </c>
      <c r="I104" s="49">
        <v>13.6</v>
      </c>
      <c r="J104" s="49">
        <v>0</v>
      </c>
      <c r="K104" s="49">
        <v>13.6</v>
      </c>
      <c r="L104" s="49">
        <v>0</v>
      </c>
      <c r="M104" s="49">
        <v>13.6</v>
      </c>
      <c r="N104" s="49">
        <v>0</v>
      </c>
      <c r="P104" s="131">
        <v>13.5</v>
      </c>
      <c r="AD104" s="65">
        <v>13.5</v>
      </c>
      <c r="AE104" s="65">
        <v>0</v>
      </c>
      <c r="AF104" s="65">
        <v>13.6</v>
      </c>
      <c r="AG104" s="65">
        <v>0</v>
      </c>
      <c r="AH104" s="65">
        <v>13.6</v>
      </c>
      <c r="AJ104" s="132">
        <v>13.6</v>
      </c>
    </row>
    <row r="105" spans="1:36" s="130" customFormat="1" ht="34.950000000000003" customHeight="1">
      <c r="A105" s="188" t="s">
        <v>46</v>
      </c>
      <c r="B105" s="188"/>
      <c r="C105" s="188"/>
      <c r="D105" s="188"/>
      <c r="E105" s="47">
        <v>3</v>
      </c>
      <c r="F105" s="47">
        <v>14</v>
      </c>
      <c r="G105" s="31" t="s">
        <v>60</v>
      </c>
      <c r="H105" s="48">
        <v>240</v>
      </c>
      <c r="I105" s="49">
        <v>13.6</v>
      </c>
      <c r="J105" s="49">
        <v>0</v>
      </c>
      <c r="K105" s="49">
        <v>13.6</v>
      </c>
      <c r="L105" s="49">
        <v>0</v>
      </c>
      <c r="M105" s="49">
        <v>13.6</v>
      </c>
      <c r="N105" s="49">
        <v>0</v>
      </c>
      <c r="P105" s="131">
        <v>13.5</v>
      </c>
      <c r="AD105" s="65">
        <v>13.5</v>
      </c>
      <c r="AE105" s="65">
        <v>0</v>
      </c>
      <c r="AF105" s="65">
        <v>13.6</v>
      </c>
      <c r="AG105" s="65">
        <v>0</v>
      </c>
      <c r="AH105" s="65">
        <v>13.6</v>
      </c>
      <c r="AJ105" s="132">
        <v>13.6</v>
      </c>
    </row>
    <row r="106" spans="1:36" s="130" customFormat="1" ht="33" customHeight="1">
      <c r="A106" s="205" t="s">
        <v>390</v>
      </c>
      <c r="B106" s="205"/>
      <c r="C106" s="205"/>
      <c r="D106" s="205"/>
      <c r="E106" s="47">
        <v>3</v>
      </c>
      <c r="F106" s="47">
        <v>14</v>
      </c>
      <c r="G106" s="31" t="s">
        <v>61</v>
      </c>
      <c r="H106" s="48">
        <v>0</v>
      </c>
      <c r="I106" s="49">
        <v>13.6</v>
      </c>
      <c r="J106" s="49">
        <v>0</v>
      </c>
      <c r="K106" s="49">
        <v>13.6</v>
      </c>
      <c r="L106" s="49">
        <v>0</v>
      </c>
      <c r="M106" s="49">
        <v>13.6</v>
      </c>
      <c r="N106" s="49">
        <v>0</v>
      </c>
      <c r="P106" s="131">
        <v>13.6</v>
      </c>
      <c r="AD106" s="65">
        <v>13.6</v>
      </c>
      <c r="AE106" s="65">
        <v>0</v>
      </c>
      <c r="AF106" s="65">
        <v>13.6</v>
      </c>
      <c r="AG106" s="65">
        <v>0</v>
      </c>
      <c r="AH106" s="65">
        <v>13.6</v>
      </c>
      <c r="AJ106" s="132">
        <v>13.6</v>
      </c>
    </row>
    <row r="107" spans="1:36" s="130" customFormat="1" ht="33" customHeight="1">
      <c r="A107" s="188" t="s">
        <v>44</v>
      </c>
      <c r="B107" s="188"/>
      <c r="C107" s="188"/>
      <c r="D107" s="188"/>
      <c r="E107" s="47">
        <v>3</v>
      </c>
      <c r="F107" s="47">
        <v>14</v>
      </c>
      <c r="G107" s="31" t="s">
        <v>61</v>
      </c>
      <c r="H107" s="48">
        <v>200</v>
      </c>
      <c r="I107" s="49">
        <v>13.6</v>
      </c>
      <c r="J107" s="49">
        <v>0</v>
      </c>
      <c r="K107" s="49">
        <v>13.6</v>
      </c>
      <c r="L107" s="49">
        <v>0</v>
      </c>
      <c r="M107" s="49">
        <v>13.6</v>
      </c>
      <c r="N107" s="49">
        <v>0</v>
      </c>
      <c r="P107" s="131">
        <v>13.6</v>
      </c>
      <c r="AD107" s="65">
        <v>13.6</v>
      </c>
      <c r="AE107" s="65">
        <v>0</v>
      </c>
      <c r="AF107" s="65">
        <v>13.6</v>
      </c>
      <c r="AG107" s="65">
        <v>0</v>
      </c>
      <c r="AH107" s="65">
        <v>13.6</v>
      </c>
      <c r="AJ107" s="132">
        <v>13.6</v>
      </c>
    </row>
    <row r="108" spans="1:36" s="130" customFormat="1" ht="33" customHeight="1">
      <c r="A108" s="188" t="s">
        <v>46</v>
      </c>
      <c r="B108" s="188"/>
      <c r="C108" s="188"/>
      <c r="D108" s="188"/>
      <c r="E108" s="47">
        <v>3</v>
      </c>
      <c r="F108" s="47">
        <v>14</v>
      </c>
      <c r="G108" s="31" t="s">
        <v>61</v>
      </c>
      <c r="H108" s="48">
        <v>240</v>
      </c>
      <c r="I108" s="49">
        <v>13.6</v>
      </c>
      <c r="J108" s="49">
        <v>0</v>
      </c>
      <c r="K108" s="49">
        <v>13.6</v>
      </c>
      <c r="L108" s="49">
        <v>0</v>
      </c>
      <c r="M108" s="49">
        <v>13.6</v>
      </c>
      <c r="N108" s="49">
        <v>0</v>
      </c>
      <c r="P108" s="131">
        <v>13.6</v>
      </c>
      <c r="AD108" s="65">
        <v>13.6</v>
      </c>
      <c r="AE108" s="65">
        <v>0</v>
      </c>
      <c r="AF108" s="65">
        <v>13.6</v>
      </c>
      <c r="AG108" s="65">
        <v>0</v>
      </c>
      <c r="AH108" s="65">
        <v>13.6</v>
      </c>
      <c r="AJ108" s="132">
        <v>13.6</v>
      </c>
    </row>
    <row r="109" spans="1:36" s="130" customFormat="1" ht="23.4" customHeight="1">
      <c r="A109" s="189" t="s">
        <v>19</v>
      </c>
      <c r="B109" s="189"/>
      <c r="C109" s="189"/>
      <c r="D109" s="189"/>
      <c r="E109" s="40">
        <v>4</v>
      </c>
      <c r="F109" s="40">
        <v>0</v>
      </c>
      <c r="G109" s="41"/>
      <c r="H109" s="42"/>
      <c r="I109" s="43">
        <f>I110+I119+I125+I131+I137</f>
        <v>14007.4</v>
      </c>
      <c r="J109" s="43">
        <v>0</v>
      </c>
      <c r="K109" s="43">
        <v>9699</v>
      </c>
      <c r="L109" s="43">
        <v>0</v>
      </c>
      <c r="M109" s="43">
        <v>10179</v>
      </c>
      <c r="N109" s="43">
        <v>0</v>
      </c>
      <c r="P109" s="131">
        <v>9633.9820000000018</v>
      </c>
      <c r="AD109" s="63">
        <v>17693.100000000002</v>
      </c>
      <c r="AE109" s="63">
        <v>0</v>
      </c>
      <c r="AF109" s="63">
        <v>9285.6044000000002</v>
      </c>
      <c r="AG109" s="63">
        <v>0</v>
      </c>
      <c r="AH109" s="63">
        <v>9742.7044000000005</v>
      </c>
      <c r="AJ109" s="132">
        <v>9699</v>
      </c>
    </row>
    <row r="110" spans="1:36" s="130" customFormat="1" ht="19.2" customHeight="1">
      <c r="A110" s="189" t="s">
        <v>106</v>
      </c>
      <c r="B110" s="189"/>
      <c r="C110" s="189"/>
      <c r="D110" s="189"/>
      <c r="E110" s="40">
        <v>4</v>
      </c>
      <c r="F110" s="40">
        <v>1</v>
      </c>
      <c r="G110" s="41"/>
      <c r="H110" s="42"/>
      <c r="I110" s="43">
        <f>I111</f>
        <v>719.9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P110" s="131">
        <v>347.5</v>
      </c>
      <c r="AD110" s="63">
        <v>580.1</v>
      </c>
      <c r="AE110" s="63">
        <v>0</v>
      </c>
      <c r="AF110" s="63">
        <v>0</v>
      </c>
      <c r="AG110" s="63">
        <v>0</v>
      </c>
      <c r="AH110" s="63">
        <v>0</v>
      </c>
      <c r="AJ110" s="132">
        <v>0</v>
      </c>
    </row>
    <row r="111" spans="1:36" s="124" customFormat="1" ht="33.6" customHeight="1">
      <c r="A111" s="209" t="s">
        <v>313</v>
      </c>
      <c r="B111" s="210"/>
      <c r="C111" s="210"/>
      <c r="D111" s="211"/>
      <c r="E111" s="47">
        <v>4</v>
      </c>
      <c r="F111" s="47">
        <v>1</v>
      </c>
      <c r="G111" s="51" t="s">
        <v>54</v>
      </c>
      <c r="H111" s="48">
        <v>0</v>
      </c>
      <c r="I111" s="53">
        <f>I112</f>
        <v>719.9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P111" s="125">
        <v>347.5</v>
      </c>
      <c r="AD111" s="66">
        <v>580.1</v>
      </c>
      <c r="AE111" s="66">
        <v>0</v>
      </c>
      <c r="AF111" s="66">
        <v>0</v>
      </c>
      <c r="AG111" s="66">
        <v>0</v>
      </c>
      <c r="AH111" s="66">
        <v>0</v>
      </c>
      <c r="AJ111" s="129">
        <v>0</v>
      </c>
    </row>
    <row r="112" spans="1:36" s="124" customFormat="1" ht="45.6" customHeight="1">
      <c r="A112" s="212" t="s">
        <v>137</v>
      </c>
      <c r="B112" s="213"/>
      <c r="C112" s="213"/>
      <c r="D112" s="214"/>
      <c r="E112" s="47">
        <v>4</v>
      </c>
      <c r="F112" s="47">
        <v>1</v>
      </c>
      <c r="G112" s="31" t="s">
        <v>295</v>
      </c>
      <c r="H112" s="48">
        <v>0</v>
      </c>
      <c r="I112" s="49">
        <f>I113+I116</f>
        <v>719.9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P112" s="125">
        <v>347.5</v>
      </c>
      <c r="AD112" s="65">
        <v>580.1</v>
      </c>
      <c r="AE112" s="65">
        <v>0</v>
      </c>
      <c r="AF112" s="65">
        <v>0</v>
      </c>
      <c r="AG112" s="65">
        <v>0</v>
      </c>
      <c r="AH112" s="65">
        <v>0</v>
      </c>
      <c r="AJ112" s="129">
        <v>0</v>
      </c>
    </row>
    <row r="113" spans="1:36" s="124" customFormat="1" ht="52.2" customHeight="1">
      <c r="A113" s="209" t="s">
        <v>373</v>
      </c>
      <c r="B113" s="210"/>
      <c r="C113" s="210"/>
      <c r="D113" s="211"/>
      <c r="E113" s="47">
        <v>4</v>
      </c>
      <c r="F113" s="47">
        <v>1</v>
      </c>
      <c r="G113" s="31" t="s">
        <v>296</v>
      </c>
      <c r="H113" s="48" t="s">
        <v>31</v>
      </c>
      <c r="I113" s="49">
        <f>I114</f>
        <v>585.9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P113" s="125">
        <v>347.5</v>
      </c>
      <c r="AD113" s="65">
        <v>580.1</v>
      </c>
      <c r="AE113" s="65">
        <v>0</v>
      </c>
      <c r="AF113" s="65">
        <v>0</v>
      </c>
      <c r="AG113" s="65">
        <v>0</v>
      </c>
      <c r="AH113" s="65">
        <v>0</v>
      </c>
      <c r="AJ113" s="129">
        <v>0</v>
      </c>
    </row>
    <row r="114" spans="1:36" s="124" customFormat="1" ht="61.2" customHeight="1">
      <c r="A114" s="209" t="s">
        <v>51</v>
      </c>
      <c r="B114" s="210"/>
      <c r="C114" s="210"/>
      <c r="D114" s="211"/>
      <c r="E114" s="47">
        <v>4</v>
      </c>
      <c r="F114" s="47">
        <v>1</v>
      </c>
      <c r="G114" s="31" t="s">
        <v>296</v>
      </c>
      <c r="H114" s="48" t="s">
        <v>41</v>
      </c>
      <c r="I114" s="49">
        <f>I115</f>
        <v>585.9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P114" s="125">
        <v>347.5</v>
      </c>
      <c r="AD114" s="65">
        <v>580.1</v>
      </c>
      <c r="AE114" s="65">
        <v>0</v>
      </c>
      <c r="AF114" s="65">
        <v>0</v>
      </c>
      <c r="AG114" s="65">
        <v>0</v>
      </c>
      <c r="AH114" s="65">
        <v>0</v>
      </c>
      <c r="AJ114" s="129">
        <v>0</v>
      </c>
    </row>
    <row r="115" spans="1:36" s="124" customFormat="1" ht="24" customHeight="1">
      <c r="A115" s="209" t="s">
        <v>52</v>
      </c>
      <c r="B115" s="210"/>
      <c r="C115" s="210"/>
      <c r="D115" s="211"/>
      <c r="E115" s="47">
        <v>4</v>
      </c>
      <c r="F115" s="47">
        <v>1</v>
      </c>
      <c r="G115" s="31" t="s">
        <v>296</v>
      </c>
      <c r="H115" s="48" t="s">
        <v>43</v>
      </c>
      <c r="I115" s="49">
        <f>585.9</f>
        <v>585.9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P115" s="125">
        <v>347.5</v>
      </c>
      <c r="AD115" s="65">
        <v>580.1</v>
      </c>
      <c r="AE115" s="65">
        <v>0</v>
      </c>
      <c r="AF115" s="65">
        <v>0</v>
      </c>
      <c r="AG115" s="65">
        <v>0</v>
      </c>
      <c r="AH115" s="65">
        <v>0</v>
      </c>
      <c r="AJ115" s="129">
        <v>0</v>
      </c>
    </row>
    <row r="116" spans="1:36" s="124" customFormat="1" ht="52.2" customHeight="1">
      <c r="A116" s="209" t="s">
        <v>373</v>
      </c>
      <c r="B116" s="210"/>
      <c r="C116" s="210"/>
      <c r="D116" s="211"/>
      <c r="E116" s="47">
        <v>4</v>
      </c>
      <c r="F116" s="47">
        <v>1</v>
      </c>
      <c r="G116" s="31" t="s">
        <v>297</v>
      </c>
      <c r="H116" s="48" t="s">
        <v>31</v>
      </c>
      <c r="I116" s="49">
        <f>I117</f>
        <v>134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P116" s="125">
        <v>347.5</v>
      </c>
      <c r="AD116" s="65">
        <v>580.1</v>
      </c>
      <c r="AE116" s="65">
        <v>0</v>
      </c>
      <c r="AF116" s="65">
        <v>0</v>
      </c>
      <c r="AG116" s="65">
        <v>0</v>
      </c>
      <c r="AH116" s="65">
        <v>0</v>
      </c>
      <c r="AJ116" s="129">
        <v>0</v>
      </c>
    </row>
    <row r="117" spans="1:36" s="124" customFormat="1" ht="61.2" customHeight="1">
      <c r="A117" s="209" t="s">
        <v>51</v>
      </c>
      <c r="B117" s="210"/>
      <c r="C117" s="210"/>
      <c r="D117" s="211"/>
      <c r="E117" s="47">
        <v>4</v>
      </c>
      <c r="F117" s="47">
        <v>1</v>
      </c>
      <c r="G117" s="31" t="s">
        <v>297</v>
      </c>
      <c r="H117" s="48" t="s">
        <v>41</v>
      </c>
      <c r="I117" s="49">
        <f>I118</f>
        <v>134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P117" s="125">
        <v>347.5</v>
      </c>
      <c r="AD117" s="65">
        <v>580.1</v>
      </c>
      <c r="AE117" s="65">
        <v>0</v>
      </c>
      <c r="AF117" s="65">
        <v>0</v>
      </c>
      <c r="AG117" s="65">
        <v>0</v>
      </c>
      <c r="AH117" s="65">
        <v>0</v>
      </c>
      <c r="AJ117" s="129">
        <v>0</v>
      </c>
    </row>
    <row r="118" spans="1:36" s="124" customFormat="1" ht="24" customHeight="1">
      <c r="A118" s="209" t="s">
        <v>52</v>
      </c>
      <c r="B118" s="210"/>
      <c r="C118" s="210"/>
      <c r="D118" s="211"/>
      <c r="E118" s="47">
        <v>4</v>
      </c>
      <c r="F118" s="47">
        <v>1</v>
      </c>
      <c r="G118" s="31" t="s">
        <v>297</v>
      </c>
      <c r="H118" s="48" t="s">
        <v>43</v>
      </c>
      <c r="I118" s="49">
        <v>134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P118" s="125">
        <v>347.5</v>
      </c>
      <c r="AD118" s="65">
        <v>580.1</v>
      </c>
      <c r="AE118" s="65">
        <v>0</v>
      </c>
      <c r="AF118" s="65">
        <v>0</v>
      </c>
      <c r="AG118" s="65">
        <v>0</v>
      </c>
      <c r="AH118" s="65">
        <v>0</v>
      </c>
      <c r="AJ118" s="129">
        <v>0</v>
      </c>
    </row>
    <row r="119" spans="1:36" s="124" customFormat="1" ht="13.2" customHeight="1">
      <c r="A119" s="216" t="s">
        <v>167</v>
      </c>
      <c r="B119" s="217"/>
      <c r="C119" s="217"/>
      <c r="D119" s="218"/>
      <c r="E119" s="40">
        <v>4</v>
      </c>
      <c r="F119" s="55">
        <v>5</v>
      </c>
      <c r="G119" s="56"/>
      <c r="H119" s="42"/>
      <c r="I119" s="43">
        <v>100</v>
      </c>
      <c r="J119" s="43">
        <v>0</v>
      </c>
      <c r="K119" s="43">
        <v>100</v>
      </c>
      <c r="L119" s="43">
        <v>0</v>
      </c>
      <c r="M119" s="43">
        <v>100</v>
      </c>
      <c r="N119" s="43">
        <v>0</v>
      </c>
      <c r="P119" s="125">
        <v>57.28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J119" s="129">
        <v>100</v>
      </c>
    </row>
    <row r="120" spans="1:36" s="124" customFormat="1" ht="42.6" customHeight="1">
      <c r="A120" s="219" t="s">
        <v>111</v>
      </c>
      <c r="B120" s="220" t="s">
        <v>111</v>
      </c>
      <c r="C120" s="220" t="s">
        <v>111</v>
      </c>
      <c r="D120" s="221" t="s">
        <v>111</v>
      </c>
      <c r="E120" s="40">
        <v>4</v>
      </c>
      <c r="F120" s="40">
        <v>5</v>
      </c>
      <c r="G120" s="57" t="s">
        <v>66</v>
      </c>
      <c r="H120" s="52"/>
      <c r="I120" s="53">
        <v>100</v>
      </c>
      <c r="J120" s="53">
        <v>0</v>
      </c>
      <c r="K120" s="53">
        <v>100</v>
      </c>
      <c r="L120" s="53">
        <v>0</v>
      </c>
      <c r="M120" s="53">
        <v>100</v>
      </c>
      <c r="N120" s="53">
        <v>0</v>
      </c>
      <c r="P120" s="125">
        <v>57.28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J120" s="129">
        <v>100</v>
      </c>
    </row>
    <row r="121" spans="1:36" s="124" customFormat="1" ht="66" customHeight="1">
      <c r="A121" s="222" t="s">
        <v>380</v>
      </c>
      <c r="B121" s="223" t="s">
        <v>133</v>
      </c>
      <c r="C121" s="223" t="s">
        <v>133</v>
      </c>
      <c r="D121" s="224" t="s">
        <v>133</v>
      </c>
      <c r="E121" s="47">
        <v>4</v>
      </c>
      <c r="F121" s="47">
        <v>5</v>
      </c>
      <c r="G121" s="58" t="s">
        <v>130</v>
      </c>
      <c r="H121" s="48">
        <v>0</v>
      </c>
      <c r="I121" s="49">
        <v>100</v>
      </c>
      <c r="J121" s="49">
        <v>0</v>
      </c>
      <c r="K121" s="49">
        <v>100</v>
      </c>
      <c r="L121" s="49">
        <v>0</v>
      </c>
      <c r="M121" s="49">
        <v>100</v>
      </c>
      <c r="N121" s="49">
        <v>0</v>
      </c>
      <c r="P121" s="125">
        <v>57.28</v>
      </c>
      <c r="AD121" s="65">
        <v>0</v>
      </c>
      <c r="AE121" s="65">
        <v>0</v>
      </c>
      <c r="AF121" s="65">
        <v>0</v>
      </c>
      <c r="AG121" s="65">
        <v>0</v>
      </c>
      <c r="AH121" s="65">
        <v>0</v>
      </c>
      <c r="AJ121" s="129">
        <v>100</v>
      </c>
    </row>
    <row r="122" spans="1:36" s="124" customFormat="1" ht="29.4" customHeight="1">
      <c r="A122" s="222" t="s">
        <v>391</v>
      </c>
      <c r="B122" s="223"/>
      <c r="C122" s="223"/>
      <c r="D122" s="224"/>
      <c r="E122" s="47">
        <v>4</v>
      </c>
      <c r="F122" s="47">
        <v>5</v>
      </c>
      <c r="G122" s="142" t="s">
        <v>314</v>
      </c>
      <c r="H122" s="48">
        <v>0</v>
      </c>
      <c r="I122" s="49">
        <v>100</v>
      </c>
      <c r="J122" s="49">
        <v>0</v>
      </c>
      <c r="K122" s="49">
        <v>100</v>
      </c>
      <c r="L122" s="49">
        <v>0</v>
      </c>
      <c r="M122" s="49">
        <v>100</v>
      </c>
      <c r="N122" s="49">
        <v>0</v>
      </c>
      <c r="P122" s="125">
        <v>57.28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J122" s="129">
        <v>100</v>
      </c>
    </row>
    <row r="123" spans="1:36" s="124" customFormat="1" ht="33" customHeight="1">
      <c r="A123" s="186" t="s">
        <v>44</v>
      </c>
      <c r="B123" s="187"/>
      <c r="C123" s="187"/>
      <c r="D123" s="187"/>
      <c r="E123" s="47">
        <v>4</v>
      </c>
      <c r="F123" s="47">
        <v>5</v>
      </c>
      <c r="G123" s="142" t="s">
        <v>314</v>
      </c>
      <c r="H123" s="48">
        <v>200</v>
      </c>
      <c r="I123" s="49">
        <v>100</v>
      </c>
      <c r="J123" s="49">
        <v>0</v>
      </c>
      <c r="K123" s="49">
        <v>100</v>
      </c>
      <c r="L123" s="49">
        <v>0</v>
      </c>
      <c r="M123" s="49">
        <v>100</v>
      </c>
      <c r="N123" s="49">
        <v>0</v>
      </c>
      <c r="P123" s="125">
        <v>57.28</v>
      </c>
      <c r="AD123" s="65">
        <v>0</v>
      </c>
      <c r="AE123" s="65">
        <v>0</v>
      </c>
      <c r="AF123" s="65">
        <v>0</v>
      </c>
      <c r="AG123" s="65">
        <v>0</v>
      </c>
      <c r="AH123" s="65">
        <v>0</v>
      </c>
      <c r="AJ123" s="129">
        <v>100</v>
      </c>
    </row>
    <row r="124" spans="1:36" s="124" customFormat="1" ht="36.6" customHeight="1">
      <c r="A124" s="186" t="s">
        <v>46</v>
      </c>
      <c r="B124" s="187"/>
      <c r="C124" s="187"/>
      <c r="D124" s="187"/>
      <c r="E124" s="47">
        <v>4</v>
      </c>
      <c r="F124" s="47">
        <v>5</v>
      </c>
      <c r="G124" s="142" t="s">
        <v>314</v>
      </c>
      <c r="H124" s="48">
        <v>240</v>
      </c>
      <c r="I124" s="49">
        <v>100</v>
      </c>
      <c r="J124" s="49">
        <v>0</v>
      </c>
      <c r="K124" s="49">
        <v>100</v>
      </c>
      <c r="L124" s="49">
        <v>0</v>
      </c>
      <c r="M124" s="49">
        <v>100</v>
      </c>
      <c r="N124" s="49">
        <v>0</v>
      </c>
      <c r="P124" s="125">
        <v>57.28</v>
      </c>
      <c r="AD124" s="65">
        <v>0</v>
      </c>
      <c r="AE124" s="65">
        <v>0</v>
      </c>
      <c r="AF124" s="65">
        <v>0</v>
      </c>
      <c r="AG124" s="65">
        <v>0</v>
      </c>
      <c r="AH124" s="65">
        <v>0</v>
      </c>
      <c r="AJ124" s="129">
        <v>100</v>
      </c>
    </row>
    <row r="125" spans="1:36" s="124" customFormat="1" ht="19.2" customHeight="1">
      <c r="A125" s="189" t="s">
        <v>0</v>
      </c>
      <c r="B125" s="189"/>
      <c r="C125" s="189"/>
      <c r="D125" s="189"/>
      <c r="E125" s="40">
        <v>4</v>
      </c>
      <c r="F125" s="40">
        <v>9</v>
      </c>
      <c r="G125" s="41"/>
      <c r="H125" s="42"/>
      <c r="I125" s="43">
        <v>9667.7000000000007</v>
      </c>
      <c r="J125" s="43">
        <v>0</v>
      </c>
      <c r="K125" s="43">
        <v>9599</v>
      </c>
      <c r="L125" s="43">
        <v>0</v>
      </c>
      <c r="M125" s="43">
        <v>10079</v>
      </c>
      <c r="N125" s="43">
        <v>0</v>
      </c>
      <c r="P125" s="125">
        <v>8740.1</v>
      </c>
      <c r="AD125" s="63">
        <v>14369.3</v>
      </c>
      <c r="AE125" s="63">
        <v>0</v>
      </c>
      <c r="AF125" s="63">
        <v>9141.9</v>
      </c>
      <c r="AG125" s="63">
        <v>0</v>
      </c>
      <c r="AH125" s="63">
        <v>9599</v>
      </c>
      <c r="AJ125" s="129">
        <v>9599</v>
      </c>
    </row>
    <row r="126" spans="1:36" s="124" customFormat="1" ht="28.2" customHeight="1">
      <c r="A126" s="190" t="s">
        <v>113</v>
      </c>
      <c r="B126" s="190"/>
      <c r="C126" s="190"/>
      <c r="D126" s="190"/>
      <c r="E126" s="50">
        <v>4</v>
      </c>
      <c r="F126" s="50">
        <v>9</v>
      </c>
      <c r="G126" s="51" t="s">
        <v>62</v>
      </c>
      <c r="H126" s="48">
        <v>0</v>
      </c>
      <c r="I126" s="53">
        <v>9667.7000000000007</v>
      </c>
      <c r="J126" s="53">
        <v>0</v>
      </c>
      <c r="K126" s="53">
        <v>9599</v>
      </c>
      <c r="L126" s="53">
        <v>0</v>
      </c>
      <c r="M126" s="53">
        <v>10079</v>
      </c>
      <c r="N126" s="53">
        <v>0</v>
      </c>
      <c r="P126" s="125">
        <v>8740.1</v>
      </c>
      <c r="AD126" s="66">
        <v>14369.3</v>
      </c>
      <c r="AE126" s="66">
        <v>0</v>
      </c>
      <c r="AF126" s="66">
        <v>9141.9</v>
      </c>
      <c r="AG126" s="66">
        <v>0</v>
      </c>
      <c r="AH126" s="66">
        <v>9599</v>
      </c>
      <c r="AJ126" s="129">
        <v>9599</v>
      </c>
    </row>
    <row r="127" spans="1:36" s="124" customFormat="1" ht="45.6" customHeight="1">
      <c r="A127" s="188" t="s">
        <v>164</v>
      </c>
      <c r="B127" s="215"/>
      <c r="C127" s="215"/>
      <c r="D127" s="215"/>
      <c r="E127" s="47">
        <v>4</v>
      </c>
      <c r="F127" s="47">
        <v>9</v>
      </c>
      <c r="G127" s="31" t="s">
        <v>127</v>
      </c>
      <c r="H127" s="48">
        <v>0</v>
      </c>
      <c r="I127" s="49">
        <v>9667.7000000000007</v>
      </c>
      <c r="J127" s="49">
        <v>0</v>
      </c>
      <c r="K127" s="49">
        <v>9599</v>
      </c>
      <c r="L127" s="49">
        <v>0</v>
      </c>
      <c r="M127" s="49">
        <v>10079</v>
      </c>
      <c r="N127" s="49">
        <v>0</v>
      </c>
      <c r="P127" s="125">
        <v>8740.1</v>
      </c>
      <c r="AD127" s="65">
        <v>14369.3</v>
      </c>
      <c r="AE127" s="65">
        <v>0</v>
      </c>
      <c r="AF127" s="65">
        <v>9141.9</v>
      </c>
      <c r="AG127" s="65">
        <v>0</v>
      </c>
      <c r="AH127" s="65">
        <v>9599</v>
      </c>
      <c r="AJ127" s="129">
        <v>9599</v>
      </c>
    </row>
    <row r="128" spans="1:36" s="124" customFormat="1" ht="40.200000000000003" customHeight="1">
      <c r="A128" s="188" t="s">
        <v>392</v>
      </c>
      <c r="B128" s="215"/>
      <c r="C128" s="215"/>
      <c r="D128" s="215"/>
      <c r="E128" s="47">
        <v>4</v>
      </c>
      <c r="F128" s="47">
        <v>9</v>
      </c>
      <c r="G128" s="31" t="s">
        <v>63</v>
      </c>
      <c r="H128" s="48">
        <v>0</v>
      </c>
      <c r="I128" s="49">
        <v>9667.7000000000007</v>
      </c>
      <c r="J128" s="49">
        <v>0</v>
      </c>
      <c r="K128" s="49">
        <v>9599</v>
      </c>
      <c r="L128" s="49">
        <v>0</v>
      </c>
      <c r="M128" s="49">
        <v>10079</v>
      </c>
      <c r="N128" s="49">
        <v>0</v>
      </c>
      <c r="P128" s="125">
        <v>8740.1</v>
      </c>
      <c r="AD128" s="65">
        <v>14369.3</v>
      </c>
      <c r="AE128" s="65">
        <v>0</v>
      </c>
      <c r="AF128" s="65">
        <v>9141.9</v>
      </c>
      <c r="AG128" s="65">
        <v>0</v>
      </c>
      <c r="AH128" s="65">
        <v>9599</v>
      </c>
      <c r="AJ128" s="129">
        <v>9599</v>
      </c>
    </row>
    <row r="129" spans="1:36" s="124" customFormat="1" ht="31.2" customHeight="1">
      <c r="A129" s="186" t="s">
        <v>44</v>
      </c>
      <c r="B129" s="187"/>
      <c r="C129" s="187"/>
      <c r="D129" s="187"/>
      <c r="E129" s="47">
        <v>4</v>
      </c>
      <c r="F129" s="47">
        <v>9</v>
      </c>
      <c r="G129" s="31" t="s">
        <v>63</v>
      </c>
      <c r="H129" s="48">
        <v>200</v>
      </c>
      <c r="I129" s="49">
        <v>9667.7000000000007</v>
      </c>
      <c r="J129" s="49">
        <v>0</v>
      </c>
      <c r="K129" s="49">
        <v>9599</v>
      </c>
      <c r="L129" s="49">
        <v>0</v>
      </c>
      <c r="M129" s="49">
        <v>10079</v>
      </c>
      <c r="N129" s="49">
        <v>0</v>
      </c>
      <c r="P129" s="125">
        <v>8740.1</v>
      </c>
      <c r="AD129" s="65">
        <v>14369.3</v>
      </c>
      <c r="AE129" s="65">
        <v>0</v>
      </c>
      <c r="AF129" s="65">
        <v>9141.9</v>
      </c>
      <c r="AG129" s="65">
        <v>0</v>
      </c>
      <c r="AH129" s="65">
        <v>9599</v>
      </c>
      <c r="AJ129" s="129">
        <v>9599</v>
      </c>
    </row>
    <row r="130" spans="1:36" s="124" customFormat="1" ht="39" customHeight="1">
      <c r="A130" s="186" t="s">
        <v>46</v>
      </c>
      <c r="B130" s="187"/>
      <c r="C130" s="187"/>
      <c r="D130" s="187"/>
      <c r="E130" s="47">
        <v>4</v>
      </c>
      <c r="F130" s="47">
        <v>9</v>
      </c>
      <c r="G130" s="31" t="s">
        <v>63</v>
      </c>
      <c r="H130" s="48">
        <v>240</v>
      </c>
      <c r="I130" s="49">
        <v>9667.7000000000007</v>
      </c>
      <c r="J130" s="49">
        <v>0</v>
      </c>
      <c r="K130" s="49">
        <v>9599</v>
      </c>
      <c r="L130" s="49">
        <v>0</v>
      </c>
      <c r="M130" s="49">
        <v>10079</v>
      </c>
      <c r="N130" s="49">
        <v>0</v>
      </c>
      <c r="P130" s="125">
        <v>8740.1</v>
      </c>
      <c r="AD130" s="65">
        <v>14369.3</v>
      </c>
      <c r="AE130" s="65">
        <v>0</v>
      </c>
      <c r="AF130" s="65">
        <v>9141.9</v>
      </c>
      <c r="AG130" s="65">
        <v>0</v>
      </c>
      <c r="AH130" s="65">
        <v>9599</v>
      </c>
      <c r="AJ130" s="129">
        <v>9599</v>
      </c>
    </row>
    <row r="131" spans="1:36" s="124" customFormat="1" ht="21.6" customHeight="1">
      <c r="A131" s="216" t="s">
        <v>98</v>
      </c>
      <c r="B131" s="217"/>
      <c r="C131" s="217"/>
      <c r="D131" s="218"/>
      <c r="E131" s="40">
        <v>4</v>
      </c>
      <c r="F131" s="55">
        <v>10</v>
      </c>
      <c r="G131" s="56"/>
      <c r="H131" s="42"/>
      <c r="I131" s="43">
        <v>119.8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P131" s="125">
        <v>155.20000000000002</v>
      </c>
      <c r="AD131" s="63">
        <v>143.69999999999999</v>
      </c>
      <c r="AE131" s="63">
        <v>0</v>
      </c>
      <c r="AF131" s="63">
        <v>143.70439999999999</v>
      </c>
      <c r="AG131" s="63">
        <v>0</v>
      </c>
      <c r="AH131" s="63">
        <v>143.70439999999999</v>
      </c>
      <c r="AJ131" s="129">
        <v>0</v>
      </c>
    </row>
    <row r="132" spans="1:36" s="124" customFormat="1" ht="28.2" customHeight="1">
      <c r="A132" s="219" t="s">
        <v>162</v>
      </c>
      <c r="B132" s="220"/>
      <c r="C132" s="220"/>
      <c r="D132" s="221"/>
      <c r="E132" s="40">
        <v>4</v>
      </c>
      <c r="F132" s="40">
        <v>10</v>
      </c>
      <c r="G132" s="57" t="s">
        <v>160</v>
      </c>
      <c r="H132" s="48">
        <v>0</v>
      </c>
      <c r="I132" s="53">
        <v>119.8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P132" s="125">
        <v>155.20000000000002</v>
      </c>
      <c r="AD132" s="66">
        <v>143.69999999999999</v>
      </c>
      <c r="AE132" s="66">
        <v>0</v>
      </c>
      <c r="AF132" s="66">
        <v>143.70439999999999</v>
      </c>
      <c r="AG132" s="66">
        <v>0</v>
      </c>
      <c r="AH132" s="66">
        <v>143.70439999999999</v>
      </c>
      <c r="AJ132" s="129">
        <v>0</v>
      </c>
    </row>
    <row r="133" spans="1:36" s="124" customFormat="1" ht="33.6" customHeight="1">
      <c r="A133" s="222" t="s">
        <v>165</v>
      </c>
      <c r="B133" s="223"/>
      <c r="C133" s="223"/>
      <c r="D133" s="224"/>
      <c r="E133" s="47">
        <v>4</v>
      </c>
      <c r="F133" s="47">
        <v>10</v>
      </c>
      <c r="G133" s="58" t="s">
        <v>169</v>
      </c>
      <c r="H133" s="48">
        <v>0</v>
      </c>
      <c r="I133" s="49">
        <v>119.8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P133" s="125">
        <v>155.20000000000002</v>
      </c>
      <c r="AD133" s="65">
        <v>143.69999999999999</v>
      </c>
      <c r="AE133" s="65">
        <v>0</v>
      </c>
      <c r="AF133" s="65">
        <v>143.70439999999999</v>
      </c>
      <c r="AG133" s="65">
        <v>0</v>
      </c>
      <c r="AH133" s="65">
        <v>143.70439999999999</v>
      </c>
      <c r="AJ133" s="129">
        <v>0</v>
      </c>
    </row>
    <row r="134" spans="1:36" s="124" customFormat="1" ht="68.400000000000006" customHeight="1">
      <c r="A134" s="222" t="s">
        <v>393</v>
      </c>
      <c r="B134" s="223"/>
      <c r="C134" s="223"/>
      <c r="D134" s="224"/>
      <c r="E134" s="47">
        <v>4</v>
      </c>
      <c r="F134" s="47">
        <v>10</v>
      </c>
      <c r="G134" s="58" t="s">
        <v>161</v>
      </c>
      <c r="H134" s="48">
        <v>0</v>
      </c>
      <c r="I134" s="49">
        <v>119.8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P134" s="125">
        <v>155.20000000000002</v>
      </c>
      <c r="AD134" s="65">
        <v>143.69999999999999</v>
      </c>
      <c r="AE134" s="65">
        <v>0</v>
      </c>
      <c r="AF134" s="65">
        <v>143.70439999999999</v>
      </c>
      <c r="AG134" s="65">
        <v>0</v>
      </c>
      <c r="AH134" s="65">
        <v>143.70439999999999</v>
      </c>
      <c r="AJ134" s="129">
        <v>0</v>
      </c>
    </row>
    <row r="135" spans="1:36" s="124" customFormat="1" ht="18" customHeight="1">
      <c r="A135" s="228" t="s">
        <v>36</v>
      </c>
      <c r="B135" s="229"/>
      <c r="C135" s="229"/>
      <c r="D135" s="230"/>
      <c r="E135" s="47">
        <v>4</v>
      </c>
      <c r="F135" s="47">
        <v>10</v>
      </c>
      <c r="G135" s="58" t="s">
        <v>161</v>
      </c>
      <c r="H135" s="48">
        <v>800</v>
      </c>
      <c r="I135" s="49">
        <v>119.8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P135" s="125">
        <v>155.20000000000002</v>
      </c>
      <c r="AD135" s="65">
        <v>143.69999999999999</v>
      </c>
      <c r="AE135" s="65">
        <v>0</v>
      </c>
      <c r="AF135" s="65">
        <v>143.70439999999999</v>
      </c>
      <c r="AG135" s="65">
        <v>0</v>
      </c>
      <c r="AH135" s="65">
        <v>143.70439999999999</v>
      </c>
      <c r="AJ135" s="129">
        <v>0</v>
      </c>
    </row>
    <row r="136" spans="1:36" s="124" customFormat="1" ht="39" customHeight="1">
      <c r="A136" s="188" t="s">
        <v>171</v>
      </c>
      <c r="B136" s="200" t="s">
        <v>67</v>
      </c>
      <c r="C136" s="200" t="s">
        <v>67</v>
      </c>
      <c r="D136" s="200" t="s">
        <v>67</v>
      </c>
      <c r="E136" s="47">
        <v>4</v>
      </c>
      <c r="F136" s="47">
        <v>10</v>
      </c>
      <c r="G136" s="58" t="s">
        <v>161</v>
      </c>
      <c r="H136" s="48">
        <v>810</v>
      </c>
      <c r="I136" s="49">
        <v>119.8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P136" s="125">
        <v>155.20000000000002</v>
      </c>
      <c r="AD136" s="65">
        <v>143.69999999999999</v>
      </c>
      <c r="AE136" s="65">
        <v>0</v>
      </c>
      <c r="AF136" s="65">
        <v>143.70439999999999</v>
      </c>
      <c r="AG136" s="65">
        <v>0</v>
      </c>
      <c r="AH136" s="65">
        <v>143.70439999999999</v>
      </c>
      <c r="AJ136" s="129">
        <v>0</v>
      </c>
    </row>
    <row r="137" spans="1:36" s="124" customFormat="1" ht="22.95" customHeight="1">
      <c r="A137" s="225" t="s">
        <v>22</v>
      </c>
      <c r="B137" s="226"/>
      <c r="C137" s="226"/>
      <c r="D137" s="227"/>
      <c r="E137" s="40">
        <v>4</v>
      </c>
      <c r="F137" s="40">
        <v>12</v>
      </c>
      <c r="G137" s="59"/>
      <c r="H137" s="42"/>
      <c r="I137" s="43">
        <v>3400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P137" s="125">
        <v>333.90199999999999</v>
      </c>
      <c r="AD137" s="63">
        <v>2600</v>
      </c>
      <c r="AE137" s="63">
        <v>0</v>
      </c>
      <c r="AF137" s="63">
        <v>0</v>
      </c>
      <c r="AG137" s="63">
        <v>0</v>
      </c>
      <c r="AH137" s="63">
        <v>0</v>
      </c>
      <c r="AJ137" s="129">
        <v>0</v>
      </c>
    </row>
    <row r="138" spans="1:36" s="124" customFormat="1" ht="31.2" customHeight="1">
      <c r="A138" s="212" t="s">
        <v>124</v>
      </c>
      <c r="B138" s="213"/>
      <c r="C138" s="213"/>
      <c r="D138" s="214"/>
      <c r="E138" s="50">
        <v>4</v>
      </c>
      <c r="F138" s="50">
        <v>12</v>
      </c>
      <c r="G138" s="60" t="s">
        <v>30</v>
      </c>
      <c r="H138" s="48">
        <v>0</v>
      </c>
      <c r="I138" s="53">
        <v>3400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P138" s="125">
        <v>333.90199999999999</v>
      </c>
      <c r="AD138" s="66">
        <v>2600</v>
      </c>
      <c r="AE138" s="66">
        <v>0</v>
      </c>
      <c r="AF138" s="66">
        <v>0</v>
      </c>
      <c r="AG138" s="66">
        <v>0</v>
      </c>
      <c r="AH138" s="66">
        <v>0</v>
      </c>
      <c r="AJ138" s="129">
        <v>0</v>
      </c>
    </row>
    <row r="139" spans="1:36" s="124" customFormat="1" ht="35.4" customHeight="1">
      <c r="A139" s="209" t="s">
        <v>123</v>
      </c>
      <c r="B139" s="210"/>
      <c r="C139" s="210"/>
      <c r="D139" s="211"/>
      <c r="E139" s="47">
        <v>4</v>
      </c>
      <c r="F139" s="47">
        <v>12</v>
      </c>
      <c r="G139" s="54" t="s">
        <v>118</v>
      </c>
      <c r="H139" s="48">
        <v>0</v>
      </c>
      <c r="I139" s="49">
        <v>3400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P139" s="125">
        <v>333.90199999999999</v>
      </c>
      <c r="AD139" s="65">
        <v>2600</v>
      </c>
      <c r="AE139" s="65">
        <v>0</v>
      </c>
      <c r="AF139" s="65">
        <v>0</v>
      </c>
      <c r="AG139" s="65">
        <v>0</v>
      </c>
      <c r="AH139" s="65">
        <v>0</v>
      </c>
      <c r="AJ139" s="129">
        <v>0</v>
      </c>
    </row>
    <row r="140" spans="1:36" s="124" customFormat="1" ht="31.8" customHeight="1">
      <c r="A140" s="209" t="s">
        <v>394</v>
      </c>
      <c r="B140" s="210"/>
      <c r="C140" s="210"/>
      <c r="D140" s="211"/>
      <c r="E140" s="47">
        <v>4</v>
      </c>
      <c r="F140" s="47">
        <v>12</v>
      </c>
      <c r="G140" s="54" t="s">
        <v>157</v>
      </c>
      <c r="H140" s="48">
        <v>0</v>
      </c>
      <c r="I140" s="49">
        <v>3400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P140" s="125">
        <v>333.90199999999999</v>
      </c>
      <c r="AD140" s="65">
        <v>2600</v>
      </c>
      <c r="AE140" s="65">
        <v>0</v>
      </c>
      <c r="AF140" s="65">
        <v>0</v>
      </c>
      <c r="AG140" s="65">
        <v>0</v>
      </c>
      <c r="AH140" s="65">
        <v>0</v>
      </c>
      <c r="AJ140" s="129">
        <v>0</v>
      </c>
    </row>
    <row r="141" spans="1:36" s="124" customFormat="1" ht="19.95" customHeight="1">
      <c r="A141" s="222" t="s">
        <v>32</v>
      </c>
      <c r="B141" s="223"/>
      <c r="C141" s="223"/>
      <c r="D141" s="224"/>
      <c r="E141" s="47">
        <v>4</v>
      </c>
      <c r="F141" s="47">
        <v>12</v>
      </c>
      <c r="G141" s="54" t="s">
        <v>157</v>
      </c>
      <c r="H141" s="48">
        <v>500</v>
      </c>
      <c r="I141" s="49">
        <v>3400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P141" s="125">
        <v>333.90199999999999</v>
      </c>
      <c r="AD141" s="65">
        <v>2600</v>
      </c>
      <c r="AE141" s="65">
        <v>0</v>
      </c>
      <c r="AF141" s="65">
        <v>0</v>
      </c>
      <c r="AG141" s="65">
        <v>0</v>
      </c>
      <c r="AH141" s="65">
        <v>0</v>
      </c>
      <c r="AJ141" s="129">
        <v>0</v>
      </c>
    </row>
    <row r="142" spans="1:36" s="124" customFormat="1" ht="19.95" customHeight="1">
      <c r="A142" s="212" t="s">
        <v>34</v>
      </c>
      <c r="B142" s="213"/>
      <c r="C142" s="213"/>
      <c r="D142" s="214"/>
      <c r="E142" s="47">
        <v>4</v>
      </c>
      <c r="F142" s="47">
        <v>12</v>
      </c>
      <c r="G142" s="54" t="s">
        <v>157</v>
      </c>
      <c r="H142" s="48">
        <v>540</v>
      </c>
      <c r="I142" s="49">
        <v>3400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P142" s="125">
        <v>333.90199999999999</v>
      </c>
      <c r="AD142" s="65">
        <v>2600</v>
      </c>
      <c r="AE142" s="65">
        <v>0</v>
      </c>
      <c r="AF142" s="65">
        <v>0</v>
      </c>
      <c r="AG142" s="65">
        <v>0</v>
      </c>
      <c r="AH142" s="65">
        <v>0</v>
      </c>
      <c r="AJ142" s="129">
        <v>0</v>
      </c>
    </row>
    <row r="143" spans="1:36" s="124" customFormat="1" ht="23.4" customHeight="1">
      <c r="A143" s="189" t="s">
        <v>20</v>
      </c>
      <c r="B143" s="189"/>
      <c r="C143" s="189"/>
      <c r="D143" s="189"/>
      <c r="E143" s="40">
        <v>5</v>
      </c>
      <c r="F143" s="40">
        <v>0</v>
      </c>
      <c r="G143" s="41"/>
      <c r="H143" s="42"/>
      <c r="I143" s="43">
        <f>I144+I160+I166</f>
        <v>63035.600000000006</v>
      </c>
      <c r="J143" s="43">
        <v>0</v>
      </c>
      <c r="K143" s="43">
        <v>8964.2999999999993</v>
      </c>
      <c r="L143" s="43">
        <v>0</v>
      </c>
      <c r="M143" s="43">
        <v>9101.9</v>
      </c>
      <c r="N143" s="43">
        <v>0</v>
      </c>
      <c r="P143" s="125">
        <v>22816.715110000001</v>
      </c>
      <c r="AD143" s="63">
        <v>11426.8</v>
      </c>
      <c r="AE143" s="63">
        <v>0</v>
      </c>
      <c r="AF143" s="63">
        <v>11481.7</v>
      </c>
      <c r="AG143" s="63">
        <v>0</v>
      </c>
      <c r="AH143" s="63">
        <v>8568.2000000000007</v>
      </c>
      <c r="AJ143" s="129">
        <v>8964.2999999999993</v>
      </c>
    </row>
    <row r="144" spans="1:36" s="124" customFormat="1" ht="23.4" customHeight="1">
      <c r="A144" s="189" t="s">
        <v>9</v>
      </c>
      <c r="B144" s="189"/>
      <c r="C144" s="189"/>
      <c r="D144" s="189"/>
      <c r="E144" s="40">
        <v>5</v>
      </c>
      <c r="F144" s="40">
        <v>1</v>
      </c>
      <c r="G144" s="41"/>
      <c r="H144" s="42"/>
      <c r="I144" s="43">
        <f>I145+I150+I155</f>
        <v>5672.2999999999993</v>
      </c>
      <c r="J144" s="43">
        <v>0</v>
      </c>
      <c r="K144" s="43">
        <v>3440.9</v>
      </c>
      <c r="L144" s="43">
        <v>0</v>
      </c>
      <c r="M144" s="43">
        <v>3578.5</v>
      </c>
      <c r="N144" s="43">
        <v>0</v>
      </c>
      <c r="P144" s="125">
        <v>3538.2417</v>
      </c>
      <c r="AD144" s="63">
        <v>3172.7</v>
      </c>
      <c r="AE144" s="63">
        <v>0</v>
      </c>
      <c r="AF144" s="63">
        <v>3116.8</v>
      </c>
      <c r="AG144" s="63">
        <v>0</v>
      </c>
      <c r="AH144" s="63">
        <v>3257.1</v>
      </c>
      <c r="AJ144" s="129">
        <v>3440.9</v>
      </c>
    </row>
    <row r="145" spans="1:36" s="124" customFormat="1" ht="33.6" customHeight="1">
      <c r="A145" s="212" t="s">
        <v>124</v>
      </c>
      <c r="B145" s="213"/>
      <c r="C145" s="213"/>
      <c r="D145" s="214"/>
      <c r="E145" s="50">
        <v>5</v>
      </c>
      <c r="F145" s="50">
        <v>1</v>
      </c>
      <c r="G145" s="51" t="s">
        <v>30</v>
      </c>
      <c r="H145" s="48">
        <v>0</v>
      </c>
      <c r="I145" s="53">
        <v>2155.1</v>
      </c>
      <c r="J145" s="53">
        <v>0</v>
      </c>
      <c r="K145" s="53">
        <v>4693.3999999999996</v>
      </c>
      <c r="L145" s="53">
        <v>0</v>
      </c>
      <c r="M145" s="53">
        <v>4693.3999999999996</v>
      </c>
      <c r="N145" s="53">
        <v>0</v>
      </c>
      <c r="P145" s="125">
        <v>12785.47</v>
      </c>
      <c r="AD145" s="66">
        <v>7286.3</v>
      </c>
      <c r="AE145" s="66">
        <v>0</v>
      </c>
      <c r="AF145" s="66">
        <v>7294.9</v>
      </c>
      <c r="AG145" s="66">
        <v>0</v>
      </c>
      <c r="AH145" s="66">
        <v>4241.1000000000004</v>
      </c>
      <c r="AJ145" s="129">
        <v>4693.3999999999996</v>
      </c>
    </row>
    <row r="146" spans="1:36" s="124" customFormat="1" ht="36.6" customHeight="1">
      <c r="A146" s="209" t="s">
        <v>123</v>
      </c>
      <c r="B146" s="210"/>
      <c r="C146" s="210"/>
      <c r="D146" s="211"/>
      <c r="E146" s="47">
        <v>5</v>
      </c>
      <c r="F146" s="47">
        <v>1</v>
      </c>
      <c r="G146" s="31" t="s">
        <v>118</v>
      </c>
      <c r="H146" s="48">
        <v>0</v>
      </c>
      <c r="I146" s="49">
        <v>2155.1</v>
      </c>
      <c r="J146" s="49">
        <v>0</v>
      </c>
      <c r="K146" s="49">
        <v>4693.3999999999996</v>
      </c>
      <c r="L146" s="49">
        <v>0</v>
      </c>
      <c r="M146" s="49">
        <v>4693.3999999999996</v>
      </c>
      <c r="N146" s="49">
        <v>0</v>
      </c>
      <c r="P146" s="125">
        <v>12785.47</v>
      </c>
      <c r="AD146" s="65">
        <v>7286.3</v>
      </c>
      <c r="AE146" s="65">
        <v>0</v>
      </c>
      <c r="AF146" s="65">
        <v>7294.9</v>
      </c>
      <c r="AG146" s="65">
        <v>0</v>
      </c>
      <c r="AH146" s="65">
        <v>4241.1000000000004</v>
      </c>
      <c r="AJ146" s="129">
        <v>4693.3999999999996</v>
      </c>
    </row>
    <row r="147" spans="1:36" s="124" customFormat="1" ht="94.2" customHeight="1">
      <c r="A147" s="209" t="s">
        <v>407</v>
      </c>
      <c r="B147" s="210"/>
      <c r="C147" s="210"/>
      <c r="D147" s="211"/>
      <c r="E147" s="47">
        <v>5</v>
      </c>
      <c r="F147" s="47">
        <v>1</v>
      </c>
      <c r="G147" s="31" t="s">
        <v>178</v>
      </c>
      <c r="H147" s="48">
        <v>0</v>
      </c>
      <c r="I147" s="49">
        <v>2155.1</v>
      </c>
      <c r="J147" s="49">
        <v>0</v>
      </c>
      <c r="K147" s="49">
        <v>4693.3999999999996</v>
      </c>
      <c r="L147" s="49">
        <v>0</v>
      </c>
      <c r="M147" s="49">
        <v>4693.3999999999996</v>
      </c>
      <c r="N147" s="49">
        <v>0</v>
      </c>
      <c r="P147" s="125">
        <v>12785.47</v>
      </c>
      <c r="AD147" s="65">
        <v>7286.3</v>
      </c>
      <c r="AE147" s="65">
        <v>0</v>
      </c>
      <c r="AF147" s="65">
        <v>7294.9</v>
      </c>
      <c r="AG147" s="65">
        <v>0</v>
      </c>
      <c r="AH147" s="65">
        <v>4241.1000000000004</v>
      </c>
      <c r="AJ147" s="129">
        <v>4693.3999999999996</v>
      </c>
    </row>
    <row r="148" spans="1:36" s="124" customFormat="1" ht="21" customHeight="1">
      <c r="A148" s="222" t="s">
        <v>32</v>
      </c>
      <c r="B148" s="223"/>
      <c r="C148" s="223"/>
      <c r="D148" s="224"/>
      <c r="E148" s="47">
        <v>5</v>
      </c>
      <c r="F148" s="47">
        <v>1</v>
      </c>
      <c r="G148" s="31" t="s">
        <v>178</v>
      </c>
      <c r="H148" s="48">
        <v>500</v>
      </c>
      <c r="I148" s="49">
        <v>2155.1</v>
      </c>
      <c r="J148" s="49">
        <v>0</v>
      </c>
      <c r="K148" s="49">
        <v>4693.3999999999996</v>
      </c>
      <c r="L148" s="49">
        <v>0</v>
      </c>
      <c r="M148" s="49">
        <v>4693.3999999999996</v>
      </c>
      <c r="N148" s="49">
        <v>0</v>
      </c>
      <c r="P148" s="125">
        <v>12785.47</v>
      </c>
      <c r="AD148" s="65">
        <v>7286.3</v>
      </c>
      <c r="AE148" s="65">
        <v>0</v>
      </c>
      <c r="AF148" s="65">
        <v>7294.9</v>
      </c>
      <c r="AG148" s="65">
        <v>0</v>
      </c>
      <c r="AH148" s="65">
        <v>4241.1000000000004</v>
      </c>
      <c r="AJ148" s="129">
        <v>4693.3999999999996</v>
      </c>
    </row>
    <row r="149" spans="1:36" s="124" customFormat="1" ht="21" customHeight="1">
      <c r="A149" s="212" t="s">
        <v>34</v>
      </c>
      <c r="B149" s="213"/>
      <c r="C149" s="213"/>
      <c r="D149" s="214"/>
      <c r="E149" s="47">
        <v>5</v>
      </c>
      <c r="F149" s="47">
        <v>1</v>
      </c>
      <c r="G149" s="31" t="s">
        <v>178</v>
      </c>
      <c r="H149" s="48">
        <v>540</v>
      </c>
      <c r="I149" s="49">
        <v>2155.1</v>
      </c>
      <c r="J149" s="49">
        <v>0</v>
      </c>
      <c r="K149" s="49">
        <v>4693.3999999999996</v>
      </c>
      <c r="L149" s="49">
        <v>0</v>
      </c>
      <c r="M149" s="49">
        <v>4693.3999999999996</v>
      </c>
      <c r="N149" s="49">
        <v>0</v>
      </c>
      <c r="P149" s="125">
        <v>12785.47</v>
      </c>
      <c r="AD149" s="65">
        <v>7286.3</v>
      </c>
      <c r="AE149" s="65">
        <v>0</v>
      </c>
      <c r="AF149" s="65">
        <v>7294.9</v>
      </c>
      <c r="AG149" s="65">
        <v>0</v>
      </c>
      <c r="AH149" s="65">
        <v>4241.1000000000004</v>
      </c>
      <c r="AJ149" s="129">
        <v>4693.3999999999996</v>
      </c>
    </row>
    <row r="150" spans="1:36" s="143" customFormat="1" ht="37.200000000000003" customHeight="1">
      <c r="A150" s="197" t="s">
        <v>112</v>
      </c>
      <c r="B150" s="198"/>
      <c r="C150" s="198"/>
      <c r="D150" s="199"/>
      <c r="E150" s="50">
        <v>5</v>
      </c>
      <c r="F150" s="50">
        <v>1</v>
      </c>
      <c r="G150" s="51" t="s">
        <v>64</v>
      </c>
      <c r="H150" s="48">
        <v>0</v>
      </c>
      <c r="I150" s="53">
        <v>208.7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P150" s="144">
        <v>521.55169999999998</v>
      </c>
      <c r="AD150" s="66">
        <v>190</v>
      </c>
      <c r="AE150" s="66">
        <v>0</v>
      </c>
      <c r="AF150" s="66">
        <v>0</v>
      </c>
      <c r="AG150" s="66">
        <v>0</v>
      </c>
      <c r="AH150" s="66">
        <v>0</v>
      </c>
      <c r="AJ150" s="145">
        <v>0</v>
      </c>
    </row>
    <row r="151" spans="1:36" s="124" customFormat="1" ht="37.200000000000003" customHeight="1">
      <c r="A151" s="184" t="s">
        <v>145</v>
      </c>
      <c r="B151" s="185"/>
      <c r="C151" s="185"/>
      <c r="D151" s="196"/>
      <c r="E151" s="50">
        <v>5</v>
      </c>
      <c r="F151" s="50">
        <v>1</v>
      </c>
      <c r="G151" s="31" t="s">
        <v>146</v>
      </c>
      <c r="H151" s="48">
        <v>0</v>
      </c>
      <c r="I151" s="49">
        <v>208.7</v>
      </c>
      <c r="J151" s="49">
        <v>0</v>
      </c>
      <c r="K151" s="49">
        <v>0</v>
      </c>
      <c r="L151" s="49"/>
      <c r="M151" s="49">
        <v>0</v>
      </c>
      <c r="N151" s="49">
        <v>0</v>
      </c>
      <c r="P151" s="125">
        <v>521.55169999999998</v>
      </c>
      <c r="AD151" s="65">
        <v>190</v>
      </c>
      <c r="AE151" s="65">
        <v>0</v>
      </c>
      <c r="AF151" s="65">
        <v>0</v>
      </c>
      <c r="AG151" s="65"/>
      <c r="AH151" s="65">
        <v>0</v>
      </c>
      <c r="AJ151" s="129">
        <v>0</v>
      </c>
    </row>
    <row r="152" spans="1:36" s="124" customFormat="1" ht="37.799999999999997" customHeight="1">
      <c r="A152" s="184" t="s">
        <v>389</v>
      </c>
      <c r="B152" s="185"/>
      <c r="C152" s="185"/>
      <c r="D152" s="196"/>
      <c r="E152" s="50">
        <v>5</v>
      </c>
      <c r="F152" s="50">
        <v>1</v>
      </c>
      <c r="G152" s="31" t="s">
        <v>65</v>
      </c>
      <c r="H152" s="48">
        <v>0</v>
      </c>
      <c r="I152" s="49">
        <v>208.7</v>
      </c>
      <c r="J152" s="49">
        <v>0</v>
      </c>
      <c r="K152" s="49">
        <v>0</v>
      </c>
      <c r="L152" s="49"/>
      <c r="M152" s="49">
        <v>0</v>
      </c>
      <c r="N152" s="49">
        <v>0</v>
      </c>
      <c r="P152" s="125">
        <v>521.55169999999998</v>
      </c>
      <c r="AD152" s="65">
        <v>190</v>
      </c>
      <c r="AE152" s="65">
        <v>0</v>
      </c>
      <c r="AF152" s="65">
        <v>0</v>
      </c>
      <c r="AG152" s="65"/>
      <c r="AH152" s="65">
        <v>0</v>
      </c>
      <c r="AJ152" s="129">
        <v>0</v>
      </c>
    </row>
    <row r="153" spans="1:36" s="124" customFormat="1" ht="36.6" customHeight="1">
      <c r="A153" s="184" t="s">
        <v>44</v>
      </c>
      <c r="B153" s="185"/>
      <c r="C153" s="185"/>
      <c r="D153" s="196"/>
      <c r="E153" s="50">
        <v>5</v>
      </c>
      <c r="F153" s="50">
        <v>1</v>
      </c>
      <c r="G153" s="31" t="s">
        <v>65</v>
      </c>
      <c r="H153" s="48" t="s">
        <v>45</v>
      </c>
      <c r="I153" s="49">
        <v>208.7</v>
      </c>
      <c r="J153" s="49">
        <v>0</v>
      </c>
      <c r="K153" s="49">
        <v>0</v>
      </c>
      <c r="L153" s="49"/>
      <c r="M153" s="49">
        <v>0</v>
      </c>
      <c r="N153" s="49">
        <v>0</v>
      </c>
      <c r="P153" s="125">
        <v>521.55169999999998</v>
      </c>
      <c r="AD153" s="65">
        <v>190</v>
      </c>
      <c r="AE153" s="65">
        <v>0</v>
      </c>
      <c r="AF153" s="65">
        <v>0</v>
      </c>
      <c r="AG153" s="65"/>
      <c r="AH153" s="65">
        <v>0</v>
      </c>
      <c r="AJ153" s="129">
        <v>0</v>
      </c>
    </row>
    <row r="154" spans="1:36" s="124" customFormat="1" ht="36.6" customHeight="1">
      <c r="A154" s="184" t="s">
        <v>46</v>
      </c>
      <c r="B154" s="185"/>
      <c r="C154" s="185"/>
      <c r="D154" s="196"/>
      <c r="E154" s="50">
        <v>5</v>
      </c>
      <c r="F154" s="50">
        <v>1</v>
      </c>
      <c r="G154" s="31" t="s">
        <v>65</v>
      </c>
      <c r="H154" s="48" t="s">
        <v>47</v>
      </c>
      <c r="I154" s="49">
        <v>208.7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P154" s="125">
        <v>521.55169999999998</v>
      </c>
      <c r="AD154" s="65">
        <v>190</v>
      </c>
      <c r="AE154" s="65">
        <v>0</v>
      </c>
      <c r="AF154" s="65">
        <v>0</v>
      </c>
      <c r="AG154" s="65">
        <v>0</v>
      </c>
      <c r="AH154" s="65">
        <v>0</v>
      </c>
      <c r="AJ154" s="129">
        <v>0</v>
      </c>
    </row>
    <row r="155" spans="1:36" s="124" customFormat="1" ht="35.4" customHeight="1">
      <c r="A155" s="190" t="s">
        <v>298</v>
      </c>
      <c r="B155" s="190" t="s">
        <v>111</v>
      </c>
      <c r="C155" s="190" t="s">
        <v>111</v>
      </c>
      <c r="D155" s="190" t="s">
        <v>111</v>
      </c>
      <c r="E155" s="50">
        <v>5</v>
      </c>
      <c r="F155" s="50">
        <v>1</v>
      </c>
      <c r="G155" s="51" t="s">
        <v>66</v>
      </c>
      <c r="H155" s="48">
        <v>0</v>
      </c>
      <c r="I155" s="53">
        <v>3308.5</v>
      </c>
      <c r="J155" s="53">
        <v>0</v>
      </c>
      <c r="K155" s="53">
        <v>3440.9</v>
      </c>
      <c r="L155" s="53">
        <v>0</v>
      </c>
      <c r="M155" s="53">
        <v>3578.5</v>
      </c>
      <c r="N155" s="53">
        <v>0</v>
      </c>
      <c r="P155" s="125">
        <v>1882</v>
      </c>
      <c r="AD155" s="66">
        <v>2982.7</v>
      </c>
      <c r="AE155" s="66">
        <v>0</v>
      </c>
      <c r="AF155" s="66">
        <v>3116.8</v>
      </c>
      <c r="AG155" s="66">
        <v>0</v>
      </c>
      <c r="AH155" s="66">
        <v>3257.1</v>
      </c>
      <c r="AJ155" s="129">
        <v>3440.9</v>
      </c>
    </row>
    <row r="156" spans="1:36" s="124" customFormat="1" ht="33" customHeight="1">
      <c r="A156" s="186" t="s">
        <v>133</v>
      </c>
      <c r="B156" s="187" t="s">
        <v>133</v>
      </c>
      <c r="C156" s="187" t="s">
        <v>133</v>
      </c>
      <c r="D156" s="191" t="s">
        <v>133</v>
      </c>
      <c r="E156" s="47">
        <v>5</v>
      </c>
      <c r="F156" s="47">
        <v>1</v>
      </c>
      <c r="G156" s="31" t="s">
        <v>129</v>
      </c>
      <c r="H156" s="48">
        <v>0</v>
      </c>
      <c r="I156" s="49">
        <v>3308.5</v>
      </c>
      <c r="J156" s="49">
        <v>0</v>
      </c>
      <c r="K156" s="49">
        <v>3440.9</v>
      </c>
      <c r="L156" s="49">
        <v>0</v>
      </c>
      <c r="M156" s="49">
        <v>3578.5</v>
      </c>
      <c r="N156" s="49">
        <v>0</v>
      </c>
      <c r="P156" s="125">
        <v>1882</v>
      </c>
      <c r="AD156" s="65">
        <v>2982.7</v>
      </c>
      <c r="AE156" s="65">
        <v>0</v>
      </c>
      <c r="AF156" s="65">
        <v>3116.8</v>
      </c>
      <c r="AG156" s="65">
        <v>0</v>
      </c>
      <c r="AH156" s="65">
        <v>3257.1</v>
      </c>
      <c r="AJ156" s="129">
        <v>3440.9</v>
      </c>
    </row>
    <row r="157" spans="1:36" s="124" customFormat="1" ht="37.799999999999997" customHeight="1">
      <c r="A157" s="188" t="s">
        <v>395</v>
      </c>
      <c r="B157" s="188" t="s">
        <v>134</v>
      </c>
      <c r="C157" s="188" t="s">
        <v>134</v>
      </c>
      <c r="D157" s="188" t="s">
        <v>134</v>
      </c>
      <c r="E157" s="47">
        <v>5</v>
      </c>
      <c r="F157" s="47">
        <v>1</v>
      </c>
      <c r="G157" s="31" t="s">
        <v>131</v>
      </c>
      <c r="H157" s="48" t="s">
        <v>31</v>
      </c>
      <c r="I157" s="49">
        <v>3308.5</v>
      </c>
      <c r="J157" s="49">
        <v>0</v>
      </c>
      <c r="K157" s="49">
        <v>3440.9</v>
      </c>
      <c r="L157" s="49">
        <v>0</v>
      </c>
      <c r="M157" s="49">
        <v>3578.5</v>
      </c>
      <c r="N157" s="49">
        <v>0</v>
      </c>
      <c r="P157" s="125">
        <v>1882</v>
      </c>
      <c r="AD157" s="65">
        <v>2982.7</v>
      </c>
      <c r="AE157" s="65">
        <v>0</v>
      </c>
      <c r="AF157" s="65">
        <v>3116.8</v>
      </c>
      <c r="AG157" s="65">
        <v>0</v>
      </c>
      <c r="AH157" s="65">
        <v>3257.1</v>
      </c>
      <c r="AJ157" s="129">
        <v>3440.9</v>
      </c>
    </row>
    <row r="158" spans="1:36" s="124" customFormat="1" ht="13.8">
      <c r="A158" s="188" t="s">
        <v>36</v>
      </c>
      <c r="B158" s="188" t="s">
        <v>36</v>
      </c>
      <c r="C158" s="188" t="s">
        <v>36</v>
      </c>
      <c r="D158" s="188" t="s">
        <v>36</v>
      </c>
      <c r="E158" s="47">
        <v>5</v>
      </c>
      <c r="F158" s="47">
        <v>1</v>
      </c>
      <c r="G158" s="31" t="s">
        <v>131</v>
      </c>
      <c r="H158" s="48" t="s">
        <v>48</v>
      </c>
      <c r="I158" s="49">
        <v>3308.5</v>
      </c>
      <c r="J158" s="49">
        <v>0</v>
      </c>
      <c r="K158" s="49">
        <v>3440.9</v>
      </c>
      <c r="L158" s="49">
        <v>0</v>
      </c>
      <c r="M158" s="49">
        <v>3578.5</v>
      </c>
      <c r="N158" s="49">
        <v>0</v>
      </c>
      <c r="P158" s="125">
        <v>1882</v>
      </c>
      <c r="AD158" s="65">
        <v>2982.7</v>
      </c>
      <c r="AE158" s="65">
        <v>0</v>
      </c>
      <c r="AF158" s="65">
        <v>3116.8</v>
      </c>
      <c r="AG158" s="65">
        <v>0</v>
      </c>
      <c r="AH158" s="65">
        <v>3257.1</v>
      </c>
      <c r="AJ158" s="129">
        <v>3440.9</v>
      </c>
    </row>
    <row r="159" spans="1:36" s="124" customFormat="1" ht="45" customHeight="1">
      <c r="A159" s="188" t="s">
        <v>171</v>
      </c>
      <c r="B159" s="200" t="s">
        <v>67</v>
      </c>
      <c r="C159" s="200" t="s">
        <v>67</v>
      </c>
      <c r="D159" s="200" t="s">
        <v>67</v>
      </c>
      <c r="E159" s="47">
        <v>5</v>
      </c>
      <c r="F159" s="47">
        <v>1</v>
      </c>
      <c r="G159" s="31" t="s">
        <v>131</v>
      </c>
      <c r="H159" s="48">
        <v>810</v>
      </c>
      <c r="I159" s="49">
        <v>3308.5</v>
      </c>
      <c r="J159" s="49">
        <v>0</v>
      </c>
      <c r="K159" s="49">
        <v>3440.9</v>
      </c>
      <c r="L159" s="49">
        <v>0</v>
      </c>
      <c r="M159" s="49">
        <v>3578.5</v>
      </c>
      <c r="N159" s="49">
        <v>0</v>
      </c>
      <c r="P159" s="125">
        <v>1882</v>
      </c>
      <c r="AD159" s="65">
        <v>2982.7</v>
      </c>
      <c r="AE159" s="65">
        <v>0</v>
      </c>
      <c r="AF159" s="65">
        <v>3116.8</v>
      </c>
      <c r="AG159" s="65">
        <v>0</v>
      </c>
      <c r="AH159" s="65">
        <v>3257.1</v>
      </c>
      <c r="AJ159" s="129">
        <v>3440.9</v>
      </c>
    </row>
    <row r="160" spans="1:36" s="124" customFormat="1" ht="13.8">
      <c r="A160" s="225" t="s">
        <v>23</v>
      </c>
      <c r="B160" s="231"/>
      <c r="C160" s="231"/>
      <c r="D160" s="232"/>
      <c r="E160" s="40">
        <v>5</v>
      </c>
      <c r="F160" s="40">
        <v>2</v>
      </c>
      <c r="G160" s="41"/>
      <c r="H160" s="42"/>
      <c r="I160" s="43">
        <v>53619</v>
      </c>
      <c r="J160" s="43">
        <v>0</v>
      </c>
      <c r="K160" s="43">
        <v>4693.3999999999996</v>
      </c>
      <c r="L160" s="43">
        <v>0</v>
      </c>
      <c r="M160" s="43">
        <v>4693.3999999999996</v>
      </c>
      <c r="N160" s="43">
        <v>0</v>
      </c>
      <c r="P160" s="125">
        <v>12785.47</v>
      </c>
      <c r="AD160" s="63">
        <v>7286.3</v>
      </c>
      <c r="AE160" s="63">
        <v>0</v>
      </c>
      <c r="AF160" s="63">
        <v>7294.9</v>
      </c>
      <c r="AG160" s="63">
        <v>0</v>
      </c>
      <c r="AH160" s="63">
        <v>4241.1000000000004</v>
      </c>
      <c r="AJ160" s="129">
        <v>4693.3999999999996</v>
      </c>
    </row>
    <row r="161" spans="1:36" s="124" customFormat="1" ht="33.6" customHeight="1">
      <c r="A161" s="212" t="s">
        <v>124</v>
      </c>
      <c r="B161" s="213"/>
      <c r="C161" s="213"/>
      <c r="D161" s="214"/>
      <c r="E161" s="50">
        <v>5</v>
      </c>
      <c r="F161" s="50">
        <v>2</v>
      </c>
      <c r="G161" s="51" t="s">
        <v>30</v>
      </c>
      <c r="H161" s="48">
        <v>0</v>
      </c>
      <c r="I161" s="53">
        <v>53619</v>
      </c>
      <c r="J161" s="53">
        <v>0</v>
      </c>
      <c r="K161" s="53">
        <v>4693.3999999999996</v>
      </c>
      <c r="L161" s="53">
        <v>0</v>
      </c>
      <c r="M161" s="53">
        <v>4693.3999999999996</v>
      </c>
      <c r="N161" s="53">
        <v>0</v>
      </c>
      <c r="P161" s="125">
        <v>12785.47</v>
      </c>
      <c r="AD161" s="66">
        <v>7286.3</v>
      </c>
      <c r="AE161" s="66">
        <v>0</v>
      </c>
      <c r="AF161" s="66">
        <v>7294.9</v>
      </c>
      <c r="AG161" s="66">
        <v>0</v>
      </c>
      <c r="AH161" s="66">
        <v>4241.1000000000004</v>
      </c>
      <c r="AJ161" s="129">
        <v>4693.3999999999996</v>
      </c>
    </row>
    <row r="162" spans="1:36" s="124" customFormat="1" ht="36.6" customHeight="1">
      <c r="A162" s="209" t="s">
        <v>123</v>
      </c>
      <c r="B162" s="210"/>
      <c r="C162" s="210"/>
      <c r="D162" s="211"/>
      <c r="E162" s="47">
        <v>5</v>
      </c>
      <c r="F162" s="47">
        <v>2</v>
      </c>
      <c r="G162" s="31" t="s">
        <v>118</v>
      </c>
      <c r="H162" s="48">
        <v>0</v>
      </c>
      <c r="I162" s="49">
        <v>53619</v>
      </c>
      <c r="J162" s="49">
        <v>0</v>
      </c>
      <c r="K162" s="49">
        <v>4693.3999999999996</v>
      </c>
      <c r="L162" s="49">
        <v>0</v>
      </c>
      <c r="M162" s="49">
        <v>4693.3999999999996</v>
      </c>
      <c r="N162" s="49">
        <v>0</v>
      </c>
      <c r="P162" s="125">
        <v>12785.47</v>
      </c>
      <c r="AD162" s="65">
        <v>7286.3</v>
      </c>
      <c r="AE162" s="65">
        <v>0</v>
      </c>
      <c r="AF162" s="65">
        <v>7294.9</v>
      </c>
      <c r="AG162" s="65">
        <v>0</v>
      </c>
      <c r="AH162" s="65">
        <v>4241.1000000000004</v>
      </c>
      <c r="AJ162" s="129">
        <v>4693.3999999999996</v>
      </c>
    </row>
    <row r="163" spans="1:36" s="124" customFormat="1" ht="46.8" customHeight="1">
      <c r="A163" s="209" t="s">
        <v>355</v>
      </c>
      <c r="B163" s="210"/>
      <c r="C163" s="210"/>
      <c r="D163" s="211"/>
      <c r="E163" s="47">
        <v>5</v>
      </c>
      <c r="F163" s="47">
        <v>2</v>
      </c>
      <c r="G163" s="31" t="s">
        <v>117</v>
      </c>
      <c r="H163" s="48">
        <v>0</v>
      </c>
      <c r="I163" s="49">
        <v>53619</v>
      </c>
      <c r="J163" s="49">
        <v>0</v>
      </c>
      <c r="K163" s="49">
        <v>4693.3999999999996</v>
      </c>
      <c r="L163" s="49">
        <v>0</v>
      </c>
      <c r="M163" s="49">
        <v>4693.3999999999996</v>
      </c>
      <c r="N163" s="49">
        <v>0</v>
      </c>
      <c r="P163" s="125">
        <v>12785.47</v>
      </c>
      <c r="AD163" s="65">
        <v>7286.3</v>
      </c>
      <c r="AE163" s="65">
        <v>0</v>
      </c>
      <c r="AF163" s="65">
        <v>7294.9</v>
      </c>
      <c r="AG163" s="65">
        <v>0</v>
      </c>
      <c r="AH163" s="65">
        <v>4241.1000000000004</v>
      </c>
      <c r="AJ163" s="129">
        <v>4693.3999999999996</v>
      </c>
    </row>
    <row r="164" spans="1:36" s="124" customFormat="1" ht="21" customHeight="1">
      <c r="A164" s="222" t="s">
        <v>32</v>
      </c>
      <c r="B164" s="223"/>
      <c r="C164" s="223"/>
      <c r="D164" s="224"/>
      <c r="E164" s="47">
        <v>5</v>
      </c>
      <c r="F164" s="47">
        <v>2</v>
      </c>
      <c r="G164" s="31" t="s">
        <v>117</v>
      </c>
      <c r="H164" s="48">
        <v>500</v>
      </c>
      <c r="I164" s="49">
        <v>53619</v>
      </c>
      <c r="J164" s="49">
        <v>0</v>
      </c>
      <c r="K164" s="49">
        <v>4693.3999999999996</v>
      </c>
      <c r="L164" s="49">
        <v>0</v>
      </c>
      <c r="M164" s="49">
        <v>4693.3999999999996</v>
      </c>
      <c r="N164" s="49">
        <v>0</v>
      </c>
      <c r="P164" s="125">
        <v>12785.47</v>
      </c>
      <c r="AD164" s="65">
        <v>7286.3</v>
      </c>
      <c r="AE164" s="65">
        <v>0</v>
      </c>
      <c r="AF164" s="65">
        <v>7294.9</v>
      </c>
      <c r="AG164" s="65">
        <v>0</v>
      </c>
      <c r="AH164" s="65">
        <v>4241.1000000000004</v>
      </c>
      <c r="AJ164" s="129">
        <v>4693.3999999999996</v>
      </c>
    </row>
    <row r="165" spans="1:36" s="124" customFormat="1" ht="21" customHeight="1">
      <c r="A165" s="212" t="s">
        <v>34</v>
      </c>
      <c r="B165" s="213"/>
      <c r="C165" s="213"/>
      <c r="D165" s="214"/>
      <c r="E165" s="47">
        <v>5</v>
      </c>
      <c r="F165" s="47">
        <v>2</v>
      </c>
      <c r="G165" s="31" t="s">
        <v>117</v>
      </c>
      <c r="H165" s="48">
        <v>540</v>
      </c>
      <c r="I165" s="49">
        <v>53619</v>
      </c>
      <c r="J165" s="49">
        <v>0</v>
      </c>
      <c r="K165" s="49">
        <v>4693.3999999999996</v>
      </c>
      <c r="L165" s="49">
        <v>0</v>
      </c>
      <c r="M165" s="49">
        <v>4693.3999999999996</v>
      </c>
      <c r="N165" s="49">
        <v>0</v>
      </c>
      <c r="P165" s="125">
        <v>12785.47</v>
      </c>
      <c r="AD165" s="65">
        <v>7286.3</v>
      </c>
      <c r="AE165" s="65">
        <v>0</v>
      </c>
      <c r="AF165" s="65">
        <v>7294.9</v>
      </c>
      <c r="AG165" s="65">
        <v>0</v>
      </c>
      <c r="AH165" s="65">
        <v>4241.1000000000004</v>
      </c>
      <c r="AJ165" s="129">
        <v>4693.3999999999996</v>
      </c>
    </row>
    <row r="166" spans="1:36" s="124" customFormat="1" ht="21.6" customHeight="1">
      <c r="A166" s="189" t="s">
        <v>8</v>
      </c>
      <c r="B166" s="189"/>
      <c r="C166" s="189"/>
      <c r="D166" s="189"/>
      <c r="E166" s="40">
        <v>5</v>
      </c>
      <c r="F166" s="40">
        <v>3</v>
      </c>
      <c r="G166" s="41"/>
      <c r="H166" s="42"/>
      <c r="I166" s="43">
        <f>I167+I172</f>
        <v>3744.2999999999997</v>
      </c>
      <c r="J166" s="43">
        <v>0</v>
      </c>
      <c r="K166" s="43">
        <v>830</v>
      </c>
      <c r="L166" s="43">
        <v>0</v>
      </c>
      <c r="M166" s="43">
        <v>830</v>
      </c>
      <c r="N166" s="43">
        <v>0</v>
      </c>
      <c r="P166" s="125">
        <v>6492.9542000000001</v>
      </c>
      <c r="AD166" s="63">
        <v>967.8</v>
      </c>
      <c r="AE166" s="63">
        <v>0</v>
      </c>
      <c r="AF166" s="63">
        <v>1070</v>
      </c>
      <c r="AG166" s="63">
        <v>0</v>
      </c>
      <c r="AH166" s="63">
        <v>1070</v>
      </c>
      <c r="AJ166" s="129">
        <v>830</v>
      </c>
    </row>
    <row r="167" spans="1:36" s="143" customFormat="1" ht="35.4" customHeight="1">
      <c r="A167" s="197" t="s">
        <v>112</v>
      </c>
      <c r="B167" s="198"/>
      <c r="C167" s="198"/>
      <c r="D167" s="199"/>
      <c r="E167" s="50">
        <v>5</v>
      </c>
      <c r="F167" s="50">
        <v>3</v>
      </c>
      <c r="G167" s="51" t="s">
        <v>64</v>
      </c>
      <c r="H167" s="48">
        <v>0</v>
      </c>
      <c r="I167" s="53">
        <v>123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P167" s="144">
        <v>421</v>
      </c>
      <c r="AD167" s="66">
        <v>146</v>
      </c>
      <c r="AE167" s="66">
        <v>0</v>
      </c>
      <c r="AF167" s="66">
        <v>300</v>
      </c>
      <c r="AG167" s="66">
        <v>0</v>
      </c>
      <c r="AH167" s="66">
        <v>300</v>
      </c>
      <c r="AJ167" s="145">
        <v>0</v>
      </c>
    </row>
    <row r="168" spans="1:36" s="124" customFormat="1" ht="31.95" customHeight="1">
      <c r="A168" s="184" t="s">
        <v>145</v>
      </c>
      <c r="B168" s="185"/>
      <c r="C168" s="185"/>
      <c r="D168" s="196"/>
      <c r="E168" s="50">
        <v>5</v>
      </c>
      <c r="F168" s="50">
        <v>3</v>
      </c>
      <c r="G168" s="31" t="s">
        <v>146</v>
      </c>
      <c r="H168" s="48">
        <v>0</v>
      </c>
      <c r="I168" s="49">
        <v>123</v>
      </c>
      <c r="J168" s="49">
        <v>0</v>
      </c>
      <c r="K168" s="49">
        <v>0</v>
      </c>
      <c r="L168" s="49"/>
      <c r="M168" s="49">
        <v>0</v>
      </c>
      <c r="N168" s="49">
        <v>0</v>
      </c>
      <c r="P168" s="125">
        <v>421</v>
      </c>
      <c r="AD168" s="65">
        <v>146</v>
      </c>
      <c r="AE168" s="65">
        <v>0</v>
      </c>
      <c r="AF168" s="65">
        <v>300</v>
      </c>
      <c r="AG168" s="65"/>
      <c r="AH168" s="65">
        <v>300</v>
      </c>
      <c r="AJ168" s="129">
        <v>0</v>
      </c>
    </row>
    <row r="169" spans="1:36" s="124" customFormat="1" ht="39.6" customHeight="1">
      <c r="A169" s="184" t="s">
        <v>389</v>
      </c>
      <c r="B169" s="185"/>
      <c r="C169" s="185"/>
      <c r="D169" s="196"/>
      <c r="E169" s="50">
        <v>5</v>
      </c>
      <c r="F169" s="50">
        <v>3</v>
      </c>
      <c r="G169" s="31" t="s">
        <v>65</v>
      </c>
      <c r="H169" s="48">
        <v>0</v>
      </c>
      <c r="I169" s="49">
        <v>123</v>
      </c>
      <c r="J169" s="49">
        <v>0</v>
      </c>
      <c r="K169" s="49">
        <v>0</v>
      </c>
      <c r="L169" s="49"/>
      <c r="M169" s="49">
        <v>0</v>
      </c>
      <c r="N169" s="49">
        <v>0</v>
      </c>
      <c r="P169" s="125">
        <v>421</v>
      </c>
      <c r="AD169" s="65">
        <v>146</v>
      </c>
      <c r="AE169" s="65">
        <v>0</v>
      </c>
      <c r="AF169" s="65">
        <v>300</v>
      </c>
      <c r="AG169" s="65"/>
      <c r="AH169" s="65">
        <v>300</v>
      </c>
      <c r="AJ169" s="129">
        <v>0</v>
      </c>
    </row>
    <row r="170" spans="1:36" s="124" customFormat="1" ht="35.4" customHeight="1">
      <c r="A170" s="184" t="s">
        <v>44</v>
      </c>
      <c r="B170" s="185"/>
      <c r="C170" s="185"/>
      <c r="D170" s="196"/>
      <c r="E170" s="50">
        <v>5</v>
      </c>
      <c r="F170" s="50">
        <v>3</v>
      </c>
      <c r="G170" s="31" t="s">
        <v>65</v>
      </c>
      <c r="H170" s="48" t="s">
        <v>45</v>
      </c>
      <c r="I170" s="49">
        <v>123</v>
      </c>
      <c r="J170" s="49">
        <v>0</v>
      </c>
      <c r="K170" s="49">
        <v>0</v>
      </c>
      <c r="L170" s="49"/>
      <c r="M170" s="49">
        <v>0</v>
      </c>
      <c r="N170" s="49">
        <v>0</v>
      </c>
      <c r="P170" s="125">
        <v>421</v>
      </c>
      <c r="AD170" s="65">
        <v>146</v>
      </c>
      <c r="AE170" s="65">
        <v>0</v>
      </c>
      <c r="AF170" s="65">
        <v>300</v>
      </c>
      <c r="AG170" s="65"/>
      <c r="AH170" s="65">
        <v>300</v>
      </c>
      <c r="AJ170" s="129">
        <v>0</v>
      </c>
    </row>
    <row r="171" spans="1:36" s="124" customFormat="1" ht="35.4" customHeight="1">
      <c r="A171" s="184" t="s">
        <v>46</v>
      </c>
      <c r="B171" s="185"/>
      <c r="C171" s="185"/>
      <c r="D171" s="196"/>
      <c r="E171" s="50">
        <v>5</v>
      </c>
      <c r="F171" s="50">
        <v>3</v>
      </c>
      <c r="G171" s="31" t="s">
        <v>65</v>
      </c>
      <c r="H171" s="48" t="s">
        <v>47</v>
      </c>
      <c r="I171" s="49">
        <v>123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P171" s="125">
        <v>421</v>
      </c>
      <c r="AD171" s="65">
        <v>146</v>
      </c>
      <c r="AE171" s="65">
        <v>0</v>
      </c>
      <c r="AF171" s="65">
        <v>300</v>
      </c>
      <c r="AG171" s="65">
        <v>0</v>
      </c>
      <c r="AH171" s="65">
        <v>300</v>
      </c>
      <c r="AJ171" s="129">
        <v>0</v>
      </c>
    </row>
    <row r="172" spans="1:36" s="124" customFormat="1" ht="35.4" customHeight="1">
      <c r="A172" s="190" t="s">
        <v>298</v>
      </c>
      <c r="B172" s="190" t="s">
        <v>298</v>
      </c>
      <c r="C172" s="190" t="s">
        <v>298</v>
      </c>
      <c r="D172" s="190" t="s">
        <v>298</v>
      </c>
      <c r="E172" s="50">
        <v>5</v>
      </c>
      <c r="F172" s="50">
        <v>3</v>
      </c>
      <c r="G172" s="51" t="s">
        <v>66</v>
      </c>
      <c r="H172" s="52">
        <v>0</v>
      </c>
      <c r="I172" s="53">
        <f>I173+I180</f>
        <v>3621.2999999999997</v>
      </c>
      <c r="J172" s="53">
        <v>0</v>
      </c>
      <c r="K172" s="53">
        <v>830</v>
      </c>
      <c r="L172" s="53">
        <v>0</v>
      </c>
      <c r="M172" s="53">
        <v>830</v>
      </c>
      <c r="N172" s="53">
        <v>0</v>
      </c>
      <c r="P172" s="125">
        <v>4058.0794100000003</v>
      </c>
      <c r="AD172" s="66">
        <v>821.8</v>
      </c>
      <c r="AE172" s="66">
        <v>0</v>
      </c>
      <c r="AF172" s="66">
        <v>770</v>
      </c>
      <c r="AG172" s="66">
        <v>0</v>
      </c>
      <c r="AH172" s="66">
        <v>770</v>
      </c>
      <c r="AJ172" s="129">
        <v>830</v>
      </c>
    </row>
    <row r="173" spans="1:36" s="143" customFormat="1" ht="59.4" customHeight="1">
      <c r="A173" s="202" t="s">
        <v>404</v>
      </c>
      <c r="B173" s="203" t="s">
        <v>135</v>
      </c>
      <c r="C173" s="203" t="s">
        <v>135</v>
      </c>
      <c r="D173" s="203" t="s">
        <v>135</v>
      </c>
      <c r="E173" s="50">
        <v>5</v>
      </c>
      <c r="F173" s="50">
        <v>3</v>
      </c>
      <c r="G173" s="51" t="s">
        <v>128</v>
      </c>
      <c r="H173" s="52">
        <v>0</v>
      </c>
      <c r="I173" s="53">
        <f>I174+I177</f>
        <v>239.1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P173" s="144">
        <v>400.99299999999999</v>
      </c>
      <c r="AD173" s="66">
        <v>32.4</v>
      </c>
      <c r="AE173" s="66">
        <v>0</v>
      </c>
      <c r="AF173" s="66">
        <v>0</v>
      </c>
      <c r="AG173" s="66">
        <v>0</v>
      </c>
      <c r="AH173" s="66">
        <v>0</v>
      </c>
      <c r="AJ173" s="145">
        <v>0</v>
      </c>
    </row>
    <row r="174" spans="1:36" s="124" customFormat="1" ht="31.2" customHeight="1">
      <c r="A174" s="233" t="s">
        <v>402</v>
      </c>
      <c r="B174" s="234"/>
      <c r="C174" s="234"/>
      <c r="D174" s="235"/>
      <c r="E174" s="47">
        <v>5</v>
      </c>
      <c r="F174" s="47">
        <v>3</v>
      </c>
      <c r="G174" s="31" t="s">
        <v>342</v>
      </c>
      <c r="H174" s="48" t="s">
        <v>31</v>
      </c>
      <c r="I174" s="49">
        <v>227.1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P174" s="125">
        <v>299.99299999999999</v>
      </c>
      <c r="AD174" s="65">
        <v>32.4</v>
      </c>
      <c r="AE174" s="65">
        <v>0</v>
      </c>
      <c r="AF174" s="65">
        <v>0</v>
      </c>
      <c r="AG174" s="65">
        <v>0</v>
      </c>
      <c r="AH174" s="65">
        <v>0</v>
      </c>
      <c r="AJ174" s="129">
        <v>0</v>
      </c>
    </row>
    <row r="175" spans="1:36" s="124" customFormat="1" ht="29.4" customHeight="1">
      <c r="A175" s="233" t="s">
        <v>44</v>
      </c>
      <c r="B175" s="234"/>
      <c r="C175" s="234"/>
      <c r="D175" s="235"/>
      <c r="E175" s="47">
        <v>5</v>
      </c>
      <c r="F175" s="47">
        <v>3</v>
      </c>
      <c r="G175" s="31" t="s">
        <v>342</v>
      </c>
      <c r="H175" s="48" t="s">
        <v>45</v>
      </c>
      <c r="I175" s="49">
        <v>227.1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P175" s="125">
        <v>299.99299999999999</v>
      </c>
      <c r="AD175" s="65">
        <v>32.4</v>
      </c>
      <c r="AE175" s="65">
        <v>0</v>
      </c>
      <c r="AF175" s="65">
        <v>0</v>
      </c>
      <c r="AG175" s="65">
        <v>0</v>
      </c>
      <c r="AH175" s="65">
        <v>0</v>
      </c>
      <c r="AJ175" s="129">
        <v>0</v>
      </c>
    </row>
    <row r="176" spans="1:36" s="124" customFormat="1" ht="34.950000000000003" customHeight="1">
      <c r="A176" s="233" t="s">
        <v>46</v>
      </c>
      <c r="B176" s="234"/>
      <c r="C176" s="234"/>
      <c r="D176" s="235"/>
      <c r="E176" s="47">
        <v>5</v>
      </c>
      <c r="F176" s="47">
        <v>3</v>
      </c>
      <c r="G176" s="31" t="s">
        <v>342</v>
      </c>
      <c r="H176" s="48" t="s">
        <v>47</v>
      </c>
      <c r="I176" s="49">
        <v>227.1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P176" s="125">
        <v>299.99299999999999</v>
      </c>
      <c r="AD176" s="65">
        <v>32.4</v>
      </c>
      <c r="AE176" s="65">
        <v>0</v>
      </c>
      <c r="AF176" s="65">
        <v>0</v>
      </c>
      <c r="AG176" s="65">
        <v>0</v>
      </c>
      <c r="AH176" s="65">
        <v>0</v>
      </c>
      <c r="AJ176" s="129">
        <v>0</v>
      </c>
    </row>
    <row r="177" spans="1:36" s="124" customFormat="1" ht="43.8" customHeight="1">
      <c r="A177" s="233" t="s">
        <v>403</v>
      </c>
      <c r="B177" s="234"/>
      <c r="C177" s="234"/>
      <c r="D177" s="235"/>
      <c r="E177" s="47">
        <v>5</v>
      </c>
      <c r="F177" s="47">
        <v>3</v>
      </c>
      <c r="G177" s="31" t="s">
        <v>343</v>
      </c>
      <c r="H177" s="48" t="s">
        <v>31</v>
      </c>
      <c r="I177" s="49">
        <v>12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P177" s="125">
        <v>299.99299999999999</v>
      </c>
      <c r="AD177" s="65">
        <v>32.4</v>
      </c>
      <c r="AE177" s="65">
        <v>0</v>
      </c>
      <c r="AF177" s="65">
        <v>0</v>
      </c>
      <c r="AG177" s="65">
        <v>0</v>
      </c>
      <c r="AH177" s="65">
        <v>0</v>
      </c>
      <c r="AJ177" s="129">
        <v>0</v>
      </c>
    </row>
    <row r="178" spans="1:36" s="124" customFormat="1" ht="29.4" customHeight="1">
      <c r="A178" s="233" t="s">
        <v>44</v>
      </c>
      <c r="B178" s="234"/>
      <c r="C178" s="234"/>
      <c r="D178" s="235"/>
      <c r="E178" s="47">
        <v>5</v>
      </c>
      <c r="F178" s="47">
        <v>3</v>
      </c>
      <c r="G178" s="31" t="s">
        <v>343</v>
      </c>
      <c r="H178" s="48" t="s">
        <v>45</v>
      </c>
      <c r="I178" s="49">
        <v>12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P178" s="125">
        <v>299.99299999999999</v>
      </c>
      <c r="AD178" s="65">
        <v>32.4</v>
      </c>
      <c r="AE178" s="65">
        <v>0</v>
      </c>
      <c r="AF178" s="65">
        <v>0</v>
      </c>
      <c r="AG178" s="65">
        <v>0</v>
      </c>
      <c r="AH178" s="65">
        <v>0</v>
      </c>
      <c r="AJ178" s="129">
        <v>0</v>
      </c>
    </row>
    <row r="179" spans="1:36" s="124" customFormat="1" ht="34.950000000000003" customHeight="1">
      <c r="A179" s="233" t="s">
        <v>46</v>
      </c>
      <c r="B179" s="234"/>
      <c r="C179" s="234"/>
      <c r="D179" s="235"/>
      <c r="E179" s="47">
        <v>5</v>
      </c>
      <c r="F179" s="47">
        <v>3</v>
      </c>
      <c r="G179" s="31" t="s">
        <v>343</v>
      </c>
      <c r="H179" s="48" t="s">
        <v>47</v>
      </c>
      <c r="I179" s="49">
        <v>12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P179" s="125">
        <v>299.99299999999999</v>
      </c>
      <c r="AD179" s="65">
        <v>32.4</v>
      </c>
      <c r="AE179" s="65">
        <v>0</v>
      </c>
      <c r="AF179" s="65">
        <v>0</v>
      </c>
      <c r="AG179" s="65">
        <v>0</v>
      </c>
      <c r="AH179" s="65">
        <v>0</v>
      </c>
      <c r="AJ179" s="129">
        <v>0</v>
      </c>
    </row>
    <row r="180" spans="1:36" s="143" customFormat="1" ht="84.6" customHeight="1">
      <c r="A180" s="202" t="s">
        <v>380</v>
      </c>
      <c r="B180" s="203" t="s">
        <v>133</v>
      </c>
      <c r="C180" s="203" t="s">
        <v>133</v>
      </c>
      <c r="D180" s="204" t="s">
        <v>133</v>
      </c>
      <c r="E180" s="50">
        <v>5</v>
      </c>
      <c r="F180" s="50">
        <v>3</v>
      </c>
      <c r="G180" s="51" t="s">
        <v>130</v>
      </c>
      <c r="H180" s="48">
        <v>0</v>
      </c>
      <c r="I180" s="53">
        <f>I181</f>
        <v>3382.2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P180" s="144">
        <v>2667.0402000000004</v>
      </c>
      <c r="AD180" s="66">
        <v>69.400000000000006</v>
      </c>
      <c r="AE180" s="66">
        <v>0</v>
      </c>
      <c r="AF180" s="66">
        <v>0</v>
      </c>
      <c r="AG180" s="66">
        <v>0</v>
      </c>
      <c r="AH180" s="66">
        <v>0</v>
      </c>
      <c r="AJ180" s="145">
        <v>0</v>
      </c>
    </row>
    <row r="181" spans="1:36" s="124" customFormat="1" ht="74.400000000000006" customHeight="1">
      <c r="A181" s="186" t="s">
        <v>381</v>
      </c>
      <c r="B181" s="187" t="s">
        <v>134</v>
      </c>
      <c r="C181" s="187" t="s">
        <v>134</v>
      </c>
      <c r="D181" s="191" t="s">
        <v>134</v>
      </c>
      <c r="E181" s="47">
        <v>5</v>
      </c>
      <c r="F181" s="47">
        <v>3</v>
      </c>
      <c r="G181" s="31" t="s">
        <v>132</v>
      </c>
      <c r="H181" s="48" t="s">
        <v>31</v>
      </c>
      <c r="I181" s="49">
        <f>I182</f>
        <v>3382.2</v>
      </c>
      <c r="J181" s="49">
        <v>0</v>
      </c>
      <c r="K181" s="53">
        <v>830</v>
      </c>
      <c r="L181" s="53">
        <v>0</v>
      </c>
      <c r="M181" s="53">
        <v>830</v>
      </c>
      <c r="N181" s="49">
        <v>0</v>
      </c>
      <c r="P181" s="125">
        <v>2667.0402000000004</v>
      </c>
      <c r="AD181" s="65">
        <v>69.400000000000006</v>
      </c>
      <c r="AE181" s="65">
        <v>0</v>
      </c>
      <c r="AF181" s="65">
        <v>0</v>
      </c>
      <c r="AG181" s="65">
        <v>0</v>
      </c>
      <c r="AH181" s="65">
        <v>0</v>
      </c>
      <c r="AJ181" s="129">
        <v>0</v>
      </c>
    </row>
    <row r="182" spans="1:36" s="124" customFormat="1" ht="26.4" customHeight="1">
      <c r="A182" s="186" t="s">
        <v>44</v>
      </c>
      <c r="B182" s="187" t="s">
        <v>44</v>
      </c>
      <c r="C182" s="187" t="s">
        <v>44</v>
      </c>
      <c r="D182" s="187" t="s">
        <v>44</v>
      </c>
      <c r="E182" s="47">
        <v>5</v>
      </c>
      <c r="F182" s="47">
        <v>3</v>
      </c>
      <c r="G182" s="31" t="s">
        <v>132</v>
      </c>
      <c r="H182" s="48" t="s">
        <v>45</v>
      </c>
      <c r="I182" s="49">
        <f>I183</f>
        <v>3382.2</v>
      </c>
      <c r="J182" s="49">
        <v>0</v>
      </c>
      <c r="K182" s="49">
        <v>830</v>
      </c>
      <c r="L182" s="49">
        <v>0</v>
      </c>
      <c r="M182" s="49">
        <v>830</v>
      </c>
      <c r="N182" s="49">
        <v>0</v>
      </c>
      <c r="P182" s="125">
        <v>2667.0402000000004</v>
      </c>
      <c r="AD182" s="65">
        <v>69.400000000000006</v>
      </c>
      <c r="AE182" s="65">
        <v>0</v>
      </c>
      <c r="AF182" s="65">
        <v>0</v>
      </c>
      <c r="AG182" s="65">
        <v>0</v>
      </c>
      <c r="AH182" s="65">
        <v>0</v>
      </c>
      <c r="AJ182" s="129">
        <v>0</v>
      </c>
    </row>
    <row r="183" spans="1:36" s="124" customFormat="1" ht="39.6" customHeight="1">
      <c r="A183" s="186" t="s">
        <v>46</v>
      </c>
      <c r="B183" s="187" t="s">
        <v>46</v>
      </c>
      <c r="C183" s="187" t="s">
        <v>46</v>
      </c>
      <c r="D183" s="191" t="s">
        <v>46</v>
      </c>
      <c r="E183" s="47">
        <v>5</v>
      </c>
      <c r="F183" s="47">
        <v>3</v>
      </c>
      <c r="G183" s="31" t="s">
        <v>132</v>
      </c>
      <c r="H183" s="48" t="s">
        <v>47</v>
      </c>
      <c r="I183" s="49">
        <f>1045.5+334.1+1762.6+240</f>
        <v>3382.2</v>
      </c>
      <c r="J183" s="49">
        <v>0</v>
      </c>
      <c r="K183" s="49">
        <v>830</v>
      </c>
      <c r="L183" s="49">
        <v>0</v>
      </c>
      <c r="M183" s="49">
        <v>830</v>
      </c>
      <c r="N183" s="49">
        <v>0</v>
      </c>
      <c r="P183" s="125">
        <v>2667.0402000000004</v>
      </c>
      <c r="AD183" s="65">
        <v>69.400000000000006</v>
      </c>
      <c r="AE183" s="65">
        <v>0</v>
      </c>
      <c r="AF183" s="65">
        <v>0</v>
      </c>
      <c r="AG183" s="65">
        <v>0</v>
      </c>
      <c r="AH183" s="65">
        <v>0</v>
      </c>
      <c r="AJ183" s="129">
        <v>0</v>
      </c>
    </row>
    <row r="184" spans="1:36" s="124" customFormat="1" ht="13.8">
      <c r="A184" s="189" t="s">
        <v>3</v>
      </c>
      <c r="B184" s="189"/>
      <c r="C184" s="189"/>
      <c r="D184" s="189"/>
      <c r="E184" s="40">
        <v>8</v>
      </c>
      <c r="F184" s="40">
        <v>0</v>
      </c>
      <c r="G184" s="41"/>
      <c r="H184" s="42"/>
      <c r="I184" s="43">
        <f>9301.8+697.3</f>
        <v>9999.0999999999985</v>
      </c>
      <c r="J184" s="43">
        <v>0</v>
      </c>
      <c r="K184" s="43">
        <v>10746.699999999999</v>
      </c>
      <c r="L184" s="43">
        <v>0</v>
      </c>
      <c r="M184" s="43">
        <v>9992.4999999999982</v>
      </c>
      <c r="N184" s="43">
        <v>0</v>
      </c>
      <c r="P184" s="125">
        <v>9134.0870740000009</v>
      </c>
      <c r="AD184" s="63">
        <v>8689</v>
      </c>
      <c r="AE184" s="63">
        <v>0</v>
      </c>
      <c r="AF184" s="63">
        <v>9683.1999999999989</v>
      </c>
      <c r="AG184" s="63">
        <v>0</v>
      </c>
      <c r="AH184" s="63">
        <v>9503.1999999999989</v>
      </c>
      <c r="AJ184" s="129">
        <v>10746.699999999999</v>
      </c>
    </row>
    <row r="185" spans="1:36" s="124" customFormat="1" ht="13.8">
      <c r="A185" s="189" t="s">
        <v>7</v>
      </c>
      <c r="B185" s="189"/>
      <c r="C185" s="189"/>
      <c r="D185" s="189"/>
      <c r="E185" s="40">
        <v>8</v>
      </c>
      <c r="F185" s="40">
        <v>1</v>
      </c>
      <c r="G185" s="41"/>
      <c r="H185" s="42"/>
      <c r="I185" s="43">
        <f>8541.2+697.3</f>
        <v>9238.5</v>
      </c>
      <c r="J185" s="43">
        <v>0</v>
      </c>
      <c r="K185" s="43">
        <v>10074.299999999999</v>
      </c>
      <c r="L185" s="43">
        <v>0</v>
      </c>
      <c r="M185" s="43">
        <v>9320.0999999999985</v>
      </c>
      <c r="N185" s="43">
        <v>0</v>
      </c>
      <c r="P185" s="125">
        <v>8456.5558200000014</v>
      </c>
      <c r="Q185" s="124">
        <v>8456.4603999999999</v>
      </c>
      <c r="AD185" s="63">
        <v>8124.1</v>
      </c>
      <c r="AE185" s="63">
        <v>0</v>
      </c>
      <c r="AF185" s="63">
        <v>9044.2999999999993</v>
      </c>
      <c r="AG185" s="63">
        <v>0</v>
      </c>
      <c r="AH185" s="63">
        <v>8864.2999999999993</v>
      </c>
      <c r="AJ185" s="129">
        <v>10074.299999999999</v>
      </c>
    </row>
    <row r="186" spans="1:36" s="124" customFormat="1" ht="31.8" customHeight="1">
      <c r="A186" s="190" t="s">
        <v>292</v>
      </c>
      <c r="B186" s="190"/>
      <c r="C186" s="190"/>
      <c r="D186" s="190"/>
      <c r="E186" s="50">
        <v>8</v>
      </c>
      <c r="F186" s="50">
        <v>1</v>
      </c>
      <c r="G186" s="146" t="s">
        <v>39</v>
      </c>
      <c r="H186" s="48">
        <v>0</v>
      </c>
      <c r="I186" s="53">
        <v>9238.5</v>
      </c>
      <c r="J186" s="53">
        <v>0</v>
      </c>
      <c r="K186" s="53">
        <v>10074.299999999999</v>
      </c>
      <c r="L186" s="53">
        <v>0</v>
      </c>
      <c r="M186" s="53">
        <v>9320.0999999999985</v>
      </c>
      <c r="N186" s="53">
        <v>0</v>
      </c>
      <c r="P186" s="125">
        <v>8456.5558200000014</v>
      </c>
      <c r="Q186" s="124">
        <v>8456.4603999999999</v>
      </c>
      <c r="AD186" s="66">
        <v>8124.1</v>
      </c>
      <c r="AE186" s="66">
        <v>0</v>
      </c>
      <c r="AF186" s="66">
        <v>9044.2999999999993</v>
      </c>
      <c r="AG186" s="66">
        <v>0</v>
      </c>
      <c r="AH186" s="66">
        <v>8864.2999999999993</v>
      </c>
      <c r="AJ186" s="129">
        <v>10074.299999999999</v>
      </c>
    </row>
    <row r="187" spans="1:36" s="124" customFormat="1" ht="46.8" customHeight="1">
      <c r="A187" s="186" t="s">
        <v>143</v>
      </c>
      <c r="B187" s="187"/>
      <c r="C187" s="187"/>
      <c r="D187" s="191"/>
      <c r="E187" s="50">
        <v>8</v>
      </c>
      <c r="F187" s="50">
        <v>1</v>
      </c>
      <c r="G187" s="146" t="s">
        <v>144</v>
      </c>
      <c r="H187" s="48">
        <v>0</v>
      </c>
      <c r="I187" s="49">
        <v>9238.5</v>
      </c>
      <c r="J187" s="49">
        <v>0</v>
      </c>
      <c r="K187" s="49">
        <v>10074.299999999999</v>
      </c>
      <c r="L187" s="49">
        <v>0</v>
      </c>
      <c r="M187" s="49">
        <v>9320.0999999999985</v>
      </c>
      <c r="N187" s="49">
        <v>0</v>
      </c>
      <c r="P187" s="125">
        <v>8456.5558200000014</v>
      </c>
      <c r="AD187" s="65">
        <v>8124.1</v>
      </c>
      <c r="AE187" s="65">
        <v>0</v>
      </c>
      <c r="AF187" s="65">
        <v>9044.2999999999993</v>
      </c>
      <c r="AG187" s="65">
        <v>0</v>
      </c>
      <c r="AH187" s="65">
        <v>8864.2999999999993</v>
      </c>
      <c r="AJ187" s="129">
        <v>10074.299999999999</v>
      </c>
    </row>
    <row r="188" spans="1:36" s="124" customFormat="1" ht="52.2" customHeight="1">
      <c r="A188" s="209" t="s">
        <v>396</v>
      </c>
      <c r="B188" s="210"/>
      <c r="C188" s="210"/>
      <c r="D188" s="211"/>
      <c r="E188" s="47">
        <v>8</v>
      </c>
      <c r="F188" s="47">
        <v>1</v>
      </c>
      <c r="G188" s="146" t="s">
        <v>110</v>
      </c>
      <c r="H188" s="48">
        <v>0</v>
      </c>
      <c r="I188" s="49">
        <f>I189+I191</f>
        <v>9238.5</v>
      </c>
      <c r="J188" s="49">
        <v>0</v>
      </c>
      <c r="K188" s="49">
        <v>10074.299999999999</v>
      </c>
      <c r="L188" s="49">
        <v>0</v>
      </c>
      <c r="M188" s="49">
        <v>9320.0999999999985</v>
      </c>
      <c r="N188" s="49"/>
      <c r="P188" s="125">
        <v>8193.3958200000015</v>
      </c>
      <c r="AD188" s="65">
        <v>8124.1</v>
      </c>
      <c r="AE188" s="65">
        <v>0</v>
      </c>
      <c r="AF188" s="65">
        <v>9044.2999999999993</v>
      </c>
      <c r="AG188" s="65">
        <v>0</v>
      </c>
      <c r="AH188" s="65">
        <v>8864.2999999999993</v>
      </c>
      <c r="AJ188" s="129">
        <v>10074.299999999999</v>
      </c>
    </row>
    <row r="189" spans="1:36" s="124" customFormat="1" ht="59.4" customHeight="1">
      <c r="A189" s="188" t="s">
        <v>40</v>
      </c>
      <c r="B189" s="188"/>
      <c r="C189" s="188"/>
      <c r="D189" s="188"/>
      <c r="E189" s="47">
        <v>8</v>
      </c>
      <c r="F189" s="47">
        <v>1</v>
      </c>
      <c r="G189" s="146" t="s">
        <v>110</v>
      </c>
      <c r="H189" s="48">
        <v>100</v>
      </c>
      <c r="I189" s="49">
        <v>5828</v>
      </c>
      <c r="J189" s="49">
        <v>0</v>
      </c>
      <c r="K189" s="49">
        <v>5050.8999999999996</v>
      </c>
      <c r="L189" s="49">
        <v>0</v>
      </c>
      <c r="M189" s="49">
        <v>5050.8999999999996</v>
      </c>
      <c r="N189" s="49">
        <v>0</v>
      </c>
      <c r="P189" s="125">
        <v>5877.3614200000002</v>
      </c>
      <c r="Q189" s="124">
        <v>5877.3</v>
      </c>
      <c r="AD189" s="65">
        <v>5008.6000000000004</v>
      </c>
      <c r="AE189" s="65">
        <v>0</v>
      </c>
      <c r="AF189" s="65">
        <v>5861.7</v>
      </c>
      <c r="AG189" s="65">
        <v>0</v>
      </c>
      <c r="AH189" s="65">
        <v>5681.7</v>
      </c>
      <c r="AJ189" s="129">
        <v>5050.8999999999996</v>
      </c>
    </row>
    <row r="190" spans="1:36" s="124" customFormat="1" ht="13.8">
      <c r="A190" s="236" t="s">
        <v>52</v>
      </c>
      <c r="B190" s="236"/>
      <c r="C190" s="236"/>
      <c r="D190" s="236"/>
      <c r="E190" s="47">
        <v>8</v>
      </c>
      <c r="F190" s="47">
        <v>1</v>
      </c>
      <c r="G190" s="146" t="s">
        <v>110</v>
      </c>
      <c r="H190" s="48" t="s">
        <v>43</v>
      </c>
      <c r="I190" s="49">
        <v>5828</v>
      </c>
      <c r="J190" s="49">
        <v>0</v>
      </c>
      <c r="K190" s="49">
        <v>5050.8999999999996</v>
      </c>
      <c r="L190" s="49">
        <v>0</v>
      </c>
      <c r="M190" s="49">
        <v>5050.8999999999996</v>
      </c>
      <c r="N190" s="49">
        <v>0</v>
      </c>
      <c r="P190" s="125">
        <v>5877.3614200000002</v>
      </c>
      <c r="Q190" s="124">
        <v>5877.3</v>
      </c>
      <c r="AD190" s="65">
        <v>5008.6000000000004</v>
      </c>
      <c r="AE190" s="65">
        <v>0</v>
      </c>
      <c r="AF190" s="65">
        <v>5861.7</v>
      </c>
      <c r="AG190" s="65">
        <v>0</v>
      </c>
      <c r="AH190" s="65">
        <v>5681.7</v>
      </c>
      <c r="AJ190" s="129">
        <v>5050.8999999999996</v>
      </c>
    </row>
    <row r="191" spans="1:36" s="124" customFormat="1" ht="31.95" customHeight="1">
      <c r="A191" s="209" t="s">
        <v>44</v>
      </c>
      <c r="B191" s="210"/>
      <c r="C191" s="210"/>
      <c r="D191" s="211"/>
      <c r="E191" s="47">
        <v>8</v>
      </c>
      <c r="F191" s="47">
        <v>1</v>
      </c>
      <c r="G191" s="142" t="s">
        <v>110</v>
      </c>
      <c r="H191" s="48" t="s">
        <v>45</v>
      </c>
      <c r="I191" s="49">
        <v>3410.5</v>
      </c>
      <c r="J191" s="49">
        <v>0</v>
      </c>
      <c r="K191" s="49">
        <v>5023.3999999999996</v>
      </c>
      <c r="L191" s="49">
        <v>0</v>
      </c>
      <c r="M191" s="49">
        <v>4269.2</v>
      </c>
      <c r="N191" s="49">
        <v>0</v>
      </c>
      <c r="P191" s="125">
        <v>2313.0344000000005</v>
      </c>
      <c r="AD191" s="65">
        <v>3115.5</v>
      </c>
      <c r="AE191" s="65">
        <v>0</v>
      </c>
      <c r="AF191" s="65">
        <v>3182.6</v>
      </c>
      <c r="AG191" s="65">
        <v>0</v>
      </c>
      <c r="AH191" s="65">
        <v>3182.6</v>
      </c>
      <c r="AJ191" s="129">
        <v>5023.3999999999996</v>
      </c>
    </row>
    <row r="192" spans="1:36" s="124" customFormat="1" ht="31.2" customHeight="1">
      <c r="A192" s="209" t="s">
        <v>46</v>
      </c>
      <c r="B192" s="210"/>
      <c r="C192" s="210"/>
      <c r="D192" s="211"/>
      <c r="E192" s="47">
        <v>8</v>
      </c>
      <c r="F192" s="47">
        <v>1</v>
      </c>
      <c r="G192" s="142" t="s">
        <v>110</v>
      </c>
      <c r="H192" s="48" t="s">
        <v>47</v>
      </c>
      <c r="I192" s="49">
        <f>2713.2+697.3</f>
        <v>3410.5</v>
      </c>
      <c r="J192" s="49">
        <v>0</v>
      </c>
      <c r="K192" s="49">
        <f>5023.4</f>
        <v>5023.3999999999996</v>
      </c>
      <c r="L192" s="49">
        <v>0</v>
      </c>
      <c r="M192" s="49">
        <v>4269.2</v>
      </c>
      <c r="N192" s="49">
        <v>0</v>
      </c>
      <c r="P192" s="125">
        <v>2313.0344000000005</v>
      </c>
      <c r="AD192" s="65">
        <v>3115.5</v>
      </c>
      <c r="AE192" s="65">
        <v>0</v>
      </c>
      <c r="AF192" s="65">
        <v>3182.6</v>
      </c>
      <c r="AG192" s="65">
        <v>0</v>
      </c>
      <c r="AH192" s="65">
        <v>3182.6</v>
      </c>
      <c r="AJ192" s="129">
        <v>5023.3999999999996</v>
      </c>
    </row>
    <row r="193" spans="1:36" s="124" customFormat="1" ht="16.2" customHeight="1">
      <c r="A193" s="209" t="s">
        <v>36</v>
      </c>
      <c r="B193" s="210"/>
      <c r="C193" s="210"/>
      <c r="D193" s="211"/>
      <c r="E193" s="47">
        <v>8</v>
      </c>
      <c r="F193" s="47">
        <v>1</v>
      </c>
      <c r="G193" s="142" t="s">
        <v>110</v>
      </c>
      <c r="H193" s="48" t="s">
        <v>48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P193" s="125">
        <v>3</v>
      </c>
      <c r="AD193" s="65">
        <v>0</v>
      </c>
      <c r="AE193" s="65">
        <v>0</v>
      </c>
      <c r="AF193" s="65">
        <v>0</v>
      </c>
      <c r="AG193" s="65">
        <v>0</v>
      </c>
      <c r="AH193" s="65">
        <v>0</v>
      </c>
      <c r="AJ193" s="129">
        <v>0</v>
      </c>
    </row>
    <row r="194" spans="1:36" s="124" customFormat="1" ht="23.4" customHeight="1">
      <c r="A194" s="212" t="s">
        <v>49</v>
      </c>
      <c r="B194" s="213"/>
      <c r="C194" s="213"/>
      <c r="D194" s="214"/>
      <c r="E194" s="47">
        <v>8</v>
      </c>
      <c r="F194" s="47">
        <v>1</v>
      </c>
      <c r="G194" s="142" t="s">
        <v>110</v>
      </c>
      <c r="H194" s="48" t="s">
        <v>50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P194" s="125">
        <v>3</v>
      </c>
      <c r="AD194" s="65">
        <v>0</v>
      </c>
      <c r="AE194" s="65">
        <v>0</v>
      </c>
      <c r="AF194" s="65">
        <v>0</v>
      </c>
      <c r="AG194" s="65">
        <v>0</v>
      </c>
      <c r="AH194" s="65">
        <v>0</v>
      </c>
      <c r="AJ194" s="129">
        <v>0</v>
      </c>
    </row>
    <row r="195" spans="1:36" s="148" customFormat="1" ht="13.8">
      <c r="A195" s="189" t="s">
        <v>6</v>
      </c>
      <c r="B195" s="189"/>
      <c r="C195" s="189"/>
      <c r="D195" s="189"/>
      <c r="E195" s="40">
        <v>8</v>
      </c>
      <c r="F195" s="40">
        <v>2</v>
      </c>
      <c r="G195" s="147"/>
      <c r="H195" s="42" t="s">
        <v>41</v>
      </c>
      <c r="I195" s="43">
        <v>760.6</v>
      </c>
      <c r="J195" s="43">
        <v>0</v>
      </c>
      <c r="K195" s="43">
        <v>672.4</v>
      </c>
      <c r="L195" s="43">
        <v>0</v>
      </c>
      <c r="M195" s="43">
        <v>672.4</v>
      </c>
      <c r="N195" s="43">
        <v>0</v>
      </c>
      <c r="P195" s="149">
        <v>677.53125399999999</v>
      </c>
      <c r="Q195" s="148">
        <v>677.46870000000001</v>
      </c>
      <c r="AD195" s="63">
        <v>564.9</v>
      </c>
      <c r="AE195" s="63">
        <v>0</v>
      </c>
      <c r="AF195" s="63">
        <v>638.9</v>
      </c>
      <c r="AG195" s="63">
        <v>0</v>
      </c>
      <c r="AH195" s="63">
        <v>638.9</v>
      </c>
      <c r="AJ195" s="150">
        <v>672.4</v>
      </c>
    </row>
    <row r="196" spans="1:36" s="124" customFormat="1" ht="30.6" customHeight="1">
      <c r="A196" s="197" t="s">
        <v>292</v>
      </c>
      <c r="B196" s="198"/>
      <c r="C196" s="198"/>
      <c r="D196" s="199"/>
      <c r="E196" s="50">
        <v>8</v>
      </c>
      <c r="F196" s="47">
        <v>2</v>
      </c>
      <c r="G196" s="146" t="s">
        <v>39</v>
      </c>
      <c r="H196" s="52" t="s">
        <v>43</v>
      </c>
      <c r="I196" s="53">
        <v>760.6</v>
      </c>
      <c r="J196" s="53">
        <v>0</v>
      </c>
      <c r="K196" s="53">
        <v>672.4</v>
      </c>
      <c r="L196" s="53">
        <v>0</v>
      </c>
      <c r="M196" s="53">
        <v>672.4</v>
      </c>
      <c r="N196" s="53">
        <v>0</v>
      </c>
      <c r="P196" s="125">
        <v>677.53125399999999</v>
      </c>
      <c r="AD196" s="66">
        <v>564.9</v>
      </c>
      <c r="AE196" s="66">
        <v>0</v>
      </c>
      <c r="AF196" s="66">
        <v>638.9</v>
      </c>
      <c r="AG196" s="66">
        <v>0</v>
      </c>
      <c r="AH196" s="66">
        <v>638.9</v>
      </c>
      <c r="AJ196" s="129">
        <v>672.4</v>
      </c>
    </row>
    <row r="197" spans="1:36" s="124" customFormat="1" ht="48.6" customHeight="1">
      <c r="A197" s="184" t="s">
        <v>143</v>
      </c>
      <c r="B197" s="185"/>
      <c r="C197" s="185"/>
      <c r="D197" s="196"/>
      <c r="E197" s="47">
        <v>8</v>
      </c>
      <c r="F197" s="47">
        <v>2</v>
      </c>
      <c r="G197" s="146" t="s">
        <v>144</v>
      </c>
      <c r="H197" s="48">
        <v>0</v>
      </c>
      <c r="I197" s="49">
        <v>760.6</v>
      </c>
      <c r="J197" s="49">
        <v>0</v>
      </c>
      <c r="K197" s="49">
        <v>672.4</v>
      </c>
      <c r="L197" s="49">
        <v>0</v>
      </c>
      <c r="M197" s="49">
        <v>672.4</v>
      </c>
      <c r="N197" s="49">
        <v>0</v>
      </c>
      <c r="P197" s="125">
        <v>677.53125399999999</v>
      </c>
      <c r="AD197" s="65">
        <v>564.9</v>
      </c>
      <c r="AE197" s="65">
        <v>0</v>
      </c>
      <c r="AF197" s="65">
        <v>638.9</v>
      </c>
      <c r="AG197" s="65">
        <v>0</v>
      </c>
      <c r="AH197" s="65">
        <v>638.9</v>
      </c>
      <c r="AJ197" s="129">
        <v>672.4</v>
      </c>
    </row>
    <row r="198" spans="1:36" s="124" customFormat="1" ht="49.8" customHeight="1">
      <c r="A198" s="209" t="s">
        <v>396</v>
      </c>
      <c r="B198" s="210"/>
      <c r="C198" s="210"/>
      <c r="D198" s="211"/>
      <c r="E198" s="47">
        <v>8</v>
      </c>
      <c r="F198" s="47">
        <v>2</v>
      </c>
      <c r="G198" s="146" t="s">
        <v>110</v>
      </c>
      <c r="H198" s="48">
        <v>0</v>
      </c>
      <c r="I198" s="49">
        <v>760.6</v>
      </c>
      <c r="J198" s="49">
        <v>0</v>
      </c>
      <c r="K198" s="49">
        <v>672.4</v>
      </c>
      <c r="L198" s="49">
        <v>0</v>
      </c>
      <c r="M198" s="49">
        <v>672.4</v>
      </c>
      <c r="N198" s="49">
        <v>0</v>
      </c>
      <c r="P198" s="125">
        <v>677.53125399999999</v>
      </c>
      <c r="AD198" s="65">
        <v>564.9</v>
      </c>
      <c r="AE198" s="65">
        <v>0</v>
      </c>
      <c r="AF198" s="65">
        <v>638.9</v>
      </c>
      <c r="AG198" s="65">
        <v>0</v>
      </c>
      <c r="AH198" s="65">
        <v>638.9</v>
      </c>
      <c r="AJ198" s="129">
        <v>672.4</v>
      </c>
    </row>
    <row r="199" spans="1:36" s="124" customFormat="1" ht="60.6" customHeight="1">
      <c r="A199" s="210" t="s">
        <v>40</v>
      </c>
      <c r="B199" s="210"/>
      <c r="C199" s="210"/>
      <c r="D199" s="210"/>
      <c r="E199" s="47">
        <v>8</v>
      </c>
      <c r="F199" s="47">
        <v>2</v>
      </c>
      <c r="G199" s="146" t="s">
        <v>110</v>
      </c>
      <c r="H199" s="48">
        <v>100</v>
      </c>
      <c r="I199" s="49">
        <v>760.6</v>
      </c>
      <c r="J199" s="49">
        <v>0</v>
      </c>
      <c r="K199" s="49">
        <v>672.4</v>
      </c>
      <c r="L199" s="49">
        <v>0</v>
      </c>
      <c r="M199" s="49">
        <v>672.4</v>
      </c>
      <c r="N199" s="49">
        <v>0</v>
      </c>
      <c r="P199" s="125">
        <v>677.53125399999999</v>
      </c>
      <c r="AD199" s="65">
        <v>564.9</v>
      </c>
      <c r="AE199" s="65">
        <v>0</v>
      </c>
      <c r="AF199" s="65">
        <v>638.9</v>
      </c>
      <c r="AG199" s="65">
        <v>0</v>
      </c>
      <c r="AH199" s="65">
        <v>638.9</v>
      </c>
      <c r="AJ199" s="129">
        <v>672.4</v>
      </c>
    </row>
    <row r="200" spans="1:36" s="124" customFormat="1" ht="18.600000000000001" customHeight="1">
      <c r="A200" s="209" t="s">
        <v>42</v>
      </c>
      <c r="B200" s="210"/>
      <c r="C200" s="210"/>
      <c r="D200" s="211"/>
      <c r="E200" s="47">
        <v>8</v>
      </c>
      <c r="F200" s="47">
        <v>2</v>
      </c>
      <c r="G200" s="146" t="s">
        <v>110</v>
      </c>
      <c r="H200" s="48">
        <v>110</v>
      </c>
      <c r="I200" s="49">
        <v>760.6</v>
      </c>
      <c r="J200" s="49">
        <v>0</v>
      </c>
      <c r="K200" s="49">
        <v>672.4</v>
      </c>
      <c r="L200" s="49">
        <v>0</v>
      </c>
      <c r="M200" s="49">
        <v>672.4</v>
      </c>
      <c r="N200" s="49">
        <v>0</v>
      </c>
      <c r="P200" s="125">
        <v>677.53125399999999</v>
      </c>
      <c r="AD200" s="65">
        <v>564.9</v>
      </c>
      <c r="AE200" s="65">
        <v>0</v>
      </c>
      <c r="AF200" s="65">
        <v>677.5</v>
      </c>
      <c r="AG200" s="65">
        <v>0</v>
      </c>
      <c r="AH200" s="65">
        <v>677.5</v>
      </c>
      <c r="AJ200" s="129">
        <v>677.5</v>
      </c>
    </row>
    <row r="201" spans="1:36" s="124" customFormat="1" ht="13.8">
      <c r="A201" s="189" t="s">
        <v>1</v>
      </c>
      <c r="B201" s="189"/>
      <c r="C201" s="189"/>
      <c r="D201" s="189"/>
      <c r="E201" s="40">
        <v>10</v>
      </c>
      <c r="F201" s="40">
        <v>0</v>
      </c>
      <c r="G201" s="146"/>
      <c r="H201" s="42"/>
      <c r="I201" s="43">
        <v>60</v>
      </c>
      <c r="J201" s="43">
        <v>0</v>
      </c>
      <c r="K201" s="43">
        <v>60</v>
      </c>
      <c r="L201" s="43">
        <v>0</v>
      </c>
      <c r="M201" s="43">
        <v>60</v>
      </c>
      <c r="N201" s="43">
        <v>0</v>
      </c>
      <c r="P201" s="125">
        <v>210</v>
      </c>
      <c r="AD201" s="63">
        <v>360</v>
      </c>
      <c r="AE201" s="63">
        <v>0</v>
      </c>
      <c r="AF201" s="63">
        <v>360</v>
      </c>
      <c r="AG201" s="63">
        <v>0</v>
      </c>
      <c r="AH201" s="63">
        <v>360</v>
      </c>
      <c r="AJ201" s="129">
        <v>360</v>
      </c>
    </row>
    <row r="202" spans="1:36" s="124" customFormat="1" ht="13.8">
      <c r="A202" s="189" t="s">
        <v>2</v>
      </c>
      <c r="B202" s="189"/>
      <c r="C202" s="189"/>
      <c r="D202" s="189"/>
      <c r="E202" s="40">
        <v>10</v>
      </c>
      <c r="F202" s="40">
        <v>1</v>
      </c>
      <c r="G202" s="146"/>
      <c r="H202" s="42"/>
      <c r="I202" s="43">
        <v>60</v>
      </c>
      <c r="J202" s="43">
        <v>0</v>
      </c>
      <c r="K202" s="43">
        <v>60</v>
      </c>
      <c r="L202" s="43">
        <v>0</v>
      </c>
      <c r="M202" s="43">
        <v>60</v>
      </c>
      <c r="N202" s="43">
        <v>0</v>
      </c>
      <c r="P202" s="125">
        <v>210</v>
      </c>
      <c r="AD202" s="63">
        <v>360</v>
      </c>
      <c r="AE202" s="63">
        <v>0</v>
      </c>
      <c r="AF202" s="63">
        <v>360</v>
      </c>
      <c r="AG202" s="63">
        <v>0</v>
      </c>
      <c r="AH202" s="63">
        <v>360</v>
      </c>
      <c r="AJ202" s="129">
        <v>360</v>
      </c>
    </row>
    <row r="203" spans="1:36" s="124" customFormat="1" ht="31.8" customHeight="1">
      <c r="A203" s="202" t="s">
        <v>313</v>
      </c>
      <c r="B203" s="203"/>
      <c r="C203" s="203"/>
      <c r="D203" s="204"/>
      <c r="E203" s="50">
        <v>10</v>
      </c>
      <c r="F203" s="50">
        <v>1</v>
      </c>
      <c r="G203" s="146" t="s">
        <v>166</v>
      </c>
      <c r="H203" s="48">
        <v>0</v>
      </c>
      <c r="I203" s="53">
        <v>60</v>
      </c>
      <c r="J203" s="53">
        <v>0</v>
      </c>
      <c r="K203" s="53">
        <v>60</v>
      </c>
      <c r="L203" s="53">
        <v>0</v>
      </c>
      <c r="M203" s="53">
        <v>60</v>
      </c>
      <c r="N203" s="53">
        <v>0</v>
      </c>
      <c r="P203" s="125">
        <v>210</v>
      </c>
      <c r="AD203" s="66">
        <v>360</v>
      </c>
      <c r="AE203" s="66">
        <v>0</v>
      </c>
      <c r="AF203" s="66">
        <v>360</v>
      </c>
      <c r="AG203" s="66">
        <v>0</v>
      </c>
      <c r="AH203" s="66">
        <v>360</v>
      </c>
      <c r="AJ203" s="129">
        <v>360</v>
      </c>
    </row>
    <row r="204" spans="1:36" s="124" customFormat="1" ht="42" customHeight="1">
      <c r="A204" s="186" t="s">
        <v>158</v>
      </c>
      <c r="B204" s="187"/>
      <c r="C204" s="187"/>
      <c r="D204" s="191"/>
      <c r="E204" s="47">
        <v>10</v>
      </c>
      <c r="F204" s="47">
        <v>1</v>
      </c>
      <c r="G204" s="142" t="s">
        <v>115</v>
      </c>
      <c r="H204" s="48">
        <v>0</v>
      </c>
      <c r="I204" s="49">
        <v>60</v>
      </c>
      <c r="J204" s="49">
        <v>0</v>
      </c>
      <c r="K204" s="49">
        <v>60</v>
      </c>
      <c r="L204" s="49">
        <v>0</v>
      </c>
      <c r="M204" s="49">
        <v>60</v>
      </c>
      <c r="N204" s="49">
        <v>0</v>
      </c>
      <c r="P204" s="125">
        <v>210</v>
      </c>
      <c r="AD204" s="65">
        <v>360</v>
      </c>
      <c r="AE204" s="65">
        <v>0</v>
      </c>
      <c r="AF204" s="65">
        <v>360</v>
      </c>
      <c r="AG204" s="65">
        <v>0</v>
      </c>
      <c r="AH204" s="65">
        <v>360</v>
      </c>
      <c r="AJ204" s="129">
        <v>360</v>
      </c>
    </row>
    <row r="205" spans="1:36" s="124" customFormat="1" ht="56.4" customHeight="1">
      <c r="A205" s="186" t="s">
        <v>365</v>
      </c>
      <c r="B205" s="187"/>
      <c r="C205" s="187"/>
      <c r="D205" s="187"/>
      <c r="E205" s="47">
        <v>10</v>
      </c>
      <c r="F205" s="47">
        <v>1</v>
      </c>
      <c r="G205" s="142" t="s">
        <v>266</v>
      </c>
      <c r="H205" s="48">
        <v>0</v>
      </c>
      <c r="I205" s="49">
        <v>60</v>
      </c>
      <c r="J205" s="49">
        <v>0</v>
      </c>
      <c r="K205" s="49">
        <v>60</v>
      </c>
      <c r="L205" s="49">
        <v>0</v>
      </c>
      <c r="M205" s="49">
        <v>60</v>
      </c>
      <c r="N205" s="49">
        <v>0</v>
      </c>
      <c r="P205" s="125">
        <v>210</v>
      </c>
      <c r="AD205" s="65">
        <v>360</v>
      </c>
      <c r="AE205" s="65">
        <v>0</v>
      </c>
      <c r="AF205" s="65">
        <v>360</v>
      </c>
      <c r="AG205" s="65">
        <v>0</v>
      </c>
      <c r="AH205" s="65">
        <v>360</v>
      </c>
      <c r="AJ205" s="129">
        <v>360</v>
      </c>
    </row>
    <row r="206" spans="1:36" s="124" customFormat="1" ht="14.4" customHeight="1">
      <c r="A206" s="186" t="s">
        <v>57</v>
      </c>
      <c r="B206" s="187" t="s">
        <v>57</v>
      </c>
      <c r="C206" s="187"/>
      <c r="D206" s="187"/>
      <c r="E206" s="47">
        <v>10</v>
      </c>
      <c r="F206" s="47">
        <v>1</v>
      </c>
      <c r="G206" s="142" t="s">
        <v>266</v>
      </c>
      <c r="H206" s="48">
        <v>300</v>
      </c>
      <c r="I206" s="49">
        <v>60</v>
      </c>
      <c r="J206" s="49">
        <v>0</v>
      </c>
      <c r="K206" s="49">
        <v>60</v>
      </c>
      <c r="L206" s="49">
        <v>0</v>
      </c>
      <c r="M206" s="49">
        <v>60</v>
      </c>
      <c r="N206" s="49">
        <v>0</v>
      </c>
      <c r="P206" s="125">
        <v>210</v>
      </c>
      <c r="AD206" s="65">
        <v>360</v>
      </c>
      <c r="AE206" s="65">
        <v>0</v>
      </c>
      <c r="AF206" s="65">
        <v>360</v>
      </c>
      <c r="AG206" s="65">
        <v>0</v>
      </c>
      <c r="AH206" s="65">
        <v>360</v>
      </c>
      <c r="AJ206" s="129">
        <v>360</v>
      </c>
    </row>
    <row r="207" spans="1:36" s="124" customFormat="1" ht="22.2" customHeight="1">
      <c r="A207" s="186" t="s">
        <v>371</v>
      </c>
      <c r="B207" s="187"/>
      <c r="C207" s="187"/>
      <c r="D207" s="191"/>
      <c r="E207" s="47">
        <v>10</v>
      </c>
      <c r="F207" s="47">
        <v>1</v>
      </c>
      <c r="G207" s="142" t="s">
        <v>266</v>
      </c>
      <c r="H207" s="48">
        <v>310</v>
      </c>
      <c r="I207" s="49">
        <v>60</v>
      </c>
      <c r="J207" s="49">
        <v>0</v>
      </c>
      <c r="K207" s="49">
        <v>60</v>
      </c>
      <c r="L207" s="49">
        <v>0</v>
      </c>
      <c r="M207" s="49">
        <v>60</v>
      </c>
      <c r="N207" s="49">
        <v>0</v>
      </c>
      <c r="P207" s="125">
        <v>210</v>
      </c>
      <c r="AD207" s="65">
        <v>360</v>
      </c>
      <c r="AE207" s="65">
        <v>0</v>
      </c>
      <c r="AF207" s="65">
        <v>360</v>
      </c>
      <c r="AG207" s="65">
        <v>0</v>
      </c>
      <c r="AH207" s="65">
        <v>360</v>
      </c>
      <c r="AJ207" s="129">
        <v>360</v>
      </c>
    </row>
    <row r="208" spans="1:36" s="124" customFormat="1" ht="16.95" customHeight="1">
      <c r="A208" s="189" t="s">
        <v>5</v>
      </c>
      <c r="B208" s="189"/>
      <c r="C208" s="189"/>
      <c r="D208" s="189"/>
      <c r="E208" s="40">
        <v>11</v>
      </c>
      <c r="F208" s="40">
        <v>0</v>
      </c>
      <c r="G208" s="142"/>
      <c r="H208" s="42"/>
      <c r="I208" s="43">
        <v>489</v>
      </c>
      <c r="J208" s="43">
        <v>0</v>
      </c>
      <c r="K208" s="43">
        <v>472.7</v>
      </c>
      <c r="L208" s="43">
        <v>0</v>
      </c>
      <c r="M208" s="43">
        <v>472.7</v>
      </c>
      <c r="N208" s="43">
        <v>0</v>
      </c>
      <c r="P208" s="125">
        <v>441.94206600000012</v>
      </c>
      <c r="AD208" s="63">
        <v>406.6</v>
      </c>
      <c r="AE208" s="63">
        <v>0</v>
      </c>
      <c r="AF208" s="63">
        <v>406.6</v>
      </c>
      <c r="AG208" s="63">
        <v>0</v>
      </c>
      <c r="AH208" s="63">
        <v>406.6</v>
      </c>
      <c r="AJ208" s="129">
        <v>472.7</v>
      </c>
    </row>
    <row r="209" spans="1:36" s="124" customFormat="1" ht="16.95" customHeight="1">
      <c r="A209" s="189" t="s">
        <v>4</v>
      </c>
      <c r="B209" s="189"/>
      <c r="C209" s="189"/>
      <c r="D209" s="189"/>
      <c r="E209" s="40">
        <v>11</v>
      </c>
      <c r="F209" s="40">
        <v>1</v>
      </c>
      <c r="G209" s="142"/>
      <c r="H209" s="42"/>
      <c r="I209" s="43">
        <v>489</v>
      </c>
      <c r="J209" s="43">
        <v>0</v>
      </c>
      <c r="K209" s="43">
        <v>472.7</v>
      </c>
      <c r="L209" s="43">
        <v>0</v>
      </c>
      <c r="M209" s="43">
        <v>472.7</v>
      </c>
      <c r="N209" s="43">
        <v>0</v>
      </c>
      <c r="P209" s="125">
        <v>441.94206600000012</v>
      </c>
      <c r="AD209" s="63">
        <v>406.6</v>
      </c>
      <c r="AE209" s="63">
        <v>0</v>
      </c>
      <c r="AF209" s="63">
        <v>406.6</v>
      </c>
      <c r="AG209" s="63">
        <v>0</v>
      </c>
      <c r="AH209" s="63">
        <v>406.6</v>
      </c>
      <c r="AJ209" s="129">
        <v>472.7</v>
      </c>
    </row>
    <row r="210" spans="1:36" s="124" customFormat="1" ht="34.200000000000003" customHeight="1">
      <c r="A210" s="202" t="s">
        <v>313</v>
      </c>
      <c r="B210" s="203"/>
      <c r="C210" s="203"/>
      <c r="D210" s="204"/>
      <c r="E210" s="50">
        <v>11</v>
      </c>
      <c r="F210" s="50">
        <v>1</v>
      </c>
      <c r="G210" s="51" t="s">
        <v>54</v>
      </c>
      <c r="H210" s="48">
        <v>0</v>
      </c>
      <c r="I210" s="53">
        <v>489</v>
      </c>
      <c r="J210" s="53">
        <v>0</v>
      </c>
      <c r="K210" s="53">
        <v>472.7</v>
      </c>
      <c r="L210" s="53">
        <v>0</v>
      </c>
      <c r="M210" s="53">
        <v>472.7</v>
      </c>
      <c r="N210" s="53">
        <v>0</v>
      </c>
      <c r="P210" s="125">
        <v>441.94206600000012</v>
      </c>
      <c r="AD210" s="66">
        <v>406.6</v>
      </c>
      <c r="AE210" s="66">
        <v>0</v>
      </c>
      <c r="AF210" s="66">
        <v>406.6</v>
      </c>
      <c r="AG210" s="66">
        <v>0</v>
      </c>
      <c r="AH210" s="66">
        <v>406.6</v>
      </c>
      <c r="AJ210" s="129">
        <v>472.7</v>
      </c>
    </row>
    <row r="211" spans="1:36" s="124" customFormat="1" ht="43.95" customHeight="1">
      <c r="A211" s="188" t="s">
        <v>141</v>
      </c>
      <c r="B211" s="215"/>
      <c r="C211" s="215"/>
      <c r="D211" s="215"/>
      <c r="E211" s="47">
        <v>11</v>
      </c>
      <c r="F211" s="47">
        <v>1</v>
      </c>
      <c r="G211" s="31" t="s">
        <v>293</v>
      </c>
      <c r="H211" s="48">
        <v>0</v>
      </c>
      <c r="I211" s="49">
        <v>489</v>
      </c>
      <c r="J211" s="49">
        <v>0</v>
      </c>
      <c r="K211" s="49">
        <v>472.7</v>
      </c>
      <c r="L211" s="49">
        <v>0</v>
      </c>
      <c r="M211" s="49">
        <v>472.7</v>
      </c>
      <c r="N211" s="49">
        <v>0</v>
      </c>
      <c r="P211" s="125">
        <v>416.94206600000012</v>
      </c>
      <c r="AD211" s="65">
        <v>406.6</v>
      </c>
      <c r="AE211" s="65">
        <v>0</v>
      </c>
      <c r="AF211" s="65">
        <v>406.6</v>
      </c>
      <c r="AG211" s="65">
        <v>0</v>
      </c>
      <c r="AH211" s="65">
        <v>406.6</v>
      </c>
      <c r="AJ211" s="129">
        <v>472.7</v>
      </c>
    </row>
    <row r="212" spans="1:36" s="124" customFormat="1" ht="45.6" customHeight="1">
      <c r="A212" s="186" t="s">
        <v>397</v>
      </c>
      <c r="B212" s="187"/>
      <c r="C212" s="187"/>
      <c r="D212" s="187"/>
      <c r="E212" s="47">
        <v>11</v>
      </c>
      <c r="F212" s="47">
        <v>1</v>
      </c>
      <c r="G212" s="31" t="s">
        <v>294</v>
      </c>
      <c r="H212" s="48" t="s">
        <v>31</v>
      </c>
      <c r="I212" s="49">
        <v>489</v>
      </c>
      <c r="J212" s="49">
        <v>0</v>
      </c>
      <c r="K212" s="49">
        <v>472.7</v>
      </c>
      <c r="L212" s="49">
        <v>0</v>
      </c>
      <c r="M212" s="49">
        <v>472.7</v>
      </c>
      <c r="N212" s="49">
        <v>0</v>
      </c>
      <c r="P212" s="125">
        <v>416.94206600000012</v>
      </c>
      <c r="AD212" s="65">
        <v>406.6</v>
      </c>
      <c r="AE212" s="65">
        <v>0</v>
      </c>
      <c r="AF212" s="65">
        <v>406.6</v>
      </c>
      <c r="AG212" s="65">
        <v>0</v>
      </c>
      <c r="AH212" s="65">
        <v>406.6</v>
      </c>
      <c r="AJ212" s="129">
        <v>472.7</v>
      </c>
    </row>
    <row r="213" spans="1:36" s="124" customFormat="1" ht="60" customHeight="1">
      <c r="A213" s="186" t="s">
        <v>40</v>
      </c>
      <c r="B213" s="187"/>
      <c r="C213" s="187"/>
      <c r="D213" s="187"/>
      <c r="E213" s="47">
        <v>11</v>
      </c>
      <c r="F213" s="47">
        <v>1</v>
      </c>
      <c r="G213" s="31" t="s">
        <v>294</v>
      </c>
      <c r="H213" s="48" t="s">
        <v>41</v>
      </c>
      <c r="I213" s="49">
        <v>489</v>
      </c>
      <c r="J213" s="49">
        <v>0</v>
      </c>
      <c r="K213" s="49">
        <v>472.7</v>
      </c>
      <c r="L213" s="49">
        <v>0</v>
      </c>
      <c r="M213" s="49">
        <v>472.7</v>
      </c>
      <c r="N213" s="49">
        <v>0</v>
      </c>
      <c r="P213" s="125">
        <v>416.94206600000012</v>
      </c>
      <c r="AD213" s="65">
        <v>406.6</v>
      </c>
      <c r="AE213" s="65">
        <v>0</v>
      </c>
      <c r="AF213" s="65">
        <v>406.6</v>
      </c>
      <c r="AG213" s="65">
        <v>0</v>
      </c>
      <c r="AH213" s="65">
        <v>406.6</v>
      </c>
      <c r="AJ213" s="129">
        <v>472.7</v>
      </c>
    </row>
    <row r="214" spans="1:36" s="124" customFormat="1" ht="14.4" customHeight="1">
      <c r="A214" s="186" t="s">
        <v>52</v>
      </c>
      <c r="B214" s="187"/>
      <c r="C214" s="187"/>
      <c r="D214" s="187"/>
      <c r="E214" s="47">
        <v>11</v>
      </c>
      <c r="F214" s="47">
        <v>1</v>
      </c>
      <c r="G214" s="31" t="s">
        <v>294</v>
      </c>
      <c r="H214" s="48" t="s">
        <v>43</v>
      </c>
      <c r="I214" s="49">
        <f>472.7+16.3</f>
        <v>489</v>
      </c>
      <c r="J214" s="49">
        <v>0</v>
      </c>
      <c r="K214" s="49">
        <v>472.7</v>
      </c>
      <c r="L214" s="49">
        <v>0</v>
      </c>
      <c r="M214" s="49">
        <v>472.7</v>
      </c>
      <c r="N214" s="49">
        <v>0</v>
      </c>
      <c r="P214" s="125">
        <v>416.94206600000012</v>
      </c>
      <c r="AD214" s="65">
        <v>406.6</v>
      </c>
      <c r="AE214" s="65">
        <v>0</v>
      </c>
      <c r="AF214" s="65">
        <v>406.6</v>
      </c>
      <c r="AG214" s="65">
        <v>0</v>
      </c>
      <c r="AH214" s="65">
        <v>406.6</v>
      </c>
      <c r="AJ214" s="129">
        <v>472.7</v>
      </c>
    </row>
    <row r="215" spans="1:36" s="124" customFormat="1" ht="31.2" hidden="1" customHeight="1">
      <c r="A215" s="186" t="s">
        <v>44</v>
      </c>
      <c r="B215" s="187" t="s">
        <v>44</v>
      </c>
      <c r="C215" s="187" t="s">
        <v>44</v>
      </c>
      <c r="D215" s="191" t="s">
        <v>44</v>
      </c>
      <c r="E215" s="47">
        <v>11</v>
      </c>
      <c r="F215" s="47">
        <v>1</v>
      </c>
      <c r="G215" s="31" t="s">
        <v>142</v>
      </c>
      <c r="H215" s="48" t="s">
        <v>45</v>
      </c>
      <c r="I215" s="49">
        <f>I216</f>
        <v>0</v>
      </c>
      <c r="J215" s="49">
        <v>0</v>
      </c>
      <c r="K215" s="49">
        <f>K216</f>
        <v>0</v>
      </c>
      <c r="L215" s="49">
        <v>0</v>
      </c>
      <c r="M215" s="49">
        <f>M216</f>
        <v>0</v>
      </c>
      <c r="N215" s="49">
        <f>N216</f>
        <v>0</v>
      </c>
      <c r="P215" s="125">
        <v>25</v>
      </c>
      <c r="AD215" s="151"/>
      <c r="AE215" s="151"/>
      <c r="AF215" s="151"/>
      <c r="AG215" s="151"/>
      <c r="AH215" s="151"/>
      <c r="AJ215" s="129"/>
    </row>
    <row r="216" spans="1:36" s="124" customFormat="1" ht="31.2" hidden="1" customHeight="1">
      <c r="A216" s="237" t="s">
        <v>46</v>
      </c>
      <c r="B216" s="238" t="s">
        <v>46</v>
      </c>
      <c r="C216" s="238" t="s">
        <v>46</v>
      </c>
      <c r="D216" s="239" t="s">
        <v>46</v>
      </c>
      <c r="E216" s="47">
        <v>11</v>
      </c>
      <c r="F216" s="47">
        <v>1</v>
      </c>
      <c r="G216" s="31" t="s">
        <v>142</v>
      </c>
      <c r="H216" s="48" t="s">
        <v>47</v>
      </c>
      <c r="I216" s="49">
        <f>'[1]Прил. 6'!D92</f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P216" s="125">
        <v>25</v>
      </c>
      <c r="AD216" s="151"/>
      <c r="AE216" s="151"/>
      <c r="AF216" s="151"/>
      <c r="AG216" s="151"/>
      <c r="AH216" s="151"/>
      <c r="AJ216" s="129"/>
    </row>
    <row r="217" spans="1:36" ht="30" customHeight="1">
      <c r="N217" s="152" t="s">
        <v>26</v>
      </c>
    </row>
  </sheetData>
  <mergeCells count="213">
    <mergeCell ref="A216:D216"/>
    <mergeCell ref="A81:D81"/>
    <mergeCell ref="A82:D82"/>
    <mergeCell ref="A83:D83"/>
    <mergeCell ref="A84:D84"/>
    <mergeCell ref="A85:D85"/>
    <mergeCell ref="A145:D145"/>
    <mergeCell ref="A146:D146"/>
    <mergeCell ref="A147:D147"/>
    <mergeCell ref="A148:D148"/>
    <mergeCell ref="A210:D210"/>
    <mergeCell ref="A211:D211"/>
    <mergeCell ref="A212:D212"/>
    <mergeCell ref="A213:D213"/>
    <mergeCell ref="A214:D214"/>
    <mergeCell ref="A215:D215"/>
    <mergeCell ref="A204:D204"/>
    <mergeCell ref="A205:D205"/>
    <mergeCell ref="A206:D206"/>
    <mergeCell ref="A207:D207"/>
    <mergeCell ref="A208:D208"/>
    <mergeCell ref="A209:D209"/>
    <mergeCell ref="A198:D198"/>
    <mergeCell ref="A199:D199"/>
    <mergeCell ref="A200:D200"/>
    <mergeCell ref="A201:D201"/>
    <mergeCell ref="A202:D202"/>
    <mergeCell ref="A203:D203"/>
    <mergeCell ref="A192:D192"/>
    <mergeCell ref="A193:D193"/>
    <mergeCell ref="A194:D194"/>
    <mergeCell ref="A195:D195"/>
    <mergeCell ref="A196:D196"/>
    <mergeCell ref="A197:D197"/>
    <mergeCell ref="A186:D186"/>
    <mergeCell ref="A187:D187"/>
    <mergeCell ref="A188:D188"/>
    <mergeCell ref="A189:D189"/>
    <mergeCell ref="A190:D190"/>
    <mergeCell ref="A191:D191"/>
    <mergeCell ref="A180:D180"/>
    <mergeCell ref="A181:D181"/>
    <mergeCell ref="A182:D182"/>
    <mergeCell ref="A183:D183"/>
    <mergeCell ref="A184:D184"/>
    <mergeCell ref="A185:D185"/>
    <mergeCell ref="A171:D171"/>
    <mergeCell ref="A172:D172"/>
    <mergeCell ref="A173:D173"/>
    <mergeCell ref="A177:D177"/>
    <mergeCell ref="A178:D178"/>
    <mergeCell ref="A179:D179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2:D142"/>
    <mergeCell ref="A143:D143"/>
    <mergeCell ref="A144:D144"/>
    <mergeCell ref="A150:D150"/>
    <mergeCell ref="A151:D151"/>
    <mergeCell ref="A152:D152"/>
    <mergeCell ref="A149:D149"/>
    <mergeCell ref="A136:D136"/>
    <mergeCell ref="A137:D137"/>
    <mergeCell ref="A138:D138"/>
    <mergeCell ref="A139:D139"/>
    <mergeCell ref="A140:D140"/>
    <mergeCell ref="A141:D141"/>
    <mergeCell ref="A130:D130"/>
    <mergeCell ref="A131:D131"/>
    <mergeCell ref="A132:D132"/>
    <mergeCell ref="A133:D133"/>
    <mergeCell ref="A134:D134"/>
    <mergeCell ref="A135:D135"/>
    <mergeCell ref="A124:D124"/>
    <mergeCell ref="A125:D125"/>
    <mergeCell ref="A126:D126"/>
    <mergeCell ref="A127:D127"/>
    <mergeCell ref="A128:D128"/>
    <mergeCell ref="A129:D129"/>
    <mergeCell ref="A115:D115"/>
    <mergeCell ref="A119:D119"/>
    <mergeCell ref="A120:D120"/>
    <mergeCell ref="A121:D121"/>
    <mergeCell ref="A122:D122"/>
    <mergeCell ref="A123:D123"/>
    <mergeCell ref="A116:D116"/>
    <mergeCell ref="A117:D117"/>
    <mergeCell ref="A118:D118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91:D91"/>
    <mergeCell ref="A92:D92"/>
    <mergeCell ref="A93:D93"/>
    <mergeCell ref="A94:D94"/>
    <mergeCell ref="A95:D95"/>
    <mergeCell ref="A96:D96"/>
    <mergeCell ref="A80:D80"/>
    <mergeCell ref="A86:D86"/>
    <mergeCell ref="A87:D87"/>
    <mergeCell ref="A88:D88"/>
    <mergeCell ref="A89:D89"/>
    <mergeCell ref="A90:D90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N10"/>
    <mergeCell ref="A11:D13"/>
    <mergeCell ref="E11:H11"/>
    <mergeCell ref="I11:I13"/>
    <mergeCell ref="J11:J13"/>
    <mergeCell ref="K11:K13"/>
    <mergeCell ref="L11:L13"/>
    <mergeCell ref="M11:M13"/>
    <mergeCell ref="N11:N13"/>
    <mergeCell ref="E12:H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view="pageBreakPreview" zoomScale="55" zoomScaleNormal="70" zoomScaleSheetLayoutView="55" workbookViewId="0">
      <selection activeCell="D12" sqref="D12"/>
    </sheetView>
  </sheetViews>
  <sheetFormatPr defaultColWidth="9.109375" defaultRowHeight="13.2"/>
  <cols>
    <col min="1" max="1" width="102.88671875" style="1" customWidth="1"/>
    <col min="2" max="2" width="17.88671875" style="1" customWidth="1"/>
    <col min="3" max="3" width="6.6640625" style="28" customWidth="1"/>
    <col min="4" max="4" width="19.88671875" style="25" customWidth="1"/>
    <col min="5" max="5" width="21.33203125" style="25" customWidth="1"/>
    <col min="6" max="6" width="20.44140625" style="25" customWidth="1"/>
    <col min="7" max="7" width="0" style="17" hidden="1" customWidth="1"/>
    <col min="8" max="223" width="9.109375" style="3"/>
    <col min="224" max="224" width="102.88671875" style="3" customWidth="1"/>
    <col min="225" max="225" width="17.88671875" style="3" customWidth="1"/>
    <col min="226" max="226" width="6.6640625" style="3" customWidth="1"/>
    <col min="227" max="227" width="12.33203125" style="3" customWidth="1"/>
    <col min="228" max="229" width="0" style="3" hidden="1" customWidth="1"/>
    <col min="230" max="230" width="14" style="3" customWidth="1"/>
    <col min="231" max="231" width="17.6640625" style="3" customWidth="1"/>
    <col min="232" max="232" width="0.44140625" style="3" customWidth="1"/>
    <col min="233" max="255" width="0" style="3" hidden="1" customWidth="1"/>
    <col min="256" max="479" width="9.109375" style="3"/>
    <col min="480" max="480" width="102.88671875" style="3" customWidth="1"/>
    <col min="481" max="481" width="17.88671875" style="3" customWidth="1"/>
    <col min="482" max="482" width="6.6640625" style="3" customWidth="1"/>
    <col min="483" max="483" width="12.33203125" style="3" customWidth="1"/>
    <col min="484" max="485" width="0" style="3" hidden="1" customWidth="1"/>
    <col min="486" max="486" width="14" style="3" customWidth="1"/>
    <col min="487" max="487" width="17.6640625" style="3" customWidth="1"/>
    <col min="488" max="488" width="0.44140625" style="3" customWidth="1"/>
    <col min="489" max="511" width="0" style="3" hidden="1" customWidth="1"/>
    <col min="512" max="735" width="9.109375" style="3"/>
    <col min="736" max="736" width="102.88671875" style="3" customWidth="1"/>
    <col min="737" max="737" width="17.88671875" style="3" customWidth="1"/>
    <col min="738" max="738" width="6.6640625" style="3" customWidth="1"/>
    <col min="739" max="739" width="12.33203125" style="3" customWidth="1"/>
    <col min="740" max="741" width="0" style="3" hidden="1" customWidth="1"/>
    <col min="742" max="742" width="14" style="3" customWidth="1"/>
    <col min="743" max="743" width="17.6640625" style="3" customWidth="1"/>
    <col min="744" max="744" width="0.44140625" style="3" customWidth="1"/>
    <col min="745" max="767" width="0" style="3" hidden="1" customWidth="1"/>
    <col min="768" max="991" width="9.109375" style="3"/>
    <col min="992" max="992" width="102.88671875" style="3" customWidth="1"/>
    <col min="993" max="993" width="17.88671875" style="3" customWidth="1"/>
    <col min="994" max="994" width="6.6640625" style="3" customWidth="1"/>
    <col min="995" max="995" width="12.33203125" style="3" customWidth="1"/>
    <col min="996" max="997" width="0" style="3" hidden="1" customWidth="1"/>
    <col min="998" max="998" width="14" style="3" customWidth="1"/>
    <col min="999" max="999" width="17.6640625" style="3" customWidth="1"/>
    <col min="1000" max="1000" width="0.44140625" style="3" customWidth="1"/>
    <col min="1001" max="1023" width="0" style="3" hidden="1" customWidth="1"/>
    <col min="1024" max="1247" width="9.109375" style="3"/>
    <col min="1248" max="1248" width="102.88671875" style="3" customWidth="1"/>
    <col min="1249" max="1249" width="17.88671875" style="3" customWidth="1"/>
    <col min="1250" max="1250" width="6.6640625" style="3" customWidth="1"/>
    <col min="1251" max="1251" width="12.33203125" style="3" customWidth="1"/>
    <col min="1252" max="1253" width="0" style="3" hidden="1" customWidth="1"/>
    <col min="1254" max="1254" width="14" style="3" customWidth="1"/>
    <col min="1255" max="1255" width="17.6640625" style="3" customWidth="1"/>
    <col min="1256" max="1256" width="0.44140625" style="3" customWidth="1"/>
    <col min="1257" max="1279" width="0" style="3" hidden="1" customWidth="1"/>
    <col min="1280" max="1503" width="9.109375" style="3"/>
    <col min="1504" max="1504" width="102.88671875" style="3" customWidth="1"/>
    <col min="1505" max="1505" width="17.88671875" style="3" customWidth="1"/>
    <col min="1506" max="1506" width="6.6640625" style="3" customWidth="1"/>
    <col min="1507" max="1507" width="12.33203125" style="3" customWidth="1"/>
    <col min="1508" max="1509" width="0" style="3" hidden="1" customWidth="1"/>
    <col min="1510" max="1510" width="14" style="3" customWidth="1"/>
    <col min="1511" max="1511" width="17.6640625" style="3" customWidth="1"/>
    <col min="1512" max="1512" width="0.44140625" style="3" customWidth="1"/>
    <col min="1513" max="1535" width="0" style="3" hidden="1" customWidth="1"/>
    <col min="1536" max="1759" width="9.109375" style="3"/>
    <col min="1760" max="1760" width="102.88671875" style="3" customWidth="1"/>
    <col min="1761" max="1761" width="17.88671875" style="3" customWidth="1"/>
    <col min="1762" max="1762" width="6.6640625" style="3" customWidth="1"/>
    <col min="1763" max="1763" width="12.33203125" style="3" customWidth="1"/>
    <col min="1764" max="1765" width="0" style="3" hidden="1" customWidth="1"/>
    <col min="1766" max="1766" width="14" style="3" customWidth="1"/>
    <col min="1767" max="1767" width="17.6640625" style="3" customWidth="1"/>
    <col min="1768" max="1768" width="0.44140625" style="3" customWidth="1"/>
    <col min="1769" max="1791" width="0" style="3" hidden="1" customWidth="1"/>
    <col min="1792" max="2015" width="9.109375" style="3"/>
    <col min="2016" max="2016" width="102.88671875" style="3" customWidth="1"/>
    <col min="2017" max="2017" width="17.88671875" style="3" customWidth="1"/>
    <col min="2018" max="2018" width="6.6640625" style="3" customWidth="1"/>
    <col min="2019" max="2019" width="12.33203125" style="3" customWidth="1"/>
    <col min="2020" max="2021" width="0" style="3" hidden="1" customWidth="1"/>
    <col min="2022" max="2022" width="14" style="3" customWidth="1"/>
    <col min="2023" max="2023" width="17.6640625" style="3" customWidth="1"/>
    <col min="2024" max="2024" width="0.44140625" style="3" customWidth="1"/>
    <col min="2025" max="2047" width="0" style="3" hidden="1" customWidth="1"/>
    <col min="2048" max="2271" width="9.109375" style="3"/>
    <col min="2272" max="2272" width="102.88671875" style="3" customWidth="1"/>
    <col min="2273" max="2273" width="17.88671875" style="3" customWidth="1"/>
    <col min="2274" max="2274" width="6.6640625" style="3" customWidth="1"/>
    <col min="2275" max="2275" width="12.33203125" style="3" customWidth="1"/>
    <col min="2276" max="2277" width="0" style="3" hidden="1" customWidth="1"/>
    <col min="2278" max="2278" width="14" style="3" customWidth="1"/>
    <col min="2279" max="2279" width="17.6640625" style="3" customWidth="1"/>
    <col min="2280" max="2280" width="0.44140625" style="3" customWidth="1"/>
    <col min="2281" max="2303" width="0" style="3" hidden="1" customWidth="1"/>
    <col min="2304" max="2527" width="9.109375" style="3"/>
    <col min="2528" max="2528" width="102.88671875" style="3" customWidth="1"/>
    <col min="2529" max="2529" width="17.88671875" style="3" customWidth="1"/>
    <col min="2530" max="2530" width="6.6640625" style="3" customWidth="1"/>
    <col min="2531" max="2531" width="12.33203125" style="3" customWidth="1"/>
    <col min="2532" max="2533" width="0" style="3" hidden="1" customWidth="1"/>
    <col min="2534" max="2534" width="14" style="3" customWidth="1"/>
    <col min="2535" max="2535" width="17.6640625" style="3" customWidth="1"/>
    <col min="2536" max="2536" width="0.44140625" style="3" customWidth="1"/>
    <col min="2537" max="2559" width="0" style="3" hidden="1" customWidth="1"/>
    <col min="2560" max="2783" width="9.109375" style="3"/>
    <col min="2784" max="2784" width="102.88671875" style="3" customWidth="1"/>
    <col min="2785" max="2785" width="17.88671875" style="3" customWidth="1"/>
    <col min="2786" max="2786" width="6.6640625" style="3" customWidth="1"/>
    <col min="2787" max="2787" width="12.33203125" style="3" customWidth="1"/>
    <col min="2788" max="2789" width="0" style="3" hidden="1" customWidth="1"/>
    <col min="2790" max="2790" width="14" style="3" customWidth="1"/>
    <col min="2791" max="2791" width="17.6640625" style="3" customWidth="1"/>
    <col min="2792" max="2792" width="0.44140625" style="3" customWidth="1"/>
    <col min="2793" max="2815" width="0" style="3" hidden="1" customWidth="1"/>
    <col min="2816" max="3039" width="9.109375" style="3"/>
    <col min="3040" max="3040" width="102.88671875" style="3" customWidth="1"/>
    <col min="3041" max="3041" width="17.88671875" style="3" customWidth="1"/>
    <col min="3042" max="3042" width="6.6640625" style="3" customWidth="1"/>
    <col min="3043" max="3043" width="12.33203125" style="3" customWidth="1"/>
    <col min="3044" max="3045" width="0" style="3" hidden="1" customWidth="1"/>
    <col min="3046" max="3046" width="14" style="3" customWidth="1"/>
    <col min="3047" max="3047" width="17.6640625" style="3" customWidth="1"/>
    <col min="3048" max="3048" width="0.44140625" style="3" customWidth="1"/>
    <col min="3049" max="3071" width="0" style="3" hidden="1" customWidth="1"/>
    <col min="3072" max="3295" width="9.109375" style="3"/>
    <col min="3296" max="3296" width="102.88671875" style="3" customWidth="1"/>
    <col min="3297" max="3297" width="17.88671875" style="3" customWidth="1"/>
    <col min="3298" max="3298" width="6.6640625" style="3" customWidth="1"/>
    <col min="3299" max="3299" width="12.33203125" style="3" customWidth="1"/>
    <col min="3300" max="3301" width="0" style="3" hidden="1" customWidth="1"/>
    <col min="3302" max="3302" width="14" style="3" customWidth="1"/>
    <col min="3303" max="3303" width="17.6640625" style="3" customWidth="1"/>
    <col min="3304" max="3304" width="0.44140625" style="3" customWidth="1"/>
    <col min="3305" max="3327" width="0" style="3" hidden="1" customWidth="1"/>
    <col min="3328" max="3551" width="9.109375" style="3"/>
    <col min="3552" max="3552" width="102.88671875" style="3" customWidth="1"/>
    <col min="3553" max="3553" width="17.88671875" style="3" customWidth="1"/>
    <col min="3554" max="3554" width="6.6640625" style="3" customWidth="1"/>
    <col min="3555" max="3555" width="12.33203125" style="3" customWidth="1"/>
    <col min="3556" max="3557" width="0" style="3" hidden="1" customWidth="1"/>
    <col min="3558" max="3558" width="14" style="3" customWidth="1"/>
    <col min="3559" max="3559" width="17.6640625" style="3" customWidth="1"/>
    <col min="3560" max="3560" width="0.44140625" style="3" customWidth="1"/>
    <col min="3561" max="3583" width="0" style="3" hidden="1" customWidth="1"/>
    <col min="3584" max="3807" width="9.109375" style="3"/>
    <col min="3808" max="3808" width="102.88671875" style="3" customWidth="1"/>
    <col min="3809" max="3809" width="17.88671875" style="3" customWidth="1"/>
    <col min="3810" max="3810" width="6.6640625" style="3" customWidth="1"/>
    <col min="3811" max="3811" width="12.33203125" style="3" customWidth="1"/>
    <col min="3812" max="3813" width="0" style="3" hidden="1" customWidth="1"/>
    <col min="3814" max="3814" width="14" style="3" customWidth="1"/>
    <col min="3815" max="3815" width="17.6640625" style="3" customWidth="1"/>
    <col min="3816" max="3816" width="0.44140625" style="3" customWidth="1"/>
    <col min="3817" max="3839" width="0" style="3" hidden="1" customWidth="1"/>
    <col min="3840" max="4063" width="9.109375" style="3"/>
    <col min="4064" max="4064" width="102.88671875" style="3" customWidth="1"/>
    <col min="4065" max="4065" width="17.88671875" style="3" customWidth="1"/>
    <col min="4066" max="4066" width="6.6640625" style="3" customWidth="1"/>
    <col min="4067" max="4067" width="12.33203125" style="3" customWidth="1"/>
    <col min="4068" max="4069" width="0" style="3" hidden="1" customWidth="1"/>
    <col min="4070" max="4070" width="14" style="3" customWidth="1"/>
    <col min="4071" max="4071" width="17.6640625" style="3" customWidth="1"/>
    <col min="4072" max="4072" width="0.44140625" style="3" customWidth="1"/>
    <col min="4073" max="4095" width="0" style="3" hidden="1" customWidth="1"/>
    <col min="4096" max="4319" width="9.109375" style="3"/>
    <col min="4320" max="4320" width="102.88671875" style="3" customWidth="1"/>
    <col min="4321" max="4321" width="17.88671875" style="3" customWidth="1"/>
    <col min="4322" max="4322" width="6.6640625" style="3" customWidth="1"/>
    <col min="4323" max="4323" width="12.33203125" style="3" customWidth="1"/>
    <col min="4324" max="4325" width="0" style="3" hidden="1" customWidth="1"/>
    <col min="4326" max="4326" width="14" style="3" customWidth="1"/>
    <col min="4327" max="4327" width="17.6640625" style="3" customWidth="1"/>
    <col min="4328" max="4328" width="0.44140625" style="3" customWidth="1"/>
    <col min="4329" max="4351" width="0" style="3" hidden="1" customWidth="1"/>
    <col min="4352" max="4575" width="9.109375" style="3"/>
    <col min="4576" max="4576" width="102.88671875" style="3" customWidth="1"/>
    <col min="4577" max="4577" width="17.88671875" style="3" customWidth="1"/>
    <col min="4578" max="4578" width="6.6640625" style="3" customWidth="1"/>
    <col min="4579" max="4579" width="12.33203125" style="3" customWidth="1"/>
    <col min="4580" max="4581" width="0" style="3" hidden="1" customWidth="1"/>
    <col min="4582" max="4582" width="14" style="3" customWidth="1"/>
    <col min="4583" max="4583" width="17.6640625" style="3" customWidth="1"/>
    <col min="4584" max="4584" width="0.44140625" style="3" customWidth="1"/>
    <col min="4585" max="4607" width="0" style="3" hidden="1" customWidth="1"/>
    <col min="4608" max="4831" width="9.109375" style="3"/>
    <col min="4832" max="4832" width="102.88671875" style="3" customWidth="1"/>
    <col min="4833" max="4833" width="17.88671875" style="3" customWidth="1"/>
    <col min="4834" max="4834" width="6.6640625" style="3" customWidth="1"/>
    <col min="4835" max="4835" width="12.33203125" style="3" customWidth="1"/>
    <col min="4836" max="4837" width="0" style="3" hidden="1" customWidth="1"/>
    <col min="4838" max="4838" width="14" style="3" customWidth="1"/>
    <col min="4839" max="4839" width="17.6640625" style="3" customWidth="1"/>
    <col min="4840" max="4840" width="0.44140625" style="3" customWidth="1"/>
    <col min="4841" max="4863" width="0" style="3" hidden="1" customWidth="1"/>
    <col min="4864" max="5087" width="9.109375" style="3"/>
    <col min="5088" max="5088" width="102.88671875" style="3" customWidth="1"/>
    <col min="5089" max="5089" width="17.88671875" style="3" customWidth="1"/>
    <col min="5090" max="5090" width="6.6640625" style="3" customWidth="1"/>
    <col min="5091" max="5091" width="12.33203125" style="3" customWidth="1"/>
    <col min="5092" max="5093" width="0" style="3" hidden="1" customWidth="1"/>
    <col min="5094" max="5094" width="14" style="3" customWidth="1"/>
    <col min="5095" max="5095" width="17.6640625" style="3" customWidth="1"/>
    <col min="5096" max="5096" width="0.44140625" style="3" customWidth="1"/>
    <col min="5097" max="5119" width="0" style="3" hidden="1" customWidth="1"/>
    <col min="5120" max="5343" width="9.109375" style="3"/>
    <col min="5344" max="5344" width="102.88671875" style="3" customWidth="1"/>
    <col min="5345" max="5345" width="17.88671875" style="3" customWidth="1"/>
    <col min="5346" max="5346" width="6.6640625" style="3" customWidth="1"/>
    <col min="5347" max="5347" width="12.33203125" style="3" customWidth="1"/>
    <col min="5348" max="5349" width="0" style="3" hidden="1" customWidth="1"/>
    <col min="5350" max="5350" width="14" style="3" customWidth="1"/>
    <col min="5351" max="5351" width="17.6640625" style="3" customWidth="1"/>
    <col min="5352" max="5352" width="0.44140625" style="3" customWidth="1"/>
    <col min="5353" max="5375" width="0" style="3" hidden="1" customWidth="1"/>
    <col min="5376" max="5599" width="9.109375" style="3"/>
    <col min="5600" max="5600" width="102.88671875" style="3" customWidth="1"/>
    <col min="5601" max="5601" width="17.88671875" style="3" customWidth="1"/>
    <col min="5602" max="5602" width="6.6640625" style="3" customWidth="1"/>
    <col min="5603" max="5603" width="12.33203125" style="3" customWidth="1"/>
    <col min="5604" max="5605" width="0" style="3" hidden="1" customWidth="1"/>
    <col min="5606" max="5606" width="14" style="3" customWidth="1"/>
    <col min="5607" max="5607" width="17.6640625" style="3" customWidth="1"/>
    <col min="5608" max="5608" width="0.44140625" style="3" customWidth="1"/>
    <col min="5609" max="5631" width="0" style="3" hidden="1" customWidth="1"/>
    <col min="5632" max="5855" width="9.109375" style="3"/>
    <col min="5856" max="5856" width="102.88671875" style="3" customWidth="1"/>
    <col min="5857" max="5857" width="17.88671875" style="3" customWidth="1"/>
    <col min="5858" max="5858" width="6.6640625" style="3" customWidth="1"/>
    <col min="5859" max="5859" width="12.33203125" style="3" customWidth="1"/>
    <col min="5860" max="5861" width="0" style="3" hidden="1" customWidth="1"/>
    <col min="5862" max="5862" width="14" style="3" customWidth="1"/>
    <col min="5863" max="5863" width="17.6640625" style="3" customWidth="1"/>
    <col min="5864" max="5864" width="0.44140625" style="3" customWidth="1"/>
    <col min="5865" max="5887" width="0" style="3" hidden="1" customWidth="1"/>
    <col min="5888" max="6111" width="9.109375" style="3"/>
    <col min="6112" max="6112" width="102.88671875" style="3" customWidth="1"/>
    <col min="6113" max="6113" width="17.88671875" style="3" customWidth="1"/>
    <col min="6114" max="6114" width="6.6640625" style="3" customWidth="1"/>
    <col min="6115" max="6115" width="12.33203125" style="3" customWidth="1"/>
    <col min="6116" max="6117" width="0" style="3" hidden="1" customWidth="1"/>
    <col min="6118" max="6118" width="14" style="3" customWidth="1"/>
    <col min="6119" max="6119" width="17.6640625" style="3" customWidth="1"/>
    <col min="6120" max="6120" width="0.44140625" style="3" customWidth="1"/>
    <col min="6121" max="6143" width="0" style="3" hidden="1" customWidth="1"/>
    <col min="6144" max="6367" width="9.109375" style="3"/>
    <col min="6368" max="6368" width="102.88671875" style="3" customWidth="1"/>
    <col min="6369" max="6369" width="17.88671875" style="3" customWidth="1"/>
    <col min="6370" max="6370" width="6.6640625" style="3" customWidth="1"/>
    <col min="6371" max="6371" width="12.33203125" style="3" customWidth="1"/>
    <col min="6372" max="6373" width="0" style="3" hidden="1" customWidth="1"/>
    <col min="6374" max="6374" width="14" style="3" customWidth="1"/>
    <col min="6375" max="6375" width="17.6640625" style="3" customWidth="1"/>
    <col min="6376" max="6376" width="0.44140625" style="3" customWidth="1"/>
    <col min="6377" max="6399" width="0" style="3" hidden="1" customWidth="1"/>
    <col min="6400" max="6623" width="9.109375" style="3"/>
    <col min="6624" max="6624" width="102.88671875" style="3" customWidth="1"/>
    <col min="6625" max="6625" width="17.88671875" style="3" customWidth="1"/>
    <col min="6626" max="6626" width="6.6640625" style="3" customWidth="1"/>
    <col min="6627" max="6627" width="12.33203125" style="3" customWidth="1"/>
    <col min="6628" max="6629" width="0" style="3" hidden="1" customWidth="1"/>
    <col min="6630" max="6630" width="14" style="3" customWidth="1"/>
    <col min="6631" max="6631" width="17.6640625" style="3" customWidth="1"/>
    <col min="6632" max="6632" width="0.44140625" style="3" customWidth="1"/>
    <col min="6633" max="6655" width="0" style="3" hidden="1" customWidth="1"/>
    <col min="6656" max="6879" width="9.109375" style="3"/>
    <col min="6880" max="6880" width="102.88671875" style="3" customWidth="1"/>
    <col min="6881" max="6881" width="17.88671875" style="3" customWidth="1"/>
    <col min="6882" max="6882" width="6.6640625" style="3" customWidth="1"/>
    <col min="6883" max="6883" width="12.33203125" style="3" customWidth="1"/>
    <col min="6884" max="6885" width="0" style="3" hidden="1" customWidth="1"/>
    <col min="6886" max="6886" width="14" style="3" customWidth="1"/>
    <col min="6887" max="6887" width="17.6640625" style="3" customWidth="1"/>
    <col min="6888" max="6888" width="0.44140625" style="3" customWidth="1"/>
    <col min="6889" max="6911" width="0" style="3" hidden="1" customWidth="1"/>
    <col min="6912" max="7135" width="9.109375" style="3"/>
    <col min="7136" max="7136" width="102.88671875" style="3" customWidth="1"/>
    <col min="7137" max="7137" width="17.88671875" style="3" customWidth="1"/>
    <col min="7138" max="7138" width="6.6640625" style="3" customWidth="1"/>
    <col min="7139" max="7139" width="12.33203125" style="3" customWidth="1"/>
    <col min="7140" max="7141" width="0" style="3" hidden="1" customWidth="1"/>
    <col min="7142" max="7142" width="14" style="3" customWidth="1"/>
    <col min="7143" max="7143" width="17.6640625" style="3" customWidth="1"/>
    <col min="7144" max="7144" width="0.44140625" style="3" customWidth="1"/>
    <col min="7145" max="7167" width="0" style="3" hidden="1" customWidth="1"/>
    <col min="7168" max="7391" width="9.109375" style="3"/>
    <col min="7392" max="7392" width="102.88671875" style="3" customWidth="1"/>
    <col min="7393" max="7393" width="17.88671875" style="3" customWidth="1"/>
    <col min="7394" max="7394" width="6.6640625" style="3" customWidth="1"/>
    <col min="7395" max="7395" width="12.33203125" style="3" customWidth="1"/>
    <col min="7396" max="7397" width="0" style="3" hidden="1" customWidth="1"/>
    <col min="7398" max="7398" width="14" style="3" customWidth="1"/>
    <col min="7399" max="7399" width="17.6640625" style="3" customWidth="1"/>
    <col min="7400" max="7400" width="0.44140625" style="3" customWidth="1"/>
    <col min="7401" max="7423" width="0" style="3" hidden="1" customWidth="1"/>
    <col min="7424" max="7647" width="9.109375" style="3"/>
    <col min="7648" max="7648" width="102.88671875" style="3" customWidth="1"/>
    <col min="7649" max="7649" width="17.88671875" style="3" customWidth="1"/>
    <col min="7650" max="7650" width="6.6640625" style="3" customWidth="1"/>
    <col min="7651" max="7651" width="12.33203125" style="3" customWidth="1"/>
    <col min="7652" max="7653" width="0" style="3" hidden="1" customWidth="1"/>
    <col min="7654" max="7654" width="14" style="3" customWidth="1"/>
    <col min="7655" max="7655" width="17.6640625" style="3" customWidth="1"/>
    <col min="7656" max="7656" width="0.44140625" style="3" customWidth="1"/>
    <col min="7657" max="7679" width="0" style="3" hidden="1" customWidth="1"/>
    <col min="7680" max="7903" width="9.109375" style="3"/>
    <col min="7904" max="7904" width="102.88671875" style="3" customWidth="1"/>
    <col min="7905" max="7905" width="17.88671875" style="3" customWidth="1"/>
    <col min="7906" max="7906" width="6.6640625" style="3" customWidth="1"/>
    <col min="7907" max="7907" width="12.33203125" style="3" customWidth="1"/>
    <col min="7908" max="7909" width="0" style="3" hidden="1" customWidth="1"/>
    <col min="7910" max="7910" width="14" style="3" customWidth="1"/>
    <col min="7911" max="7911" width="17.6640625" style="3" customWidth="1"/>
    <col min="7912" max="7912" width="0.44140625" style="3" customWidth="1"/>
    <col min="7913" max="7935" width="0" style="3" hidden="1" customWidth="1"/>
    <col min="7936" max="8159" width="9.109375" style="3"/>
    <col min="8160" max="8160" width="102.88671875" style="3" customWidth="1"/>
    <col min="8161" max="8161" width="17.88671875" style="3" customWidth="1"/>
    <col min="8162" max="8162" width="6.6640625" style="3" customWidth="1"/>
    <col min="8163" max="8163" width="12.33203125" style="3" customWidth="1"/>
    <col min="8164" max="8165" width="0" style="3" hidden="1" customWidth="1"/>
    <col min="8166" max="8166" width="14" style="3" customWidth="1"/>
    <col min="8167" max="8167" width="17.6640625" style="3" customWidth="1"/>
    <col min="8168" max="8168" width="0.44140625" style="3" customWidth="1"/>
    <col min="8169" max="8191" width="0" style="3" hidden="1" customWidth="1"/>
    <col min="8192" max="8415" width="9.109375" style="3"/>
    <col min="8416" max="8416" width="102.88671875" style="3" customWidth="1"/>
    <col min="8417" max="8417" width="17.88671875" style="3" customWidth="1"/>
    <col min="8418" max="8418" width="6.6640625" style="3" customWidth="1"/>
    <col min="8419" max="8419" width="12.33203125" style="3" customWidth="1"/>
    <col min="8420" max="8421" width="0" style="3" hidden="1" customWidth="1"/>
    <col min="8422" max="8422" width="14" style="3" customWidth="1"/>
    <col min="8423" max="8423" width="17.6640625" style="3" customWidth="1"/>
    <col min="8424" max="8424" width="0.44140625" style="3" customWidth="1"/>
    <col min="8425" max="8447" width="0" style="3" hidden="1" customWidth="1"/>
    <col min="8448" max="8671" width="9.109375" style="3"/>
    <col min="8672" max="8672" width="102.88671875" style="3" customWidth="1"/>
    <col min="8673" max="8673" width="17.88671875" style="3" customWidth="1"/>
    <col min="8674" max="8674" width="6.6640625" style="3" customWidth="1"/>
    <col min="8675" max="8675" width="12.33203125" style="3" customWidth="1"/>
    <col min="8676" max="8677" width="0" style="3" hidden="1" customWidth="1"/>
    <col min="8678" max="8678" width="14" style="3" customWidth="1"/>
    <col min="8679" max="8679" width="17.6640625" style="3" customWidth="1"/>
    <col min="8680" max="8680" width="0.44140625" style="3" customWidth="1"/>
    <col min="8681" max="8703" width="0" style="3" hidden="1" customWidth="1"/>
    <col min="8704" max="8927" width="9.109375" style="3"/>
    <col min="8928" max="8928" width="102.88671875" style="3" customWidth="1"/>
    <col min="8929" max="8929" width="17.88671875" style="3" customWidth="1"/>
    <col min="8930" max="8930" width="6.6640625" style="3" customWidth="1"/>
    <col min="8931" max="8931" width="12.33203125" style="3" customWidth="1"/>
    <col min="8932" max="8933" width="0" style="3" hidden="1" customWidth="1"/>
    <col min="8934" max="8934" width="14" style="3" customWidth="1"/>
    <col min="8935" max="8935" width="17.6640625" style="3" customWidth="1"/>
    <col min="8936" max="8936" width="0.44140625" style="3" customWidth="1"/>
    <col min="8937" max="8959" width="0" style="3" hidden="1" customWidth="1"/>
    <col min="8960" max="9183" width="9.109375" style="3"/>
    <col min="9184" max="9184" width="102.88671875" style="3" customWidth="1"/>
    <col min="9185" max="9185" width="17.88671875" style="3" customWidth="1"/>
    <col min="9186" max="9186" width="6.6640625" style="3" customWidth="1"/>
    <col min="9187" max="9187" width="12.33203125" style="3" customWidth="1"/>
    <col min="9188" max="9189" width="0" style="3" hidden="1" customWidth="1"/>
    <col min="9190" max="9190" width="14" style="3" customWidth="1"/>
    <col min="9191" max="9191" width="17.6640625" style="3" customWidth="1"/>
    <col min="9192" max="9192" width="0.44140625" style="3" customWidth="1"/>
    <col min="9193" max="9215" width="0" style="3" hidden="1" customWidth="1"/>
    <col min="9216" max="9439" width="9.109375" style="3"/>
    <col min="9440" max="9440" width="102.88671875" style="3" customWidth="1"/>
    <col min="9441" max="9441" width="17.88671875" style="3" customWidth="1"/>
    <col min="9442" max="9442" width="6.6640625" style="3" customWidth="1"/>
    <col min="9443" max="9443" width="12.33203125" style="3" customWidth="1"/>
    <col min="9444" max="9445" width="0" style="3" hidden="1" customWidth="1"/>
    <col min="9446" max="9446" width="14" style="3" customWidth="1"/>
    <col min="9447" max="9447" width="17.6640625" style="3" customWidth="1"/>
    <col min="9448" max="9448" width="0.44140625" style="3" customWidth="1"/>
    <col min="9449" max="9471" width="0" style="3" hidden="1" customWidth="1"/>
    <col min="9472" max="9695" width="9.109375" style="3"/>
    <col min="9696" max="9696" width="102.88671875" style="3" customWidth="1"/>
    <col min="9697" max="9697" width="17.88671875" style="3" customWidth="1"/>
    <col min="9698" max="9698" width="6.6640625" style="3" customWidth="1"/>
    <col min="9699" max="9699" width="12.33203125" style="3" customWidth="1"/>
    <col min="9700" max="9701" width="0" style="3" hidden="1" customWidth="1"/>
    <col min="9702" max="9702" width="14" style="3" customWidth="1"/>
    <col min="9703" max="9703" width="17.6640625" style="3" customWidth="1"/>
    <col min="9704" max="9704" width="0.44140625" style="3" customWidth="1"/>
    <col min="9705" max="9727" width="0" style="3" hidden="1" customWidth="1"/>
    <col min="9728" max="9951" width="9.109375" style="3"/>
    <col min="9952" max="9952" width="102.88671875" style="3" customWidth="1"/>
    <col min="9953" max="9953" width="17.88671875" style="3" customWidth="1"/>
    <col min="9954" max="9954" width="6.6640625" style="3" customWidth="1"/>
    <col min="9955" max="9955" width="12.33203125" style="3" customWidth="1"/>
    <col min="9956" max="9957" width="0" style="3" hidden="1" customWidth="1"/>
    <col min="9958" max="9958" width="14" style="3" customWidth="1"/>
    <col min="9959" max="9959" width="17.6640625" style="3" customWidth="1"/>
    <col min="9960" max="9960" width="0.44140625" style="3" customWidth="1"/>
    <col min="9961" max="9983" width="0" style="3" hidden="1" customWidth="1"/>
    <col min="9984" max="10207" width="9.109375" style="3"/>
    <col min="10208" max="10208" width="102.88671875" style="3" customWidth="1"/>
    <col min="10209" max="10209" width="17.88671875" style="3" customWidth="1"/>
    <col min="10210" max="10210" width="6.6640625" style="3" customWidth="1"/>
    <col min="10211" max="10211" width="12.33203125" style="3" customWidth="1"/>
    <col min="10212" max="10213" width="0" style="3" hidden="1" customWidth="1"/>
    <col min="10214" max="10214" width="14" style="3" customWidth="1"/>
    <col min="10215" max="10215" width="17.6640625" style="3" customWidth="1"/>
    <col min="10216" max="10216" width="0.44140625" style="3" customWidth="1"/>
    <col min="10217" max="10239" width="0" style="3" hidden="1" customWidth="1"/>
    <col min="10240" max="10463" width="9.109375" style="3"/>
    <col min="10464" max="10464" width="102.88671875" style="3" customWidth="1"/>
    <col min="10465" max="10465" width="17.88671875" style="3" customWidth="1"/>
    <col min="10466" max="10466" width="6.6640625" style="3" customWidth="1"/>
    <col min="10467" max="10467" width="12.33203125" style="3" customWidth="1"/>
    <col min="10468" max="10469" width="0" style="3" hidden="1" customWidth="1"/>
    <col min="10470" max="10470" width="14" style="3" customWidth="1"/>
    <col min="10471" max="10471" width="17.6640625" style="3" customWidth="1"/>
    <col min="10472" max="10472" width="0.44140625" style="3" customWidth="1"/>
    <col min="10473" max="10495" width="0" style="3" hidden="1" customWidth="1"/>
    <col min="10496" max="10719" width="9.109375" style="3"/>
    <col min="10720" max="10720" width="102.88671875" style="3" customWidth="1"/>
    <col min="10721" max="10721" width="17.88671875" style="3" customWidth="1"/>
    <col min="10722" max="10722" width="6.6640625" style="3" customWidth="1"/>
    <col min="10723" max="10723" width="12.33203125" style="3" customWidth="1"/>
    <col min="10724" max="10725" width="0" style="3" hidden="1" customWidth="1"/>
    <col min="10726" max="10726" width="14" style="3" customWidth="1"/>
    <col min="10727" max="10727" width="17.6640625" style="3" customWidth="1"/>
    <col min="10728" max="10728" width="0.44140625" style="3" customWidth="1"/>
    <col min="10729" max="10751" width="0" style="3" hidden="1" customWidth="1"/>
    <col min="10752" max="10975" width="9.109375" style="3"/>
    <col min="10976" max="10976" width="102.88671875" style="3" customWidth="1"/>
    <col min="10977" max="10977" width="17.88671875" style="3" customWidth="1"/>
    <col min="10978" max="10978" width="6.6640625" style="3" customWidth="1"/>
    <col min="10979" max="10979" width="12.33203125" style="3" customWidth="1"/>
    <col min="10980" max="10981" width="0" style="3" hidden="1" customWidth="1"/>
    <col min="10982" max="10982" width="14" style="3" customWidth="1"/>
    <col min="10983" max="10983" width="17.6640625" style="3" customWidth="1"/>
    <col min="10984" max="10984" width="0.44140625" style="3" customWidth="1"/>
    <col min="10985" max="11007" width="0" style="3" hidden="1" customWidth="1"/>
    <col min="11008" max="11231" width="9.109375" style="3"/>
    <col min="11232" max="11232" width="102.88671875" style="3" customWidth="1"/>
    <col min="11233" max="11233" width="17.88671875" style="3" customWidth="1"/>
    <col min="11234" max="11234" width="6.6640625" style="3" customWidth="1"/>
    <col min="11235" max="11235" width="12.33203125" style="3" customWidth="1"/>
    <col min="11236" max="11237" width="0" style="3" hidden="1" customWidth="1"/>
    <col min="11238" max="11238" width="14" style="3" customWidth="1"/>
    <col min="11239" max="11239" width="17.6640625" style="3" customWidth="1"/>
    <col min="11240" max="11240" width="0.44140625" style="3" customWidth="1"/>
    <col min="11241" max="11263" width="0" style="3" hidden="1" customWidth="1"/>
    <col min="11264" max="11487" width="9.109375" style="3"/>
    <col min="11488" max="11488" width="102.88671875" style="3" customWidth="1"/>
    <col min="11489" max="11489" width="17.88671875" style="3" customWidth="1"/>
    <col min="11490" max="11490" width="6.6640625" style="3" customWidth="1"/>
    <col min="11491" max="11491" width="12.33203125" style="3" customWidth="1"/>
    <col min="11492" max="11493" width="0" style="3" hidden="1" customWidth="1"/>
    <col min="11494" max="11494" width="14" style="3" customWidth="1"/>
    <col min="11495" max="11495" width="17.6640625" style="3" customWidth="1"/>
    <col min="11496" max="11496" width="0.44140625" style="3" customWidth="1"/>
    <col min="11497" max="11519" width="0" style="3" hidden="1" customWidth="1"/>
    <col min="11520" max="11743" width="9.109375" style="3"/>
    <col min="11744" max="11744" width="102.88671875" style="3" customWidth="1"/>
    <col min="11745" max="11745" width="17.88671875" style="3" customWidth="1"/>
    <col min="11746" max="11746" width="6.6640625" style="3" customWidth="1"/>
    <col min="11747" max="11747" width="12.33203125" style="3" customWidth="1"/>
    <col min="11748" max="11749" width="0" style="3" hidden="1" customWidth="1"/>
    <col min="11750" max="11750" width="14" style="3" customWidth="1"/>
    <col min="11751" max="11751" width="17.6640625" style="3" customWidth="1"/>
    <col min="11752" max="11752" width="0.44140625" style="3" customWidth="1"/>
    <col min="11753" max="11775" width="0" style="3" hidden="1" customWidth="1"/>
    <col min="11776" max="11999" width="9.109375" style="3"/>
    <col min="12000" max="12000" width="102.88671875" style="3" customWidth="1"/>
    <col min="12001" max="12001" width="17.88671875" style="3" customWidth="1"/>
    <col min="12002" max="12002" width="6.6640625" style="3" customWidth="1"/>
    <col min="12003" max="12003" width="12.33203125" style="3" customWidth="1"/>
    <col min="12004" max="12005" width="0" style="3" hidden="1" customWidth="1"/>
    <col min="12006" max="12006" width="14" style="3" customWidth="1"/>
    <col min="12007" max="12007" width="17.6640625" style="3" customWidth="1"/>
    <col min="12008" max="12008" width="0.44140625" style="3" customWidth="1"/>
    <col min="12009" max="12031" width="0" style="3" hidden="1" customWidth="1"/>
    <col min="12032" max="12255" width="9.109375" style="3"/>
    <col min="12256" max="12256" width="102.88671875" style="3" customWidth="1"/>
    <col min="12257" max="12257" width="17.88671875" style="3" customWidth="1"/>
    <col min="12258" max="12258" width="6.6640625" style="3" customWidth="1"/>
    <col min="12259" max="12259" width="12.33203125" style="3" customWidth="1"/>
    <col min="12260" max="12261" width="0" style="3" hidden="1" customWidth="1"/>
    <col min="12262" max="12262" width="14" style="3" customWidth="1"/>
    <col min="12263" max="12263" width="17.6640625" style="3" customWidth="1"/>
    <col min="12264" max="12264" width="0.44140625" style="3" customWidth="1"/>
    <col min="12265" max="12287" width="0" style="3" hidden="1" customWidth="1"/>
    <col min="12288" max="12511" width="9.109375" style="3"/>
    <col min="12512" max="12512" width="102.88671875" style="3" customWidth="1"/>
    <col min="12513" max="12513" width="17.88671875" style="3" customWidth="1"/>
    <col min="12514" max="12514" width="6.6640625" style="3" customWidth="1"/>
    <col min="12515" max="12515" width="12.33203125" style="3" customWidth="1"/>
    <col min="12516" max="12517" width="0" style="3" hidden="1" customWidth="1"/>
    <col min="12518" max="12518" width="14" style="3" customWidth="1"/>
    <col min="12519" max="12519" width="17.6640625" style="3" customWidth="1"/>
    <col min="12520" max="12520" width="0.44140625" style="3" customWidth="1"/>
    <col min="12521" max="12543" width="0" style="3" hidden="1" customWidth="1"/>
    <col min="12544" max="12767" width="9.109375" style="3"/>
    <col min="12768" max="12768" width="102.88671875" style="3" customWidth="1"/>
    <col min="12769" max="12769" width="17.88671875" style="3" customWidth="1"/>
    <col min="12770" max="12770" width="6.6640625" style="3" customWidth="1"/>
    <col min="12771" max="12771" width="12.33203125" style="3" customWidth="1"/>
    <col min="12772" max="12773" width="0" style="3" hidden="1" customWidth="1"/>
    <col min="12774" max="12774" width="14" style="3" customWidth="1"/>
    <col min="12775" max="12775" width="17.6640625" style="3" customWidth="1"/>
    <col min="12776" max="12776" width="0.44140625" style="3" customWidth="1"/>
    <col min="12777" max="12799" width="0" style="3" hidden="1" customWidth="1"/>
    <col min="12800" max="13023" width="9.109375" style="3"/>
    <col min="13024" max="13024" width="102.88671875" style="3" customWidth="1"/>
    <col min="13025" max="13025" width="17.88671875" style="3" customWidth="1"/>
    <col min="13026" max="13026" width="6.6640625" style="3" customWidth="1"/>
    <col min="13027" max="13027" width="12.33203125" style="3" customWidth="1"/>
    <col min="13028" max="13029" width="0" style="3" hidden="1" customWidth="1"/>
    <col min="13030" max="13030" width="14" style="3" customWidth="1"/>
    <col min="13031" max="13031" width="17.6640625" style="3" customWidth="1"/>
    <col min="13032" max="13032" width="0.44140625" style="3" customWidth="1"/>
    <col min="13033" max="13055" width="0" style="3" hidden="1" customWidth="1"/>
    <col min="13056" max="13279" width="9.109375" style="3"/>
    <col min="13280" max="13280" width="102.88671875" style="3" customWidth="1"/>
    <col min="13281" max="13281" width="17.88671875" style="3" customWidth="1"/>
    <col min="13282" max="13282" width="6.6640625" style="3" customWidth="1"/>
    <col min="13283" max="13283" width="12.33203125" style="3" customWidth="1"/>
    <col min="13284" max="13285" width="0" style="3" hidden="1" customWidth="1"/>
    <col min="13286" max="13286" width="14" style="3" customWidth="1"/>
    <col min="13287" max="13287" width="17.6640625" style="3" customWidth="1"/>
    <col min="13288" max="13288" width="0.44140625" style="3" customWidth="1"/>
    <col min="13289" max="13311" width="0" style="3" hidden="1" customWidth="1"/>
    <col min="13312" max="13535" width="9.109375" style="3"/>
    <col min="13536" max="13536" width="102.88671875" style="3" customWidth="1"/>
    <col min="13537" max="13537" width="17.88671875" style="3" customWidth="1"/>
    <col min="13538" max="13538" width="6.6640625" style="3" customWidth="1"/>
    <col min="13539" max="13539" width="12.33203125" style="3" customWidth="1"/>
    <col min="13540" max="13541" width="0" style="3" hidden="1" customWidth="1"/>
    <col min="13542" max="13542" width="14" style="3" customWidth="1"/>
    <col min="13543" max="13543" width="17.6640625" style="3" customWidth="1"/>
    <col min="13544" max="13544" width="0.44140625" style="3" customWidth="1"/>
    <col min="13545" max="13567" width="0" style="3" hidden="1" customWidth="1"/>
    <col min="13568" max="13791" width="9.109375" style="3"/>
    <col min="13792" max="13792" width="102.88671875" style="3" customWidth="1"/>
    <col min="13793" max="13793" width="17.88671875" style="3" customWidth="1"/>
    <col min="13794" max="13794" width="6.6640625" style="3" customWidth="1"/>
    <col min="13795" max="13795" width="12.33203125" style="3" customWidth="1"/>
    <col min="13796" max="13797" width="0" style="3" hidden="1" customWidth="1"/>
    <col min="13798" max="13798" width="14" style="3" customWidth="1"/>
    <col min="13799" max="13799" width="17.6640625" style="3" customWidth="1"/>
    <col min="13800" max="13800" width="0.44140625" style="3" customWidth="1"/>
    <col min="13801" max="13823" width="0" style="3" hidden="1" customWidth="1"/>
    <col min="13824" max="14047" width="9.109375" style="3"/>
    <col min="14048" max="14048" width="102.88671875" style="3" customWidth="1"/>
    <col min="14049" max="14049" width="17.88671875" style="3" customWidth="1"/>
    <col min="14050" max="14050" width="6.6640625" style="3" customWidth="1"/>
    <col min="14051" max="14051" width="12.33203125" style="3" customWidth="1"/>
    <col min="14052" max="14053" width="0" style="3" hidden="1" customWidth="1"/>
    <col min="14054" max="14054" width="14" style="3" customWidth="1"/>
    <col min="14055" max="14055" width="17.6640625" style="3" customWidth="1"/>
    <col min="14056" max="14056" width="0.44140625" style="3" customWidth="1"/>
    <col min="14057" max="14079" width="0" style="3" hidden="1" customWidth="1"/>
    <col min="14080" max="14303" width="9.109375" style="3"/>
    <col min="14304" max="14304" width="102.88671875" style="3" customWidth="1"/>
    <col min="14305" max="14305" width="17.88671875" style="3" customWidth="1"/>
    <col min="14306" max="14306" width="6.6640625" style="3" customWidth="1"/>
    <col min="14307" max="14307" width="12.33203125" style="3" customWidth="1"/>
    <col min="14308" max="14309" width="0" style="3" hidden="1" customWidth="1"/>
    <col min="14310" max="14310" width="14" style="3" customWidth="1"/>
    <col min="14311" max="14311" width="17.6640625" style="3" customWidth="1"/>
    <col min="14312" max="14312" width="0.44140625" style="3" customWidth="1"/>
    <col min="14313" max="14335" width="0" style="3" hidden="1" customWidth="1"/>
    <col min="14336" max="14559" width="9.109375" style="3"/>
    <col min="14560" max="14560" width="102.88671875" style="3" customWidth="1"/>
    <col min="14561" max="14561" width="17.88671875" style="3" customWidth="1"/>
    <col min="14562" max="14562" width="6.6640625" style="3" customWidth="1"/>
    <col min="14563" max="14563" width="12.33203125" style="3" customWidth="1"/>
    <col min="14564" max="14565" width="0" style="3" hidden="1" customWidth="1"/>
    <col min="14566" max="14566" width="14" style="3" customWidth="1"/>
    <col min="14567" max="14567" width="17.6640625" style="3" customWidth="1"/>
    <col min="14568" max="14568" width="0.44140625" style="3" customWidth="1"/>
    <col min="14569" max="14591" width="0" style="3" hidden="1" customWidth="1"/>
    <col min="14592" max="14815" width="9.109375" style="3"/>
    <col min="14816" max="14816" width="102.88671875" style="3" customWidth="1"/>
    <col min="14817" max="14817" width="17.88671875" style="3" customWidth="1"/>
    <col min="14818" max="14818" width="6.6640625" style="3" customWidth="1"/>
    <col min="14819" max="14819" width="12.33203125" style="3" customWidth="1"/>
    <col min="14820" max="14821" width="0" style="3" hidden="1" customWidth="1"/>
    <col min="14822" max="14822" width="14" style="3" customWidth="1"/>
    <col min="14823" max="14823" width="17.6640625" style="3" customWidth="1"/>
    <col min="14824" max="14824" width="0.44140625" style="3" customWidth="1"/>
    <col min="14825" max="14847" width="0" style="3" hidden="1" customWidth="1"/>
    <col min="14848" max="15071" width="9.109375" style="3"/>
    <col min="15072" max="15072" width="102.88671875" style="3" customWidth="1"/>
    <col min="15073" max="15073" width="17.88671875" style="3" customWidth="1"/>
    <col min="15074" max="15074" width="6.6640625" style="3" customWidth="1"/>
    <col min="15075" max="15075" width="12.33203125" style="3" customWidth="1"/>
    <col min="15076" max="15077" width="0" style="3" hidden="1" customWidth="1"/>
    <col min="15078" max="15078" width="14" style="3" customWidth="1"/>
    <col min="15079" max="15079" width="17.6640625" style="3" customWidth="1"/>
    <col min="15080" max="15080" width="0.44140625" style="3" customWidth="1"/>
    <col min="15081" max="15103" width="0" style="3" hidden="1" customWidth="1"/>
    <col min="15104" max="15327" width="9.109375" style="3"/>
    <col min="15328" max="15328" width="102.88671875" style="3" customWidth="1"/>
    <col min="15329" max="15329" width="17.88671875" style="3" customWidth="1"/>
    <col min="15330" max="15330" width="6.6640625" style="3" customWidth="1"/>
    <col min="15331" max="15331" width="12.33203125" style="3" customWidth="1"/>
    <col min="15332" max="15333" width="0" style="3" hidden="1" customWidth="1"/>
    <col min="15334" max="15334" width="14" style="3" customWidth="1"/>
    <col min="15335" max="15335" width="17.6640625" style="3" customWidth="1"/>
    <col min="15336" max="15336" width="0.44140625" style="3" customWidth="1"/>
    <col min="15337" max="15359" width="0" style="3" hidden="1" customWidth="1"/>
    <col min="15360" max="15583" width="9.109375" style="3"/>
    <col min="15584" max="15584" width="102.88671875" style="3" customWidth="1"/>
    <col min="15585" max="15585" width="17.88671875" style="3" customWidth="1"/>
    <col min="15586" max="15586" width="6.6640625" style="3" customWidth="1"/>
    <col min="15587" max="15587" width="12.33203125" style="3" customWidth="1"/>
    <col min="15588" max="15589" width="0" style="3" hidden="1" customWidth="1"/>
    <col min="15590" max="15590" width="14" style="3" customWidth="1"/>
    <col min="15591" max="15591" width="17.6640625" style="3" customWidth="1"/>
    <col min="15592" max="15592" width="0.44140625" style="3" customWidth="1"/>
    <col min="15593" max="15615" width="0" style="3" hidden="1" customWidth="1"/>
    <col min="15616" max="15839" width="9.109375" style="3"/>
    <col min="15840" max="15840" width="102.88671875" style="3" customWidth="1"/>
    <col min="15841" max="15841" width="17.88671875" style="3" customWidth="1"/>
    <col min="15842" max="15842" width="6.6640625" style="3" customWidth="1"/>
    <col min="15843" max="15843" width="12.33203125" style="3" customWidth="1"/>
    <col min="15844" max="15845" width="0" style="3" hidden="1" customWidth="1"/>
    <col min="15846" max="15846" width="14" style="3" customWidth="1"/>
    <col min="15847" max="15847" width="17.6640625" style="3" customWidth="1"/>
    <col min="15848" max="15848" width="0.44140625" style="3" customWidth="1"/>
    <col min="15849" max="15871" width="0" style="3" hidden="1" customWidth="1"/>
    <col min="15872" max="16095" width="9.109375" style="3"/>
    <col min="16096" max="16096" width="102.88671875" style="3" customWidth="1"/>
    <col min="16097" max="16097" width="17.88671875" style="3" customWidth="1"/>
    <col min="16098" max="16098" width="6.6640625" style="3" customWidth="1"/>
    <col min="16099" max="16099" width="12.33203125" style="3" customWidth="1"/>
    <col min="16100" max="16101" width="0" style="3" hidden="1" customWidth="1"/>
    <col min="16102" max="16102" width="14" style="3" customWidth="1"/>
    <col min="16103" max="16103" width="17.6640625" style="3" customWidth="1"/>
    <col min="16104" max="16104" width="0.44140625" style="3" customWidth="1"/>
    <col min="16105" max="16127" width="0" style="3" hidden="1" customWidth="1"/>
    <col min="16128" max="16384" width="9.109375" style="3"/>
  </cols>
  <sheetData>
    <row r="1" spans="1:6" ht="58.95" customHeight="1">
      <c r="B1" s="2"/>
      <c r="C1" s="72"/>
      <c r="D1" s="73"/>
      <c r="E1" s="240" t="s">
        <v>350</v>
      </c>
      <c r="F1" s="240"/>
    </row>
    <row r="2" spans="1:6" ht="52.2" customHeight="1">
      <c r="A2" s="241" t="s">
        <v>351</v>
      </c>
      <c r="B2" s="241"/>
      <c r="C2" s="241"/>
      <c r="D2" s="241"/>
      <c r="E2" s="242"/>
      <c r="F2" s="242"/>
    </row>
    <row r="3" spans="1:6" ht="16.5" customHeight="1" thickBot="1">
      <c r="A3" s="4"/>
      <c r="B3" s="4"/>
      <c r="C3" s="29"/>
      <c r="D3" s="153"/>
      <c r="E3" s="153"/>
      <c r="F3" s="61" t="s">
        <v>352</v>
      </c>
    </row>
    <row r="4" spans="1:6" ht="28.8" customHeight="1" thickBot="1">
      <c r="A4" s="5" t="s">
        <v>27</v>
      </c>
      <c r="B4" s="6" t="s">
        <v>28</v>
      </c>
      <c r="C4" s="30" t="s">
        <v>29</v>
      </c>
      <c r="D4" s="154" t="s">
        <v>168</v>
      </c>
      <c r="E4" s="154" t="s">
        <v>177</v>
      </c>
      <c r="F4" s="155" t="s">
        <v>308</v>
      </c>
    </row>
    <row r="5" spans="1:6" ht="27" customHeight="1">
      <c r="A5" s="22" t="s">
        <v>159</v>
      </c>
      <c r="B5" s="74" t="s">
        <v>160</v>
      </c>
      <c r="C5" s="75" t="s">
        <v>31</v>
      </c>
      <c r="D5" s="156">
        <f>D6</f>
        <v>119.8</v>
      </c>
      <c r="E5" s="157">
        <v>0</v>
      </c>
      <c r="F5" s="157">
        <v>0</v>
      </c>
    </row>
    <row r="6" spans="1:6" ht="37.200000000000003" customHeight="1">
      <c r="A6" s="21" t="s">
        <v>353</v>
      </c>
      <c r="B6" s="76" t="s">
        <v>169</v>
      </c>
      <c r="C6" s="77" t="s">
        <v>31</v>
      </c>
      <c r="D6" s="158">
        <f>D7</f>
        <v>119.8</v>
      </c>
      <c r="E6" s="159">
        <v>0</v>
      </c>
      <c r="F6" s="159">
        <v>0</v>
      </c>
    </row>
    <row r="7" spans="1:6" ht="58.8" customHeight="1">
      <c r="A7" s="14" t="s">
        <v>354</v>
      </c>
      <c r="B7" s="78" t="s">
        <v>161</v>
      </c>
      <c r="C7" s="79" t="s">
        <v>31</v>
      </c>
      <c r="D7" s="160">
        <f>D8</f>
        <v>119.8</v>
      </c>
      <c r="E7" s="161">
        <v>0</v>
      </c>
      <c r="F7" s="161">
        <v>0</v>
      </c>
    </row>
    <row r="8" spans="1:6" ht="21.6" customHeight="1">
      <c r="A8" s="32" t="s">
        <v>36</v>
      </c>
      <c r="B8" s="78" t="s">
        <v>161</v>
      </c>
      <c r="C8" s="32">
        <v>800</v>
      </c>
      <c r="D8" s="162">
        <f>D9</f>
        <v>119.8</v>
      </c>
      <c r="E8" s="163">
        <v>0</v>
      </c>
      <c r="F8" s="163">
        <v>0</v>
      </c>
    </row>
    <row r="9" spans="1:6" ht="43.2" customHeight="1">
      <c r="A9" s="80" t="s">
        <v>171</v>
      </c>
      <c r="B9" s="78" t="s">
        <v>161</v>
      </c>
      <c r="C9" s="81">
        <v>810</v>
      </c>
      <c r="D9" s="162">
        <v>119.8</v>
      </c>
      <c r="E9" s="162">
        <v>0</v>
      </c>
      <c r="F9" s="162">
        <v>0</v>
      </c>
    </row>
    <row r="10" spans="1:6" ht="48.6" customHeight="1">
      <c r="A10" s="70" t="s">
        <v>108</v>
      </c>
      <c r="B10" s="82" t="s">
        <v>30</v>
      </c>
      <c r="C10" s="83" t="s">
        <v>31</v>
      </c>
      <c r="D10" s="157">
        <f>D11+D21</f>
        <v>59767.799999999996</v>
      </c>
      <c r="E10" s="157">
        <v>7203.4</v>
      </c>
      <c r="F10" s="157">
        <v>8703.4</v>
      </c>
    </row>
    <row r="11" spans="1:6" ht="37.950000000000003" customHeight="1">
      <c r="A11" s="18" t="s">
        <v>123</v>
      </c>
      <c r="B11" s="84" t="s">
        <v>118</v>
      </c>
      <c r="C11" s="85" t="s">
        <v>31</v>
      </c>
      <c r="D11" s="159">
        <f>D12+D15+D18</f>
        <v>59757.799999999996</v>
      </c>
      <c r="E11" s="159">
        <v>4693.3999999999996</v>
      </c>
      <c r="F11" s="159">
        <v>4693.3999999999996</v>
      </c>
    </row>
    <row r="12" spans="1:6" ht="46.2" customHeight="1">
      <c r="A12" s="7" t="s">
        <v>355</v>
      </c>
      <c r="B12" s="86" t="s">
        <v>117</v>
      </c>
      <c r="C12" s="87" t="s">
        <v>31</v>
      </c>
      <c r="D12" s="161">
        <f>D13</f>
        <v>54202.7</v>
      </c>
      <c r="E12" s="161">
        <v>4693.3999999999996</v>
      </c>
      <c r="F12" s="161">
        <v>4693.3999999999996</v>
      </c>
    </row>
    <row r="13" spans="1:6" ht="21.6" customHeight="1">
      <c r="A13" s="67" t="s">
        <v>32</v>
      </c>
      <c r="B13" s="88" t="s">
        <v>117</v>
      </c>
      <c r="C13" s="89">
        <v>500</v>
      </c>
      <c r="D13" s="163">
        <f>D14</f>
        <v>54202.7</v>
      </c>
      <c r="E13" s="163">
        <v>4693.3999999999996</v>
      </c>
      <c r="F13" s="163">
        <v>4693.3999999999996</v>
      </c>
    </row>
    <row r="14" spans="1:6" ht="22.95" customHeight="1">
      <c r="A14" s="10" t="s">
        <v>34</v>
      </c>
      <c r="B14" s="88" t="s">
        <v>117</v>
      </c>
      <c r="C14" s="89" t="s">
        <v>35</v>
      </c>
      <c r="D14" s="163">
        <f>583.7+53619</f>
        <v>54202.7</v>
      </c>
      <c r="E14" s="163">
        <v>4693.3999999999996</v>
      </c>
      <c r="F14" s="163">
        <v>4693.3999999999996</v>
      </c>
    </row>
    <row r="15" spans="1:6" ht="81.599999999999994" customHeight="1">
      <c r="A15" s="7" t="s">
        <v>407</v>
      </c>
      <c r="B15" s="105" t="s">
        <v>178</v>
      </c>
      <c r="C15" s="79" t="s">
        <v>31</v>
      </c>
      <c r="D15" s="164">
        <f>D16</f>
        <v>2155.1</v>
      </c>
      <c r="E15" s="164">
        <v>0</v>
      </c>
      <c r="F15" s="164">
        <v>0</v>
      </c>
    </row>
    <row r="16" spans="1:6" ht="22.95" customHeight="1">
      <c r="A16" s="10" t="s">
        <v>32</v>
      </c>
      <c r="B16" s="88" t="s">
        <v>178</v>
      </c>
      <c r="C16" s="89">
        <v>500</v>
      </c>
      <c r="D16" s="163">
        <f>D17</f>
        <v>2155.1</v>
      </c>
      <c r="E16" s="163">
        <v>0</v>
      </c>
      <c r="F16" s="163">
        <v>0</v>
      </c>
    </row>
    <row r="17" spans="1:8" ht="22.95" customHeight="1">
      <c r="A17" s="10" t="s">
        <v>34</v>
      </c>
      <c r="B17" s="88" t="s">
        <v>178</v>
      </c>
      <c r="C17" s="89">
        <v>540</v>
      </c>
      <c r="D17" s="163">
        <v>2155.1</v>
      </c>
      <c r="E17" s="163">
        <v>0</v>
      </c>
      <c r="F17" s="163">
        <v>0</v>
      </c>
    </row>
    <row r="18" spans="1:8" ht="31.2">
      <c r="A18" s="7" t="s">
        <v>356</v>
      </c>
      <c r="B18" s="86" t="s">
        <v>157</v>
      </c>
      <c r="C18" s="87" t="s">
        <v>31</v>
      </c>
      <c r="D18" s="161">
        <v>3400</v>
      </c>
      <c r="E18" s="161">
        <v>0</v>
      </c>
      <c r="F18" s="161">
        <v>0</v>
      </c>
    </row>
    <row r="19" spans="1:8" ht="18">
      <c r="A19" s="9" t="s">
        <v>32</v>
      </c>
      <c r="B19" s="90" t="s">
        <v>157</v>
      </c>
      <c r="C19" s="91">
        <v>500</v>
      </c>
      <c r="D19" s="165">
        <v>3400</v>
      </c>
      <c r="E19" s="165">
        <v>0</v>
      </c>
      <c r="F19" s="165">
        <v>0</v>
      </c>
    </row>
    <row r="20" spans="1:8" ht="18">
      <c r="A20" s="9" t="s">
        <v>34</v>
      </c>
      <c r="B20" s="90" t="s">
        <v>157</v>
      </c>
      <c r="C20" s="91">
        <v>540</v>
      </c>
      <c r="D20" s="165">
        <v>3400</v>
      </c>
      <c r="E20" s="165">
        <v>0</v>
      </c>
      <c r="F20" s="165">
        <v>0</v>
      </c>
    </row>
    <row r="21" spans="1:8" ht="21.6" customHeight="1">
      <c r="A21" s="18" t="s">
        <v>119</v>
      </c>
      <c r="B21" s="84" t="s">
        <v>120</v>
      </c>
      <c r="C21" s="85" t="s">
        <v>31</v>
      </c>
      <c r="D21" s="159">
        <v>10</v>
      </c>
      <c r="E21" s="159">
        <v>2510</v>
      </c>
      <c r="F21" s="159">
        <v>4010</v>
      </c>
    </row>
    <row r="22" spans="1:8" ht="26.4" customHeight="1">
      <c r="A22" s="7" t="s">
        <v>357</v>
      </c>
      <c r="B22" s="92" t="s">
        <v>121</v>
      </c>
      <c r="C22" s="87" t="s">
        <v>31</v>
      </c>
      <c r="D22" s="161">
        <v>10</v>
      </c>
      <c r="E22" s="161">
        <v>10</v>
      </c>
      <c r="F22" s="161">
        <v>10</v>
      </c>
    </row>
    <row r="23" spans="1:8" ht="22.2" customHeight="1">
      <c r="A23" s="9" t="s">
        <v>36</v>
      </c>
      <c r="B23" s="90" t="s">
        <v>121</v>
      </c>
      <c r="C23" s="91">
        <v>800</v>
      </c>
      <c r="D23" s="165">
        <v>10</v>
      </c>
      <c r="E23" s="165">
        <v>10</v>
      </c>
      <c r="F23" s="165">
        <v>10</v>
      </c>
    </row>
    <row r="24" spans="1:8" ht="20.399999999999999" customHeight="1">
      <c r="A24" s="9" t="s">
        <v>37</v>
      </c>
      <c r="B24" s="90" t="s">
        <v>121</v>
      </c>
      <c r="C24" s="91">
        <v>870</v>
      </c>
      <c r="D24" s="165">
        <v>10</v>
      </c>
      <c r="E24" s="165">
        <v>10</v>
      </c>
      <c r="F24" s="165">
        <v>10</v>
      </c>
    </row>
    <row r="25" spans="1:8" ht="31.2">
      <c r="A25" s="7" t="s">
        <v>358</v>
      </c>
      <c r="B25" s="92" t="s">
        <v>122</v>
      </c>
      <c r="C25" s="87" t="s">
        <v>31</v>
      </c>
      <c r="D25" s="161">
        <v>0</v>
      </c>
      <c r="E25" s="161">
        <v>2500</v>
      </c>
      <c r="F25" s="161">
        <v>4000</v>
      </c>
    </row>
    <row r="26" spans="1:8" ht="18">
      <c r="A26" s="9" t="s">
        <v>36</v>
      </c>
      <c r="B26" s="90" t="s">
        <v>122</v>
      </c>
      <c r="C26" s="91">
        <v>800</v>
      </c>
      <c r="D26" s="165">
        <v>0</v>
      </c>
      <c r="E26" s="165">
        <v>2500</v>
      </c>
      <c r="F26" s="165">
        <v>4000</v>
      </c>
    </row>
    <row r="27" spans="1:8" ht="18">
      <c r="A27" s="9" t="s">
        <v>38</v>
      </c>
      <c r="B27" s="90" t="s">
        <v>122</v>
      </c>
      <c r="C27" s="91">
        <v>870</v>
      </c>
      <c r="D27" s="165">
        <v>0</v>
      </c>
      <c r="E27" s="165">
        <v>2500</v>
      </c>
      <c r="F27" s="165">
        <v>4000</v>
      </c>
    </row>
    <row r="28" spans="1:8" ht="30.6" customHeight="1">
      <c r="A28" s="69" t="s">
        <v>292</v>
      </c>
      <c r="B28" s="93" t="s">
        <v>39</v>
      </c>
      <c r="C28" s="75" t="s">
        <v>31</v>
      </c>
      <c r="D28" s="156">
        <f>D29</f>
        <v>9999.11</v>
      </c>
      <c r="E28" s="156">
        <v>10746.699999999999</v>
      </c>
      <c r="F28" s="156">
        <v>9992.4999999999982</v>
      </c>
      <c r="H28" s="176"/>
    </row>
    <row r="29" spans="1:8" ht="32.4" customHeight="1">
      <c r="A29" s="18" t="s">
        <v>359</v>
      </c>
      <c r="B29" s="94" t="s">
        <v>144</v>
      </c>
      <c r="C29" s="77" t="s">
        <v>31</v>
      </c>
      <c r="D29" s="158">
        <f>D30+D35</f>
        <v>9999.11</v>
      </c>
      <c r="E29" s="158">
        <v>10746.699999999999</v>
      </c>
      <c r="F29" s="158">
        <v>9992.4999999999982</v>
      </c>
    </row>
    <row r="30" spans="1:8" ht="39.6" customHeight="1">
      <c r="A30" s="7" t="s">
        <v>360</v>
      </c>
      <c r="B30" s="95" t="s">
        <v>110</v>
      </c>
      <c r="C30" s="79" t="s">
        <v>31</v>
      </c>
      <c r="D30" s="160">
        <f>D31+D33</f>
        <v>9238.51</v>
      </c>
      <c r="E30" s="160">
        <v>10074.299999999999</v>
      </c>
      <c r="F30" s="160">
        <v>9320.0999999999985</v>
      </c>
    </row>
    <row r="31" spans="1:8" ht="58.2" customHeight="1">
      <c r="A31" s="12" t="s">
        <v>40</v>
      </c>
      <c r="B31" s="96" t="s">
        <v>110</v>
      </c>
      <c r="C31" s="89" t="s">
        <v>41</v>
      </c>
      <c r="D31" s="166">
        <v>5828</v>
      </c>
      <c r="E31" s="166">
        <v>5050.8999999999996</v>
      </c>
      <c r="F31" s="166">
        <v>5050.8999999999996</v>
      </c>
    </row>
    <row r="32" spans="1:8" ht="24" customHeight="1">
      <c r="A32" s="9" t="s">
        <v>42</v>
      </c>
      <c r="B32" s="96" t="s">
        <v>110</v>
      </c>
      <c r="C32" s="89" t="s">
        <v>43</v>
      </c>
      <c r="D32" s="166">
        <v>5828</v>
      </c>
      <c r="E32" s="166">
        <v>5050.8999999999996</v>
      </c>
      <c r="F32" s="166">
        <v>5050.8999999999996</v>
      </c>
    </row>
    <row r="33" spans="1:7" ht="18">
      <c r="A33" s="13" t="s">
        <v>44</v>
      </c>
      <c r="B33" s="96" t="s">
        <v>110</v>
      </c>
      <c r="C33" s="97" t="s">
        <v>45</v>
      </c>
      <c r="D33" s="166">
        <f>D34</f>
        <v>3410.5099999999998</v>
      </c>
      <c r="E33" s="167">
        <v>5023.3999999999996</v>
      </c>
      <c r="F33" s="166">
        <v>4269.2</v>
      </c>
    </row>
    <row r="34" spans="1:7" ht="18">
      <c r="A34" s="13" t="s">
        <v>46</v>
      </c>
      <c r="B34" s="96" t="s">
        <v>110</v>
      </c>
      <c r="C34" s="97" t="s">
        <v>47</v>
      </c>
      <c r="D34" s="166">
        <f>2713.2+697.31</f>
        <v>3410.5099999999998</v>
      </c>
      <c r="E34" s="167">
        <v>5023.3999999999996</v>
      </c>
      <c r="F34" s="166">
        <v>4269.2</v>
      </c>
    </row>
    <row r="35" spans="1:7" ht="39" customHeight="1">
      <c r="A35" s="7" t="s">
        <v>361</v>
      </c>
      <c r="B35" s="95" t="s">
        <v>110</v>
      </c>
      <c r="C35" s="79" t="s">
        <v>31</v>
      </c>
      <c r="D35" s="160">
        <v>760.6</v>
      </c>
      <c r="E35" s="160">
        <v>672.4</v>
      </c>
      <c r="F35" s="160">
        <v>672.4</v>
      </c>
    </row>
    <row r="36" spans="1:7" ht="46.8">
      <c r="A36" s="12" t="s">
        <v>40</v>
      </c>
      <c r="B36" s="96" t="s">
        <v>110</v>
      </c>
      <c r="C36" s="89" t="s">
        <v>41</v>
      </c>
      <c r="D36" s="166">
        <v>760.6</v>
      </c>
      <c r="E36" s="166">
        <v>672.4</v>
      </c>
      <c r="F36" s="166">
        <v>672.4</v>
      </c>
    </row>
    <row r="37" spans="1:7" ht="31.2" customHeight="1">
      <c r="A37" s="9" t="s">
        <v>42</v>
      </c>
      <c r="B37" s="96" t="s">
        <v>110</v>
      </c>
      <c r="C37" s="89" t="s">
        <v>43</v>
      </c>
      <c r="D37" s="166">
        <v>760.6</v>
      </c>
      <c r="E37" s="166">
        <v>672.4</v>
      </c>
      <c r="F37" s="166">
        <v>672.4</v>
      </c>
    </row>
    <row r="38" spans="1:7" ht="37.950000000000003" customHeight="1">
      <c r="A38" s="22" t="s">
        <v>114</v>
      </c>
      <c r="B38" s="74" t="s">
        <v>53</v>
      </c>
      <c r="C38" s="75" t="s">
        <v>31</v>
      </c>
      <c r="D38" s="156">
        <f>D39+D43</f>
        <v>1296.1000000000001</v>
      </c>
      <c r="E38" s="156">
        <v>1091.5</v>
      </c>
      <c r="F38" s="156">
        <v>1091.5</v>
      </c>
    </row>
    <row r="39" spans="1:7" ht="46.95" customHeight="1">
      <c r="A39" s="21" t="s">
        <v>174</v>
      </c>
      <c r="B39" s="98" t="s">
        <v>140</v>
      </c>
      <c r="C39" s="77" t="s">
        <v>31</v>
      </c>
      <c r="D39" s="158">
        <f>D40</f>
        <v>1012.4000000000001</v>
      </c>
      <c r="E39" s="158">
        <v>925.6</v>
      </c>
      <c r="F39" s="158">
        <v>925.6</v>
      </c>
      <c r="G39" s="62">
        <f>D38+E38+F38</f>
        <v>3479.1000000000004</v>
      </c>
    </row>
    <row r="40" spans="1:7" ht="60.6" customHeight="1">
      <c r="A40" s="14" t="s">
        <v>362</v>
      </c>
      <c r="B40" s="99" t="s">
        <v>163</v>
      </c>
      <c r="C40" s="79" t="s">
        <v>31</v>
      </c>
      <c r="D40" s="160">
        <f>D41</f>
        <v>1012.4000000000001</v>
      </c>
      <c r="E40" s="160">
        <v>925.6</v>
      </c>
      <c r="F40" s="160">
        <v>925.6</v>
      </c>
    </row>
    <row r="41" spans="1:7" ht="19.95" customHeight="1">
      <c r="A41" s="9" t="s">
        <v>44</v>
      </c>
      <c r="B41" s="99" t="s">
        <v>163</v>
      </c>
      <c r="C41" s="89" t="s">
        <v>45</v>
      </c>
      <c r="D41" s="166">
        <f>D42</f>
        <v>1012.4000000000001</v>
      </c>
      <c r="E41" s="166">
        <v>925.6</v>
      </c>
      <c r="F41" s="166">
        <v>925.6</v>
      </c>
    </row>
    <row r="42" spans="1:7" ht="19.95" customHeight="1">
      <c r="A42" s="9" t="s">
        <v>46</v>
      </c>
      <c r="B42" s="99" t="s">
        <v>163</v>
      </c>
      <c r="C42" s="89" t="s">
        <v>47</v>
      </c>
      <c r="D42" s="166">
        <f>914.7+97.7</f>
        <v>1012.4000000000001</v>
      </c>
      <c r="E42" s="166">
        <v>925.6</v>
      </c>
      <c r="F42" s="166">
        <v>925.6</v>
      </c>
      <c r="G42" s="62">
        <f>F42+E42+D42</f>
        <v>2863.6000000000004</v>
      </c>
    </row>
    <row r="43" spans="1:7" ht="25.2" customHeight="1">
      <c r="A43" s="21" t="s">
        <v>175</v>
      </c>
      <c r="B43" s="98" t="s">
        <v>176</v>
      </c>
      <c r="C43" s="77" t="s">
        <v>31</v>
      </c>
      <c r="D43" s="158">
        <f>D44</f>
        <v>283.7</v>
      </c>
      <c r="E43" s="158">
        <v>165.9</v>
      </c>
      <c r="F43" s="158">
        <v>165.9</v>
      </c>
    </row>
    <row r="44" spans="1:7" ht="29.4" customHeight="1">
      <c r="A44" s="14" t="s">
        <v>363</v>
      </c>
      <c r="B44" s="99" t="s">
        <v>170</v>
      </c>
      <c r="C44" s="79" t="s">
        <v>31</v>
      </c>
      <c r="D44" s="160">
        <f>D45</f>
        <v>283.7</v>
      </c>
      <c r="E44" s="160">
        <v>165.9</v>
      </c>
      <c r="F44" s="160">
        <v>165.9</v>
      </c>
    </row>
    <row r="45" spans="1:7" ht="19.2" customHeight="1">
      <c r="A45" s="9" t="s">
        <v>44</v>
      </c>
      <c r="B45" s="99" t="s">
        <v>170</v>
      </c>
      <c r="C45" s="89" t="s">
        <v>45</v>
      </c>
      <c r="D45" s="166">
        <f>D46</f>
        <v>283.7</v>
      </c>
      <c r="E45" s="166">
        <v>165.9</v>
      </c>
      <c r="F45" s="166">
        <v>165.9</v>
      </c>
    </row>
    <row r="46" spans="1:7" ht="19.2" customHeight="1">
      <c r="A46" s="9" t="s">
        <v>46</v>
      </c>
      <c r="B46" s="99" t="s">
        <v>170</v>
      </c>
      <c r="C46" s="89" t="s">
        <v>47</v>
      </c>
      <c r="D46" s="166">
        <f>165.9+117.8</f>
        <v>283.7</v>
      </c>
      <c r="E46" s="166">
        <v>165.9</v>
      </c>
      <c r="F46" s="166">
        <v>165.9</v>
      </c>
      <c r="G46" s="62">
        <f>D46+E46+F46</f>
        <v>615.5</v>
      </c>
    </row>
    <row r="47" spans="1:7" ht="46.2" customHeight="1">
      <c r="A47" s="19" t="s">
        <v>313</v>
      </c>
      <c r="B47" s="74" t="s">
        <v>54</v>
      </c>
      <c r="C47" s="75" t="s">
        <v>31</v>
      </c>
      <c r="D47" s="156">
        <f>D48+D77+D81</f>
        <v>19057</v>
      </c>
      <c r="E47" s="156">
        <f>15399.5-0.4</f>
        <v>15399.1</v>
      </c>
      <c r="F47" s="156">
        <f>15408.6-0.5</f>
        <v>15408.1</v>
      </c>
    </row>
    <row r="48" spans="1:7" ht="30.6" customHeight="1">
      <c r="A48" s="18" t="s">
        <v>158</v>
      </c>
      <c r="B48" s="98" t="s">
        <v>115</v>
      </c>
      <c r="C48" s="77" t="s">
        <v>31</v>
      </c>
      <c r="D48" s="158">
        <f>8758+368.8</f>
        <v>9126.7999999999993</v>
      </c>
      <c r="E48" s="158">
        <f>8311.4-0.4</f>
        <v>8311</v>
      </c>
      <c r="F48" s="158">
        <f>8320.5-0.5</f>
        <v>8320</v>
      </c>
    </row>
    <row r="49" spans="1:7" s="101" customFormat="1" ht="24" customHeight="1">
      <c r="A49" s="7" t="s">
        <v>364</v>
      </c>
      <c r="B49" s="99" t="s">
        <v>116</v>
      </c>
      <c r="C49" s="100" t="s">
        <v>31</v>
      </c>
      <c r="D49" s="160">
        <v>1431.2</v>
      </c>
      <c r="E49" s="160">
        <v>1422.8</v>
      </c>
      <c r="F49" s="160">
        <v>1422.8</v>
      </c>
      <c r="G49" s="175"/>
    </row>
    <row r="50" spans="1:7" ht="46.8">
      <c r="A50" s="9" t="s">
        <v>51</v>
      </c>
      <c r="B50" s="78" t="s">
        <v>116</v>
      </c>
      <c r="C50" s="89" t="s">
        <v>41</v>
      </c>
      <c r="D50" s="166">
        <v>1431.2</v>
      </c>
      <c r="E50" s="166">
        <v>1422.8</v>
      </c>
      <c r="F50" s="166">
        <v>1422.8</v>
      </c>
    </row>
    <row r="51" spans="1:7" ht="22.2" customHeight="1">
      <c r="A51" s="9" t="s">
        <v>55</v>
      </c>
      <c r="B51" s="78" t="s">
        <v>116</v>
      </c>
      <c r="C51" s="89" t="s">
        <v>56</v>
      </c>
      <c r="D51" s="166">
        <v>1431.2</v>
      </c>
      <c r="E51" s="166">
        <v>1422.8</v>
      </c>
      <c r="F51" s="166">
        <v>1422.8</v>
      </c>
    </row>
    <row r="52" spans="1:7" ht="41.4" customHeight="1">
      <c r="A52" s="7" t="s">
        <v>365</v>
      </c>
      <c r="B52" s="99" t="s">
        <v>149</v>
      </c>
      <c r="C52" s="79" t="s">
        <v>31</v>
      </c>
      <c r="D52" s="160">
        <f>D53</f>
        <v>6400.6</v>
      </c>
      <c r="E52" s="160">
        <v>6254.5</v>
      </c>
      <c r="F52" s="160">
        <v>6254.6</v>
      </c>
    </row>
    <row r="53" spans="1:7" ht="46.8">
      <c r="A53" s="9" t="s">
        <v>51</v>
      </c>
      <c r="B53" s="78" t="s">
        <v>149</v>
      </c>
      <c r="C53" s="89" t="s">
        <v>41</v>
      </c>
      <c r="D53" s="166">
        <f>D54</f>
        <v>6400.6</v>
      </c>
      <c r="E53" s="166">
        <v>6254.5</v>
      </c>
      <c r="F53" s="166">
        <v>6254.6</v>
      </c>
    </row>
    <row r="54" spans="1:7" ht="22.2" customHeight="1">
      <c r="A54" s="9" t="s">
        <v>55</v>
      </c>
      <c r="B54" s="78" t="s">
        <v>149</v>
      </c>
      <c r="C54" s="89" t="s">
        <v>56</v>
      </c>
      <c r="D54" s="166">
        <f>6400.6</f>
        <v>6400.6</v>
      </c>
      <c r="E54" s="166">
        <v>6254.5</v>
      </c>
      <c r="F54" s="166">
        <v>6254.6</v>
      </c>
    </row>
    <row r="55" spans="1:7" ht="41.4" customHeight="1">
      <c r="A55" s="16" t="s">
        <v>366</v>
      </c>
      <c r="B55" s="95" t="s">
        <v>150</v>
      </c>
      <c r="C55" s="79" t="s">
        <v>31</v>
      </c>
      <c r="D55" s="160">
        <v>178.1</v>
      </c>
      <c r="E55" s="160">
        <v>0</v>
      </c>
      <c r="F55" s="160">
        <v>0</v>
      </c>
    </row>
    <row r="56" spans="1:7" ht="18">
      <c r="A56" s="9" t="s">
        <v>32</v>
      </c>
      <c r="B56" s="78" t="s">
        <v>150</v>
      </c>
      <c r="C56" s="89" t="s">
        <v>33</v>
      </c>
      <c r="D56" s="166">
        <v>178.1</v>
      </c>
      <c r="E56" s="166">
        <v>0</v>
      </c>
      <c r="F56" s="166">
        <v>0</v>
      </c>
    </row>
    <row r="57" spans="1:7" ht="18">
      <c r="A57" s="9" t="s">
        <v>34</v>
      </c>
      <c r="B57" s="78" t="s">
        <v>150</v>
      </c>
      <c r="C57" s="89" t="s">
        <v>35</v>
      </c>
      <c r="D57" s="166">
        <v>178.1</v>
      </c>
      <c r="E57" s="166">
        <v>0</v>
      </c>
      <c r="F57" s="166">
        <v>0</v>
      </c>
    </row>
    <row r="58" spans="1:7" ht="22.8" customHeight="1">
      <c r="A58" s="16" t="s">
        <v>367</v>
      </c>
      <c r="B58" s="95" t="s">
        <v>152</v>
      </c>
      <c r="C58" s="79" t="s">
        <v>31</v>
      </c>
      <c r="D58" s="160">
        <f>D59+D61</f>
        <v>806.1</v>
      </c>
      <c r="E58" s="160">
        <f>E59+E61</f>
        <v>314.60000000000002</v>
      </c>
      <c r="F58" s="160">
        <f>F59+F61</f>
        <v>314.5</v>
      </c>
    </row>
    <row r="59" spans="1:7" ht="18">
      <c r="A59" s="9" t="s">
        <v>44</v>
      </c>
      <c r="B59" s="96" t="s">
        <v>152</v>
      </c>
      <c r="C59" s="89" t="s">
        <v>45</v>
      </c>
      <c r="D59" s="166">
        <f>D60</f>
        <v>791.1</v>
      </c>
      <c r="E59" s="166">
        <f>E60</f>
        <v>299.60000000000002</v>
      </c>
      <c r="F59" s="166">
        <f>F60</f>
        <v>299.5</v>
      </c>
    </row>
    <row r="60" spans="1:7" ht="18">
      <c r="A60" s="9" t="s">
        <v>46</v>
      </c>
      <c r="B60" s="96" t="s">
        <v>152</v>
      </c>
      <c r="C60" s="89" t="s">
        <v>47</v>
      </c>
      <c r="D60" s="166">
        <f>422.3+368.8</f>
        <v>791.1</v>
      </c>
      <c r="E60" s="166">
        <f>300-0.4</f>
        <v>299.60000000000002</v>
      </c>
      <c r="F60" s="166">
        <f>300-0.5</f>
        <v>299.5</v>
      </c>
    </row>
    <row r="61" spans="1:7" ht="18">
      <c r="A61" s="9" t="s">
        <v>36</v>
      </c>
      <c r="B61" s="96" t="s">
        <v>152</v>
      </c>
      <c r="C61" s="89" t="s">
        <v>48</v>
      </c>
      <c r="D61" s="166">
        <v>15</v>
      </c>
      <c r="E61" s="166">
        <v>15</v>
      </c>
      <c r="F61" s="166">
        <v>15</v>
      </c>
    </row>
    <row r="62" spans="1:7" ht="18">
      <c r="A62" s="10" t="s">
        <v>49</v>
      </c>
      <c r="B62" s="96" t="s">
        <v>152</v>
      </c>
      <c r="C62" s="89" t="s">
        <v>50</v>
      </c>
      <c r="D62" s="166">
        <v>15</v>
      </c>
      <c r="E62" s="166">
        <v>15</v>
      </c>
      <c r="F62" s="166">
        <v>15</v>
      </c>
    </row>
    <row r="63" spans="1:7" ht="31.2">
      <c r="A63" s="11" t="s">
        <v>368</v>
      </c>
      <c r="B63" s="99" t="s">
        <v>151</v>
      </c>
      <c r="C63" s="79" t="s">
        <v>31</v>
      </c>
      <c r="D63" s="160">
        <v>246.9</v>
      </c>
      <c r="E63" s="160">
        <v>255.2</v>
      </c>
      <c r="F63" s="160">
        <v>264.2</v>
      </c>
    </row>
    <row r="64" spans="1:7" ht="46.8">
      <c r="A64" s="15" t="s">
        <v>51</v>
      </c>
      <c r="B64" s="78" t="s">
        <v>151</v>
      </c>
      <c r="C64" s="89" t="s">
        <v>41</v>
      </c>
      <c r="D64" s="166">
        <v>244</v>
      </c>
      <c r="E64" s="166">
        <v>244</v>
      </c>
      <c r="F64" s="166">
        <v>244</v>
      </c>
    </row>
    <row r="65" spans="1:6" ht="18">
      <c r="A65" s="15" t="s">
        <v>55</v>
      </c>
      <c r="B65" s="78" t="s">
        <v>151</v>
      </c>
      <c r="C65" s="89" t="s">
        <v>56</v>
      </c>
      <c r="D65" s="166">
        <v>244</v>
      </c>
      <c r="E65" s="166">
        <v>244</v>
      </c>
      <c r="F65" s="166">
        <v>244</v>
      </c>
    </row>
    <row r="66" spans="1:6" ht="18">
      <c r="A66" s="15" t="s">
        <v>44</v>
      </c>
      <c r="B66" s="78" t="s">
        <v>151</v>
      </c>
      <c r="C66" s="89" t="s">
        <v>45</v>
      </c>
      <c r="D66" s="166">
        <v>2.9</v>
      </c>
      <c r="E66" s="166">
        <v>11.2</v>
      </c>
      <c r="F66" s="166">
        <v>20.2</v>
      </c>
    </row>
    <row r="67" spans="1:6" ht="18">
      <c r="A67" s="9" t="s">
        <v>46</v>
      </c>
      <c r="B67" s="78" t="s">
        <v>151</v>
      </c>
      <c r="C67" s="89" t="s">
        <v>47</v>
      </c>
      <c r="D67" s="166">
        <v>2.9</v>
      </c>
      <c r="E67" s="166">
        <v>11.2</v>
      </c>
      <c r="F67" s="166">
        <v>20.2</v>
      </c>
    </row>
    <row r="68" spans="1:6" ht="31.2">
      <c r="A68" s="8" t="s">
        <v>369</v>
      </c>
      <c r="B68" s="99" t="s">
        <v>154</v>
      </c>
      <c r="C68" s="79" t="s">
        <v>31</v>
      </c>
      <c r="D68" s="160">
        <v>3</v>
      </c>
      <c r="E68" s="160">
        <v>3</v>
      </c>
      <c r="F68" s="160">
        <v>3</v>
      </c>
    </row>
    <row r="69" spans="1:6" ht="18">
      <c r="A69" s="15" t="s">
        <v>44</v>
      </c>
      <c r="B69" s="78" t="s">
        <v>154</v>
      </c>
      <c r="C69" s="89" t="s">
        <v>45</v>
      </c>
      <c r="D69" s="166">
        <v>3</v>
      </c>
      <c r="E69" s="166">
        <v>3</v>
      </c>
      <c r="F69" s="166">
        <v>3</v>
      </c>
    </row>
    <row r="70" spans="1:6" ht="18">
      <c r="A70" s="9" t="s">
        <v>46</v>
      </c>
      <c r="B70" s="78" t="s">
        <v>154</v>
      </c>
      <c r="C70" s="89" t="s">
        <v>47</v>
      </c>
      <c r="D70" s="166">
        <v>3</v>
      </c>
      <c r="E70" s="166">
        <v>3</v>
      </c>
      <c r="F70" s="166">
        <v>3</v>
      </c>
    </row>
    <row r="71" spans="1:6" ht="46.8">
      <c r="A71" s="8" t="s">
        <v>370</v>
      </c>
      <c r="B71" s="99" t="s">
        <v>153</v>
      </c>
      <c r="C71" s="79" t="s">
        <v>31</v>
      </c>
      <c r="D71" s="160">
        <v>0.9</v>
      </c>
      <c r="E71" s="160">
        <v>0.9</v>
      </c>
      <c r="F71" s="160">
        <v>0.9</v>
      </c>
    </row>
    <row r="72" spans="1:6" ht="18">
      <c r="A72" s="15" t="s">
        <v>44</v>
      </c>
      <c r="B72" s="78" t="s">
        <v>153</v>
      </c>
      <c r="C72" s="89" t="s">
        <v>45</v>
      </c>
      <c r="D72" s="166">
        <v>0.9</v>
      </c>
      <c r="E72" s="166">
        <v>0.9</v>
      </c>
      <c r="F72" s="166">
        <v>0.9</v>
      </c>
    </row>
    <row r="73" spans="1:6" ht="18">
      <c r="A73" s="9" t="s">
        <v>46</v>
      </c>
      <c r="B73" s="78" t="s">
        <v>153</v>
      </c>
      <c r="C73" s="89" t="s">
        <v>47</v>
      </c>
      <c r="D73" s="166">
        <v>0.9</v>
      </c>
      <c r="E73" s="166">
        <v>0.9</v>
      </c>
      <c r="F73" s="166">
        <v>0.9</v>
      </c>
    </row>
    <row r="74" spans="1:6" ht="31.2">
      <c r="A74" s="7" t="s">
        <v>365</v>
      </c>
      <c r="B74" s="99" t="s">
        <v>266</v>
      </c>
      <c r="C74" s="79" t="s">
        <v>31</v>
      </c>
      <c r="D74" s="160">
        <v>60</v>
      </c>
      <c r="E74" s="160">
        <v>60</v>
      </c>
      <c r="F74" s="160">
        <v>60</v>
      </c>
    </row>
    <row r="75" spans="1:6" ht="18">
      <c r="A75" s="9" t="s">
        <v>57</v>
      </c>
      <c r="B75" s="78" t="s">
        <v>266</v>
      </c>
      <c r="C75" s="89" t="s">
        <v>58</v>
      </c>
      <c r="D75" s="166">
        <v>60</v>
      </c>
      <c r="E75" s="166">
        <v>60</v>
      </c>
      <c r="F75" s="166">
        <v>60</v>
      </c>
    </row>
    <row r="76" spans="1:6" ht="18">
      <c r="A76" s="71" t="s">
        <v>371</v>
      </c>
      <c r="B76" s="78" t="s">
        <v>266</v>
      </c>
      <c r="C76" s="89" t="s">
        <v>58</v>
      </c>
      <c r="D76" s="166">
        <v>60</v>
      </c>
      <c r="E76" s="166">
        <v>60</v>
      </c>
      <c r="F76" s="166">
        <v>60</v>
      </c>
    </row>
    <row r="77" spans="1:6" ht="40.200000000000003" customHeight="1">
      <c r="A77" s="20" t="s">
        <v>141</v>
      </c>
      <c r="B77" s="98" t="s">
        <v>293</v>
      </c>
      <c r="C77" s="77" t="s">
        <v>31</v>
      </c>
      <c r="D77" s="158">
        <f>D78</f>
        <v>489</v>
      </c>
      <c r="E77" s="158">
        <v>472.7</v>
      </c>
      <c r="F77" s="158">
        <v>472.7</v>
      </c>
    </row>
    <row r="78" spans="1:6" ht="31.2">
      <c r="A78" s="7" t="s">
        <v>372</v>
      </c>
      <c r="B78" s="95" t="s">
        <v>294</v>
      </c>
      <c r="C78" s="79" t="s">
        <v>31</v>
      </c>
      <c r="D78" s="160">
        <f>D79</f>
        <v>489</v>
      </c>
      <c r="E78" s="160">
        <v>472.7</v>
      </c>
      <c r="F78" s="160">
        <v>472.7</v>
      </c>
    </row>
    <row r="79" spans="1:6" ht="46.8">
      <c r="A79" s="9" t="s">
        <v>51</v>
      </c>
      <c r="B79" s="95" t="s">
        <v>294</v>
      </c>
      <c r="C79" s="89" t="s">
        <v>41</v>
      </c>
      <c r="D79" s="166">
        <f>D80</f>
        <v>489</v>
      </c>
      <c r="E79" s="166">
        <v>472.7</v>
      </c>
      <c r="F79" s="166">
        <v>472.7</v>
      </c>
    </row>
    <row r="80" spans="1:6" ht="18">
      <c r="A80" s="9" t="s">
        <v>52</v>
      </c>
      <c r="B80" s="95" t="s">
        <v>294</v>
      </c>
      <c r="C80" s="89" t="s">
        <v>43</v>
      </c>
      <c r="D80" s="166">
        <f>472.7+16.3</f>
        <v>489</v>
      </c>
      <c r="E80" s="166">
        <v>472.7</v>
      </c>
      <c r="F80" s="166">
        <v>472.7</v>
      </c>
    </row>
    <row r="81" spans="1:12" ht="40.200000000000003" customHeight="1">
      <c r="A81" s="20" t="s">
        <v>137</v>
      </c>
      <c r="B81" s="98" t="s">
        <v>295</v>
      </c>
      <c r="C81" s="77" t="s">
        <v>31</v>
      </c>
      <c r="D81" s="158">
        <f>D82+D91</f>
        <v>9441.2000000000007</v>
      </c>
      <c r="E81" s="158">
        <v>6615.4</v>
      </c>
      <c r="F81" s="158">
        <v>6615.4</v>
      </c>
    </row>
    <row r="82" spans="1:12" ht="40.799999999999997" customHeight="1">
      <c r="A82" s="7" t="s">
        <v>373</v>
      </c>
      <c r="B82" s="95" t="s">
        <v>296</v>
      </c>
      <c r="C82" s="79" t="s">
        <v>31</v>
      </c>
      <c r="D82" s="160">
        <f>D83+D85+D87+D89</f>
        <v>9307.2000000000007</v>
      </c>
      <c r="E82" s="160">
        <v>6615.4</v>
      </c>
      <c r="F82" s="160">
        <v>6615.4</v>
      </c>
      <c r="G82" s="177"/>
    </row>
    <row r="83" spans="1:12" ht="46.8">
      <c r="A83" s="9" t="s">
        <v>51</v>
      </c>
      <c r="B83" s="96" t="s">
        <v>296</v>
      </c>
      <c r="C83" s="89" t="s">
        <v>41</v>
      </c>
      <c r="D83" s="166">
        <f>D84</f>
        <v>6250.5</v>
      </c>
      <c r="E83" s="166">
        <v>5969.7</v>
      </c>
      <c r="F83" s="166">
        <v>5969.7</v>
      </c>
    </row>
    <row r="84" spans="1:12" ht="18">
      <c r="A84" s="9" t="s">
        <v>52</v>
      </c>
      <c r="B84" s="96" t="s">
        <v>296</v>
      </c>
      <c r="C84" s="89" t="s">
        <v>43</v>
      </c>
      <c r="D84" s="167">
        <f>6119.7+130.8</f>
        <v>6250.5</v>
      </c>
      <c r="E84" s="166">
        <v>5969.7</v>
      </c>
      <c r="F84" s="166">
        <v>5969.7</v>
      </c>
    </row>
    <row r="85" spans="1:12" ht="46.8">
      <c r="A85" s="9" t="s">
        <v>51</v>
      </c>
      <c r="B85" s="96" t="s">
        <v>296</v>
      </c>
      <c r="C85" s="89" t="s">
        <v>41</v>
      </c>
      <c r="D85" s="166">
        <f>D86</f>
        <v>585.9</v>
      </c>
      <c r="E85" s="166">
        <v>0</v>
      </c>
      <c r="F85" s="166">
        <v>0</v>
      </c>
      <c r="H85" s="26"/>
      <c r="I85" s="26"/>
      <c r="J85" s="26"/>
      <c r="K85" s="26"/>
      <c r="L85" s="26"/>
    </row>
    <row r="86" spans="1:12" ht="18">
      <c r="A86" s="9" t="s">
        <v>52</v>
      </c>
      <c r="B86" s="96" t="s">
        <v>296</v>
      </c>
      <c r="C86" s="89" t="s">
        <v>43</v>
      </c>
      <c r="D86" s="166">
        <v>585.9</v>
      </c>
      <c r="E86" s="166">
        <v>0</v>
      </c>
      <c r="F86" s="166">
        <v>0</v>
      </c>
      <c r="H86" s="26"/>
      <c r="I86" s="26"/>
      <c r="J86" s="26"/>
      <c r="K86" s="26"/>
      <c r="L86" s="26"/>
    </row>
    <row r="87" spans="1:12" ht="18">
      <c r="A87" s="9" t="s">
        <v>44</v>
      </c>
      <c r="B87" s="96" t="s">
        <v>296</v>
      </c>
      <c r="C87" s="89" t="s">
        <v>45</v>
      </c>
      <c r="D87" s="166">
        <f>D88</f>
        <v>2459.8000000000002</v>
      </c>
      <c r="E87" s="166">
        <v>645.70000000000005</v>
      </c>
      <c r="F87" s="166">
        <v>645.70000000000005</v>
      </c>
    </row>
    <row r="88" spans="1:12" ht="18">
      <c r="A88" s="9" t="s">
        <v>46</v>
      </c>
      <c r="B88" s="96" t="s">
        <v>296</v>
      </c>
      <c r="C88" s="89" t="s">
        <v>47</v>
      </c>
      <c r="D88" s="166">
        <f>2254.5+205.3</f>
        <v>2459.8000000000002</v>
      </c>
      <c r="E88" s="166">
        <v>645.70000000000005</v>
      </c>
      <c r="F88" s="166">
        <v>645.70000000000005</v>
      </c>
    </row>
    <row r="89" spans="1:12" ht="18">
      <c r="A89" s="9" t="s">
        <v>36</v>
      </c>
      <c r="B89" s="96" t="s">
        <v>296</v>
      </c>
      <c r="C89" s="89" t="s">
        <v>48</v>
      </c>
      <c r="D89" s="166">
        <v>11</v>
      </c>
      <c r="E89" s="166">
        <v>0</v>
      </c>
      <c r="F89" s="166">
        <v>0</v>
      </c>
    </row>
    <row r="90" spans="1:12" ht="18">
      <c r="A90" s="10" t="s">
        <v>49</v>
      </c>
      <c r="B90" s="96" t="s">
        <v>296</v>
      </c>
      <c r="C90" s="89" t="s">
        <v>50</v>
      </c>
      <c r="D90" s="166">
        <v>11</v>
      </c>
      <c r="E90" s="166">
        <v>0</v>
      </c>
      <c r="F90" s="166">
        <v>0</v>
      </c>
    </row>
    <row r="91" spans="1:12" ht="31.2" customHeight="1">
      <c r="A91" s="7" t="s">
        <v>408</v>
      </c>
      <c r="B91" s="95" t="s">
        <v>297</v>
      </c>
      <c r="C91" s="79" t="s">
        <v>31</v>
      </c>
      <c r="D91" s="160">
        <f>D92</f>
        <v>134</v>
      </c>
      <c r="E91" s="160">
        <v>0</v>
      </c>
      <c r="F91" s="160">
        <v>0</v>
      </c>
      <c r="G91" s="177"/>
    </row>
    <row r="92" spans="1:12" ht="46.8">
      <c r="A92" s="9" t="s">
        <v>51</v>
      </c>
      <c r="B92" s="96" t="s">
        <v>297</v>
      </c>
      <c r="C92" s="89" t="s">
        <v>41</v>
      </c>
      <c r="D92" s="166">
        <v>134</v>
      </c>
      <c r="E92" s="166">
        <v>0</v>
      </c>
      <c r="F92" s="166">
        <v>0</v>
      </c>
      <c r="G92" s="177"/>
      <c r="H92" s="26"/>
      <c r="I92" s="26"/>
      <c r="J92" s="26"/>
      <c r="K92" s="26"/>
      <c r="L92" s="26"/>
    </row>
    <row r="93" spans="1:12" ht="18">
      <c r="A93" s="9" t="s">
        <v>52</v>
      </c>
      <c r="B93" s="96" t="s">
        <v>297</v>
      </c>
      <c r="C93" s="89" t="s">
        <v>43</v>
      </c>
      <c r="D93" s="166">
        <v>134</v>
      </c>
      <c r="E93" s="166">
        <v>0</v>
      </c>
      <c r="F93" s="166">
        <v>0</v>
      </c>
      <c r="G93" s="177"/>
      <c r="H93" s="26"/>
      <c r="I93" s="26"/>
      <c r="J93" s="26"/>
      <c r="K93" s="26"/>
      <c r="L93" s="26"/>
    </row>
    <row r="94" spans="1:12" ht="44.4" customHeight="1">
      <c r="A94" s="19" t="s">
        <v>109</v>
      </c>
      <c r="B94" s="102" t="s">
        <v>59</v>
      </c>
      <c r="C94" s="103" t="s">
        <v>31</v>
      </c>
      <c r="D94" s="168">
        <v>27.2</v>
      </c>
      <c r="E94" s="168">
        <v>27.2</v>
      </c>
      <c r="F94" s="168">
        <v>27.2</v>
      </c>
    </row>
    <row r="95" spans="1:12" ht="24" customHeight="1">
      <c r="A95" s="18" t="s">
        <v>125</v>
      </c>
      <c r="B95" s="104" t="s">
        <v>126</v>
      </c>
      <c r="C95" s="85" t="s">
        <v>31</v>
      </c>
      <c r="D95" s="159">
        <v>27.2</v>
      </c>
      <c r="E95" s="159">
        <v>27.2</v>
      </c>
      <c r="F95" s="159">
        <v>27.2</v>
      </c>
    </row>
    <row r="96" spans="1:12" ht="17.399999999999999">
      <c r="A96" s="7" t="s">
        <v>374</v>
      </c>
      <c r="B96" s="99" t="s">
        <v>60</v>
      </c>
      <c r="C96" s="79" t="s">
        <v>31</v>
      </c>
      <c r="D96" s="160">
        <v>13.6</v>
      </c>
      <c r="E96" s="160">
        <v>13.6</v>
      </c>
      <c r="F96" s="160">
        <v>13.6</v>
      </c>
    </row>
    <row r="97" spans="1:7" ht="18">
      <c r="A97" s="9" t="s">
        <v>44</v>
      </c>
      <c r="B97" s="78" t="s">
        <v>60</v>
      </c>
      <c r="C97" s="89" t="s">
        <v>45</v>
      </c>
      <c r="D97" s="166">
        <v>13.6</v>
      </c>
      <c r="E97" s="166">
        <v>13.6</v>
      </c>
      <c r="F97" s="166">
        <v>13.6</v>
      </c>
    </row>
    <row r="98" spans="1:7" ht="18">
      <c r="A98" s="9" t="s">
        <v>46</v>
      </c>
      <c r="B98" s="78" t="s">
        <v>60</v>
      </c>
      <c r="C98" s="89" t="s">
        <v>47</v>
      </c>
      <c r="D98" s="166">
        <v>13.6</v>
      </c>
      <c r="E98" s="166">
        <v>13.6</v>
      </c>
      <c r="F98" s="166">
        <v>13.6</v>
      </c>
    </row>
    <row r="99" spans="1:7" ht="31.2">
      <c r="A99" s="7" t="s">
        <v>375</v>
      </c>
      <c r="B99" s="99" t="s">
        <v>61</v>
      </c>
      <c r="C99" s="79" t="s">
        <v>31</v>
      </c>
      <c r="D99" s="160">
        <v>13.6</v>
      </c>
      <c r="E99" s="160">
        <v>13.6</v>
      </c>
      <c r="F99" s="160">
        <v>13.6</v>
      </c>
    </row>
    <row r="100" spans="1:7" ht="18">
      <c r="A100" s="9" t="s">
        <v>44</v>
      </c>
      <c r="B100" s="78" t="s">
        <v>61</v>
      </c>
      <c r="C100" s="89" t="s">
        <v>45</v>
      </c>
      <c r="D100" s="166">
        <v>13.6</v>
      </c>
      <c r="E100" s="166">
        <v>13.6</v>
      </c>
      <c r="F100" s="166">
        <v>13.6</v>
      </c>
    </row>
    <row r="101" spans="1:7" ht="18">
      <c r="A101" s="9" t="s">
        <v>46</v>
      </c>
      <c r="B101" s="78" t="s">
        <v>61</v>
      </c>
      <c r="C101" s="89" t="s">
        <v>47</v>
      </c>
      <c r="D101" s="166">
        <v>13.6</v>
      </c>
      <c r="E101" s="166">
        <v>13.6</v>
      </c>
      <c r="F101" s="166">
        <v>13.6</v>
      </c>
    </row>
    <row r="102" spans="1:7" ht="32.4" customHeight="1">
      <c r="A102" s="23" t="s">
        <v>113</v>
      </c>
      <c r="B102" s="102" t="s">
        <v>62</v>
      </c>
      <c r="C102" s="103" t="s">
        <v>31</v>
      </c>
      <c r="D102" s="168">
        <f>D103</f>
        <v>9667.7000000000007</v>
      </c>
      <c r="E102" s="168">
        <v>9599</v>
      </c>
      <c r="F102" s="168">
        <v>10079</v>
      </c>
      <c r="G102" s="62">
        <f>D102+E102+F102</f>
        <v>29345.7</v>
      </c>
    </row>
    <row r="103" spans="1:7" ht="31.2">
      <c r="A103" s="7" t="s">
        <v>164</v>
      </c>
      <c r="B103" s="99" t="s">
        <v>127</v>
      </c>
      <c r="C103" s="79" t="s">
        <v>31</v>
      </c>
      <c r="D103" s="160">
        <f>D104</f>
        <v>9667.7000000000007</v>
      </c>
      <c r="E103" s="160">
        <v>9599</v>
      </c>
      <c r="F103" s="160">
        <v>10079</v>
      </c>
    </row>
    <row r="104" spans="1:7" ht="31.2">
      <c r="A104" s="7" t="s">
        <v>376</v>
      </c>
      <c r="B104" s="99" t="s">
        <v>63</v>
      </c>
      <c r="C104" s="79" t="s">
        <v>31</v>
      </c>
      <c r="D104" s="160">
        <f>D105</f>
        <v>9667.7000000000007</v>
      </c>
      <c r="E104" s="160">
        <v>9599</v>
      </c>
      <c r="F104" s="160">
        <v>10079</v>
      </c>
    </row>
    <row r="105" spans="1:7" ht="18">
      <c r="A105" s="9" t="s">
        <v>44</v>
      </c>
      <c r="B105" s="78" t="s">
        <v>63</v>
      </c>
      <c r="C105" s="89" t="s">
        <v>45</v>
      </c>
      <c r="D105" s="166">
        <f>D106</f>
        <v>9667.7000000000007</v>
      </c>
      <c r="E105" s="166">
        <v>9599</v>
      </c>
      <c r="F105" s="166">
        <v>10079</v>
      </c>
    </row>
    <row r="106" spans="1:7" ht="18">
      <c r="A106" s="9" t="s">
        <v>46</v>
      </c>
      <c r="B106" s="78" t="s">
        <v>63</v>
      </c>
      <c r="C106" s="89" t="s">
        <v>47</v>
      </c>
      <c r="D106" s="166">
        <v>9667.7000000000007</v>
      </c>
      <c r="E106" s="166">
        <v>9599</v>
      </c>
      <c r="F106" s="166">
        <v>10079</v>
      </c>
    </row>
    <row r="107" spans="1:7" ht="41.4" customHeight="1">
      <c r="A107" s="23" t="s">
        <v>112</v>
      </c>
      <c r="B107" s="74" t="s">
        <v>64</v>
      </c>
      <c r="C107" s="75" t="s">
        <v>31</v>
      </c>
      <c r="D107" s="156">
        <v>931.7</v>
      </c>
      <c r="E107" s="156">
        <v>0</v>
      </c>
      <c r="F107" s="156">
        <v>0</v>
      </c>
    </row>
    <row r="108" spans="1:7" ht="41.4" customHeight="1">
      <c r="A108" s="27" t="s">
        <v>145</v>
      </c>
      <c r="B108" s="98" t="s">
        <v>146</v>
      </c>
      <c r="C108" s="77" t="s">
        <v>31</v>
      </c>
      <c r="D108" s="158">
        <v>931.7</v>
      </c>
      <c r="E108" s="158">
        <v>0</v>
      </c>
      <c r="F108" s="158">
        <v>0</v>
      </c>
    </row>
    <row r="109" spans="1:7" ht="31.2">
      <c r="A109" s="7" t="s">
        <v>377</v>
      </c>
      <c r="B109" s="99" t="s">
        <v>65</v>
      </c>
      <c r="C109" s="79" t="s">
        <v>31</v>
      </c>
      <c r="D109" s="160">
        <v>931.7</v>
      </c>
      <c r="E109" s="160">
        <v>0</v>
      </c>
      <c r="F109" s="160">
        <v>0</v>
      </c>
    </row>
    <row r="110" spans="1:7" ht="18">
      <c r="A110" s="9" t="s">
        <v>44</v>
      </c>
      <c r="B110" s="78" t="s">
        <v>65</v>
      </c>
      <c r="C110" s="89" t="s">
        <v>45</v>
      </c>
      <c r="D110" s="166">
        <v>931.7</v>
      </c>
      <c r="E110" s="166">
        <v>0</v>
      </c>
      <c r="F110" s="166">
        <v>0</v>
      </c>
    </row>
    <row r="111" spans="1:7" ht="18">
      <c r="A111" s="9" t="s">
        <v>46</v>
      </c>
      <c r="B111" s="78" t="s">
        <v>65</v>
      </c>
      <c r="C111" s="89" t="s">
        <v>47</v>
      </c>
      <c r="D111" s="166">
        <v>931.7</v>
      </c>
      <c r="E111" s="166">
        <v>0</v>
      </c>
      <c r="F111" s="166">
        <v>0</v>
      </c>
    </row>
    <row r="112" spans="1:7" ht="40.950000000000003" customHeight="1">
      <c r="A112" s="24" t="s">
        <v>298</v>
      </c>
      <c r="B112" s="74" t="s">
        <v>66</v>
      </c>
      <c r="C112" s="75" t="s">
        <v>31</v>
      </c>
      <c r="D112" s="156">
        <f>D113+D120+D124</f>
        <v>7029.7999999999993</v>
      </c>
      <c r="E112" s="156">
        <v>4370.8999999999996</v>
      </c>
      <c r="F112" s="156">
        <v>4508.5</v>
      </c>
    </row>
    <row r="113" spans="1:6" ht="31.8" customHeight="1">
      <c r="A113" s="20" t="s">
        <v>401</v>
      </c>
      <c r="B113" s="98" t="s">
        <v>128</v>
      </c>
      <c r="C113" s="77" t="s">
        <v>31</v>
      </c>
      <c r="D113" s="158">
        <f>D114+D117</f>
        <v>239.1</v>
      </c>
      <c r="E113" s="158">
        <v>0</v>
      </c>
      <c r="F113" s="158">
        <v>0</v>
      </c>
    </row>
    <row r="114" spans="1:6" ht="40.200000000000003" customHeight="1">
      <c r="A114" s="7" t="s">
        <v>402</v>
      </c>
      <c r="B114" s="105" t="s">
        <v>342</v>
      </c>
      <c r="C114" s="79" t="s">
        <v>31</v>
      </c>
      <c r="D114" s="169">
        <f>D115</f>
        <v>227.1</v>
      </c>
      <c r="E114" s="164">
        <v>0</v>
      </c>
      <c r="F114" s="164">
        <v>0</v>
      </c>
    </row>
    <row r="115" spans="1:6" ht="18">
      <c r="A115" s="9" t="s">
        <v>44</v>
      </c>
      <c r="B115" s="105" t="s">
        <v>342</v>
      </c>
      <c r="C115" s="89" t="s">
        <v>45</v>
      </c>
      <c r="D115" s="170">
        <f>D116</f>
        <v>227.1</v>
      </c>
      <c r="E115" s="163">
        <v>0</v>
      </c>
      <c r="F115" s="163">
        <v>0</v>
      </c>
    </row>
    <row r="116" spans="1:6" ht="18">
      <c r="A116" s="9" t="s">
        <v>46</v>
      </c>
      <c r="B116" s="105" t="s">
        <v>342</v>
      </c>
      <c r="C116" s="89" t="s">
        <v>47</v>
      </c>
      <c r="D116" s="170">
        <v>227.1</v>
      </c>
      <c r="E116" s="163">
        <v>0</v>
      </c>
      <c r="F116" s="163">
        <v>0</v>
      </c>
    </row>
    <row r="117" spans="1:6" ht="38.4" customHeight="1">
      <c r="A117" s="7" t="s">
        <v>403</v>
      </c>
      <c r="B117" s="105" t="s">
        <v>343</v>
      </c>
      <c r="C117" s="79" t="s">
        <v>31</v>
      </c>
      <c r="D117" s="169">
        <v>12</v>
      </c>
      <c r="E117" s="164">
        <v>0</v>
      </c>
      <c r="F117" s="164">
        <v>0</v>
      </c>
    </row>
    <row r="118" spans="1:6" ht="18">
      <c r="A118" s="9" t="s">
        <v>44</v>
      </c>
      <c r="B118" s="105" t="s">
        <v>343</v>
      </c>
      <c r="C118" s="89" t="s">
        <v>45</v>
      </c>
      <c r="D118" s="170">
        <v>12</v>
      </c>
      <c r="E118" s="163">
        <v>0</v>
      </c>
      <c r="F118" s="163">
        <v>0</v>
      </c>
    </row>
    <row r="119" spans="1:6" ht="18">
      <c r="A119" s="9" t="s">
        <v>46</v>
      </c>
      <c r="B119" s="105" t="s">
        <v>343</v>
      </c>
      <c r="C119" s="89" t="s">
        <v>47</v>
      </c>
      <c r="D119" s="170">
        <v>12</v>
      </c>
      <c r="E119" s="163">
        <v>0</v>
      </c>
      <c r="F119" s="163">
        <v>0</v>
      </c>
    </row>
    <row r="120" spans="1:6" ht="36.6" customHeight="1">
      <c r="A120" s="18" t="s">
        <v>133</v>
      </c>
      <c r="B120" s="98" t="s">
        <v>129</v>
      </c>
      <c r="C120" s="77" t="s">
        <v>31</v>
      </c>
      <c r="D120" s="158">
        <v>3308.5</v>
      </c>
      <c r="E120" s="158">
        <v>3440.9</v>
      </c>
      <c r="F120" s="158">
        <v>3578.5</v>
      </c>
    </row>
    <row r="121" spans="1:6" ht="46.8" customHeight="1">
      <c r="A121" s="7" t="s">
        <v>378</v>
      </c>
      <c r="B121" s="99" t="s">
        <v>131</v>
      </c>
      <c r="C121" s="79" t="s">
        <v>31</v>
      </c>
      <c r="D121" s="160">
        <v>3308.5</v>
      </c>
      <c r="E121" s="160">
        <v>3440.9</v>
      </c>
      <c r="F121" s="160">
        <v>3578.5</v>
      </c>
    </row>
    <row r="122" spans="1:6" ht="18">
      <c r="A122" s="9" t="s">
        <v>36</v>
      </c>
      <c r="B122" s="78" t="s">
        <v>131</v>
      </c>
      <c r="C122" s="89" t="s">
        <v>48</v>
      </c>
      <c r="D122" s="166">
        <v>3308.5</v>
      </c>
      <c r="E122" s="166">
        <v>3440.9</v>
      </c>
      <c r="F122" s="166">
        <v>3578.5</v>
      </c>
    </row>
    <row r="123" spans="1:6" ht="43.95" customHeight="1">
      <c r="A123" s="106" t="s">
        <v>379</v>
      </c>
      <c r="B123" s="107" t="s">
        <v>131</v>
      </c>
      <c r="C123" s="97">
        <v>810</v>
      </c>
      <c r="D123" s="166">
        <v>3308.5</v>
      </c>
      <c r="E123" s="166">
        <v>3440.9</v>
      </c>
      <c r="F123" s="166">
        <v>3578.5</v>
      </c>
    </row>
    <row r="124" spans="1:6" ht="55.8" customHeight="1">
      <c r="A124" s="20" t="s">
        <v>380</v>
      </c>
      <c r="B124" s="98" t="s">
        <v>130</v>
      </c>
      <c r="C124" s="77" t="s">
        <v>31</v>
      </c>
      <c r="D124" s="158">
        <f>D125+D128</f>
        <v>3482.2</v>
      </c>
      <c r="E124" s="158">
        <f t="shared" ref="E124:F124" si="0">E125+E128</f>
        <v>930</v>
      </c>
      <c r="F124" s="158">
        <f t="shared" si="0"/>
        <v>930</v>
      </c>
    </row>
    <row r="125" spans="1:6" ht="48" customHeight="1">
      <c r="A125" s="7" t="s">
        <v>381</v>
      </c>
      <c r="B125" s="99" t="s">
        <v>132</v>
      </c>
      <c r="C125" s="79" t="s">
        <v>31</v>
      </c>
      <c r="D125" s="169">
        <f>D126</f>
        <v>3382.2</v>
      </c>
      <c r="E125" s="160">
        <v>830</v>
      </c>
      <c r="F125" s="160">
        <v>830</v>
      </c>
    </row>
    <row r="126" spans="1:6" ht="18">
      <c r="A126" s="9" t="s">
        <v>44</v>
      </c>
      <c r="B126" s="78" t="s">
        <v>132</v>
      </c>
      <c r="C126" s="89" t="s">
        <v>45</v>
      </c>
      <c r="D126" s="170">
        <f>D127</f>
        <v>3382.2</v>
      </c>
      <c r="E126" s="166">
        <v>830</v>
      </c>
      <c r="F126" s="166">
        <v>830</v>
      </c>
    </row>
    <row r="127" spans="1:6" ht="18">
      <c r="A127" s="9" t="s">
        <v>46</v>
      </c>
      <c r="B127" s="78" t="s">
        <v>132</v>
      </c>
      <c r="C127" s="89" t="s">
        <v>47</v>
      </c>
      <c r="D127" s="170">
        <f>95.5+950+334.2+1762.5+240</f>
        <v>3382.2</v>
      </c>
      <c r="E127" s="166">
        <v>830</v>
      </c>
      <c r="F127" s="166">
        <v>830</v>
      </c>
    </row>
    <row r="128" spans="1:6" ht="37.799999999999997" customHeight="1">
      <c r="A128" s="68" t="s">
        <v>382</v>
      </c>
      <c r="B128" s="108" t="s">
        <v>314</v>
      </c>
      <c r="C128" s="100" t="s">
        <v>31</v>
      </c>
      <c r="D128" s="169">
        <v>100</v>
      </c>
      <c r="E128" s="171">
        <v>100</v>
      </c>
      <c r="F128" s="171">
        <v>100</v>
      </c>
    </row>
    <row r="129" spans="1:6" ht="18">
      <c r="A129" s="9" t="s">
        <v>44</v>
      </c>
      <c r="B129" s="78" t="s">
        <v>314</v>
      </c>
      <c r="C129" s="89" t="s">
        <v>45</v>
      </c>
      <c r="D129" s="170">
        <v>100</v>
      </c>
      <c r="E129" s="166">
        <v>100</v>
      </c>
      <c r="F129" s="166">
        <v>100</v>
      </c>
    </row>
    <row r="130" spans="1:6" ht="18">
      <c r="A130" s="9" t="s">
        <v>46</v>
      </c>
      <c r="B130" s="78" t="s">
        <v>314</v>
      </c>
      <c r="C130" s="89" t="s">
        <v>47</v>
      </c>
      <c r="D130" s="170">
        <v>100</v>
      </c>
      <c r="E130" s="166">
        <v>100</v>
      </c>
      <c r="F130" s="163">
        <v>100</v>
      </c>
    </row>
    <row r="131" spans="1:6" s="17" customFormat="1" ht="31.2" customHeight="1">
      <c r="A131" s="7" t="s">
        <v>383</v>
      </c>
      <c r="B131" s="86"/>
      <c r="C131" s="87"/>
      <c r="D131" s="172">
        <f>D112+D107+D102+D94+D47+D38+D28+D10+D5</f>
        <v>107896.21</v>
      </c>
      <c r="E131" s="172">
        <f>48438.2-0.4</f>
        <v>48437.799999999996</v>
      </c>
      <c r="F131" s="172">
        <f>49810.7-0.5</f>
        <v>49810.2</v>
      </c>
    </row>
    <row r="132" spans="1:6">
      <c r="D132" s="25">
        <v>107896.21</v>
      </c>
    </row>
    <row r="133" spans="1:6" ht="22.8" hidden="1">
      <c r="D133" s="173">
        <f>D124+D120+D113+D108+D103+D95+D81+D77+D48+D43+D39+D29+D21+D11+D6</f>
        <v>107896.21</v>
      </c>
      <c r="E133" s="173">
        <f>E124+E120+E113+E108+E103+E95+E81+E77+E48+E43+E39+E29+E21+E11+E6</f>
        <v>48437.8</v>
      </c>
      <c r="F133" s="173">
        <f>F124+F120+F113+F108+F103+F95+F81+F77+F48+F43+F39+F29+F21+F11+F6</f>
        <v>49810.2</v>
      </c>
    </row>
    <row r="134" spans="1:6">
      <c r="D134" s="25">
        <f>D131-D132</f>
        <v>0</v>
      </c>
    </row>
  </sheetData>
  <mergeCells count="2">
    <mergeCell ref="E1:F1"/>
    <mergeCell ref="A2:F2"/>
  </mergeCells>
  <pageMargins left="0" right="0" top="0" bottom="0" header="0.31496062992125984" footer="0.31496062992125984"/>
  <pageSetup paperSize="9" scale="53" fitToHeight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0"/>
  <sheetViews>
    <sheetView view="pageBreakPreview" topLeftCell="AP1" zoomScale="85" zoomScaleNormal="85" zoomScaleSheetLayoutView="85" workbookViewId="0">
      <selection activeCell="AT44" sqref="AT44"/>
    </sheetView>
  </sheetViews>
  <sheetFormatPr defaultRowHeight="14.4"/>
  <cols>
    <col min="1" max="3" width="0" style="320" hidden="1" customWidth="1"/>
    <col min="4" max="4" width="10.21875" style="320" customWidth="1"/>
    <col min="5" max="5" width="5.5546875" style="320" customWidth="1"/>
    <col min="6" max="6" width="8.88671875" style="320" hidden="1" customWidth="1"/>
    <col min="7" max="7" width="8.6640625" style="320" customWidth="1"/>
    <col min="8" max="8" width="0.21875" style="320" hidden="1" customWidth="1"/>
    <col min="9" max="9" width="4.77734375" style="320" hidden="1" customWidth="1"/>
    <col min="10" max="10" width="0.5546875" style="320" hidden="1" customWidth="1"/>
    <col min="11" max="11" width="8.88671875" style="320" hidden="1" customWidth="1"/>
    <col min="12" max="13" width="8.5546875" style="320" hidden="1" customWidth="1"/>
    <col min="14" max="14" width="4.5546875" style="320" hidden="1" customWidth="1"/>
    <col min="15" max="15" width="11.109375" style="320" hidden="1" customWidth="1"/>
    <col min="16" max="16" width="9.44140625" style="320" hidden="1" customWidth="1"/>
    <col min="17" max="17" width="9.109375" style="320" hidden="1" customWidth="1"/>
    <col min="18" max="18" width="8.77734375" style="320" hidden="1" customWidth="1"/>
    <col min="19" max="19" width="38.21875" style="320" hidden="1" customWidth="1"/>
    <col min="20" max="20" width="12.88671875" style="320" hidden="1" customWidth="1"/>
    <col min="21" max="21" width="11.5546875" style="320" hidden="1" customWidth="1"/>
    <col min="22" max="22" width="12.109375" style="320" hidden="1" customWidth="1"/>
    <col min="23" max="23" width="13" style="320" hidden="1" customWidth="1"/>
    <col min="24" max="25" width="10.21875" style="320" hidden="1" customWidth="1"/>
    <col min="26" max="26" width="14.109375" style="320" hidden="1" customWidth="1"/>
    <col min="27" max="27" width="14" style="320" hidden="1" customWidth="1"/>
    <col min="28" max="41" width="8.88671875" style="320" hidden="1" customWidth="1"/>
    <col min="42" max="16384" width="8.88671875" style="320"/>
  </cols>
  <sheetData>
    <row r="1" spans="1:25">
      <c r="D1" s="321" t="s">
        <v>319</v>
      </c>
      <c r="E1" s="321"/>
      <c r="F1" s="313"/>
      <c r="G1" s="314">
        <v>2268077.09</v>
      </c>
    </row>
    <row r="2" spans="1:25">
      <c r="D2" s="322" t="s">
        <v>320</v>
      </c>
      <c r="E2" s="322"/>
      <c r="F2" s="313"/>
      <c r="G2" s="313">
        <v>367000</v>
      </c>
    </row>
    <row r="3" spans="1:25">
      <c r="D3" s="322" t="s">
        <v>88</v>
      </c>
      <c r="E3" s="322"/>
      <c r="F3" s="313"/>
      <c r="G3" s="323">
        <f>G1+G2</f>
        <v>2635077.09</v>
      </c>
    </row>
    <row r="4" spans="1:25">
      <c r="D4" s="313"/>
      <c r="E4" s="313"/>
      <c r="F4" s="313"/>
      <c r="G4" s="314"/>
    </row>
    <row r="5" spans="1:25" ht="38.4" customHeight="1">
      <c r="D5" s="324" t="s">
        <v>77</v>
      </c>
      <c r="E5" s="325" t="s">
        <v>78</v>
      </c>
      <c r="F5" s="325"/>
      <c r="G5" s="325"/>
      <c r="H5" s="325"/>
      <c r="I5" s="325"/>
      <c r="J5" s="326"/>
      <c r="K5" s="326"/>
      <c r="L5" s="326"/>
      <c r="M5" s="327" t="s">
        <v>209</v>
      </c>
      <c r="N5" s="327" t="s">
        <v>210</v>
      </c>
      <c r="O5" s="328" t="s">
        <v>211</v>
      </c>
      <c r="P5" s="329" t="s">
        <v>212</v>
      </c>
      <c r="Q5" s="329" t="s">
        <v>213</v>
      </c>
      <c r="R5" s="324" t="s">
        <v>214</v>
      </c>
      <c r="S5" s="324" t="s">
        <v>214</v>
      </c>
      <c r="T5" s="330" t="s">
        <v>239</v>
      </c>
      <c r="U5" s="331" t="s">
        <v>216</v>
      </c>
      <c r="V5" s="331" t="s">
        <v>240</v>
      </c>
      <c r="W5" s="310" t="str">
        <f>U5</f>
        <v>Экономия</v>
      </c>
      <c r="X5" s="328" t="s">
        <v>211</v>
      </c>
      <c r="Y5" s="328" t="s">
        <v>211</v>
      </c>
    </row>
    <row r="6" spans="1:25" ht="25.2" customHeight="1">
      <c r="D6" s="332"/>
      <c r="E6" s="324" t="s">
        <v>218</v>
      </c>
      <c r="F6" s="324" t="s">
        <v>81</v>
      </c>
      <c r="G6" s="324" t="s">
        <v>28</v>
      </c>
      <c r="H6" s="324" t="s">
        <v>29</v>
      </c>
      <c r="I6" s="324" t="s">
        <v>82</v>
      </c>
      <c r="J6" s="324" t="s">
        <v>219</v>
      </c>
      <c r="K6" s="324" t="s">
        <v>220</v>
      </c>
      <c r="L6" s="324" t="s">
        <v>221</v>
      </c>
      <c r="M6" s="327"/>
      <c r="N6" s="327"/>
      <c r="O6" s="333" t="s">
        <v>289</v>
      </c>
      <c r="P6" s="329" t="s">
        <v>222</v>
      </c>
      <c r="Q6" s="329"/>
      <c r="R6" s="324" t="s">
        <v>223</v>
      </c>
      <c r="S6" s="324" t="s">
        <v>224</v>
      </c>
      <c r="T6" s="330"/>
      <c r="U6" s="331" t="s">
        <v>241</v>
      </c>
      <c r="V6" s="331" t="s">
        <v>349</v>
      </c>
      <c r="W6" s="334" t="str">
        <f>U6</f>
        <v>(План - Принятые обязательства)</v>
      </c>
      <c r="X6" s="333" t="s">
        <v>290</v>
      </c>
      <c r="Y6" s="333" t="s">
        <v>291</v>
      </c>
    </row>
    <row r="7" spans="1:25">
      <c r="D7" s="335">
        <v>1</v>
      </c>
      <c r="E7" s="335">
        <v>2</v>
      </c>
      <c r="F7" s="335">
        <v>3</v>
      </c>
      <c r="G7" s="335">
        <v>4</v>
      </c>
      <c r="H7" s="335">
        <v>5</v>
      </c>
      <c r="I7" s="335">
        <v>6</v>
      </c>
      <c r="J7" s="335">
        <v>7</v>
      </c>
      <c r="K7" s="335">
        <v>8</v>
      </c>
      <c r="L7" s="335">
        <v>9</v>
      </c>
      <c r="M7" s="335">
        <v>10</v>
      </c>
      <c r="N7" s="335">
        <v>11</v>
      </c>
      <c r="O7" s="336">
        <v>12</v>
      </c>
      <c r="P7" s="336">
        <v>13</v>
      </c>
      <c r="Q7" s="336">
        <v>14</v>
      </c>
      <c r="R7" s="335">
        <v>15</v>
      </c>
      <c r="S7" s="335">
        <v>16</v>
      </c>
      <c r="T7" s="337">
        <v>17</v>
      </c>
      <c r="U7" s="337">
        <v>18</v>
      </c>
      <c r="V7" s="337">
        <v>19</v>
      </c>
      <c r="W7" s="310">
        <f>U7</f>
        <v>18</v>
      </c>
      <c r="X7" s="336">
        <v>12</v>
      </c>
      <c r="Y7" s="336">
        <v>12</v>
      </c>
    </row>
    <row r="8" spans="1:25" ht="18.600000000000001" customHeight="1">
      <c r="A8" s="311"/>
      <c r="B8" s="311"/>
      <c r="C8" s="311"/>
      <c r="D8" s="338" t="s">
        <v>180</v>
      </c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15"/>
    </row>
    <row r="9" spans="1:25" ht="31.2" customHeight="1">
      <c r="A9" s="311"/>
      <c r="B9" s="311"/>
      <c r="C9" s="311"/>
      <c r="D9" s="339">
        <v>656490022</v>
      </c>
      <c r="E9" s="340" t="s">
        <v>181</v>
      </c>
      <c r="F9" s="340" t="s">
        <v>182</v>
      </c>
      <c r="G9" s="340" t="s">
        <v>294</v>
      </c>
      <c r="H9" s="340" t="s">
        <v>84</v>
      </c>
      <c r="I9" s="340" t="s">
        <v>183</v>
      </c>
      <c r="J9" s="340" t="s">
        <v>184</v>
      </c>
      <c r="K9" s="341" t="s">
        <v>185</v>
      </c>
      <c r="L9" s="340" t="s">
        <v>186</v>
      </c>
      <c r="M9" s="340" t="s">
        <v>187</v>
      </c>
      <c r="N9" s="340" t="s">
        <v>31</v>
      </c>
      <c r="O9" s="342">
        <v>363083.68800000002</v>
      </c>
      <c r="P9" s="342">
        <v>30796.93</v>
      </c>
      <c r="Q9" s="312">
        <v>332286.76</v>
      </c>
      <c r="R9" s="342">
        <v>30796.93</v>
      </c>
      <c r="S9" s="343" t="s">
        <v>288</v>
      </c>
      <c r="T9" s="342">
        <v>337704</v>
      </c>
      <c r="U9" s="310">
        <f>O9-T9</f>
        <v>25379.688000000024</v>
      </c>
      <c r="V9" s="342">
        <v>375599.71</v>
      </c>
      <c r="W9" s="310">
        <f>O9-V9</f>
        <v>-12516.021999999997</v>
      </c>
      <c r="X9" s="342">
        <v>363083.68800000002</v>
      </c>
      <c r="Y9" s="342">
        <v>363083.68800000002</v>
      </c>
    </row>
    <row r="10" spans="1:25" ht="21" customHeight="1">
      <c r="A10" s="311"/>
      <c r="B10" s="311"/>
      <c r="C10" s="311"/>
      <c r="D10" s="339">
        <v>656490022</v>
      </c>
      <c r="E10" s="340" t="s">
        <v>181</v>
      </c>
      <c r="F10" s="340" t="str">
        <f>$G$15</f>
        <v>43.0.03.00590</v>
      </c>
      <c r="G10" s="340" t="s">
        <v>294</v>
      </c>
      <c r="H10" s="340" t="s">
        <v>188</v>
      </c>
      <c r="I10" s="340" t="s">
        <v>189</v>
      </c>
      <c r="J10" s="340" t="s">
        <v>184</v>
      </c>
      <c r="K10" s="341" t="s">
        <v>185</v>
      </c>
      <c r="L10" s="340" t="s">
        <v>186</v>
      </c>
      <c r="M10" s="340" t="s">
        <v>187</v>
      </c>
      <c r="N10" s="340" t="s">
        <v>31</v>
      </c>
      <c r="O10" s="342">
        <v>109651.27</v>
      </c>
      <c r="P10" s="342">
        <v>4633.34</v>
      </c>
      <c r="Q10" s="312">
        <v>105017.93000000001</v>
      </c>
      <c r="R10" s="342">
        <v>4633.34</v>
      </c>
      <c r="S10" s="343" t="s">
        <v>190</v>
      </c>
      <c r="T10" s="342">
        <v>101986.61</v>
      </c>
      <c r="U10" s="310">
        <f>O10-T10</f>
        <v>7664.6600000000035</v>
      </c>
      <c r="V10" s="342">
        <v>113431.11</v>
      </c>
      <c r="W10" s="310">
        <f>O10-V10</f>
        <v>-3779.8399999999965</v>
      </c>
      <c r="X10" s="342">
        <v>109651.273776</v>
      </c>
      <c r="Y10" s="342">
        <v>109651.273776</v>
      </c>
    </row>
    <row r="11" spans="1:25" ht="21" customHeight="1">
      <c r="A11" s="311"/>
      <c r="B11" s="311"/>
      <c r="C11" s="311"/>
      <c r="D11" s="339"/>
      <c r="E11" s="340"/>
      <c r="F11" s="340"/>
      <c r="G11" s="342">
        <f>SUM(O9:O10)</f>
        <v>472734.95800000004</v>
      </c>
      <c r="H11" s="340"/>
      <c r="I11" s="340"/>
      <c r="J11" s="340"/>
      <c r="K11" s="341"/>
      <c r="L11" s="342">
        <f>SUM(X9:X10)</f>
        <v>472734.96177600004</v>
      </c>
      <c r="M11" s="342">
        <f>SUM(Y9:Y10)</f>
        <v>472734.96177600004</v>
      </c>
      <c r="N11" s="340"/>
      <c r="O11" s="342"/>
      <c r="P11" s="342"/>
      <c r="Q11" s="312"/>
      <c r="R11" s="342"/>
      <c r="S11" s="344">
        <f>SUM(W9:W10)</f>
        <v>-16295.861999999994</v>
      </c>
      <c r="T11" s="342"/>
      <c r="U11" s="310"/>
      <c r="V11" s="310"/>
      <c r="W11" s="310">
        <f>O11-V11</f>
        <v>0</v>
      </c>
      <c r="X11" s="342"/>
      <c r="Y11" s="342"/>
    </row>
    <row r="12" spans="1:25" ht="20.399999999999999" customHeight="1">
      <c r="A12" s="311"/>
      <c r="B12" s="311"/>
      <c r="C12" s="311"/>
      <c r="D12" s="339">
        <v>656490021</v>
      </c>
      <c r="E12" s="345" t="s">
        <v>191</v>
      </c>
      <c r="F12" s="340" t="s">
        <v>182</v>
      </c>
      <c r="G12" s="340" t="s">
        <v>296</v>
      </c>
      <c r="H12" s="340" t="s">
        <v>84</v>
      </c>
      <c r="I12" s="340" t="s">
        <v>183</v>
      </c>
      <c r="J12" s="340" t="s">
        <v>184</v>
      </c>
      <c r="K12" s="341" t="s">
        <v>185</v>
      </c>
      <c r="L12" s="340" t="s">
        <v>186</v>
      </c>
      <c r="M12" s="340" t="s">
        <v>187</v>
      </c>
      <c r="N12" s="340" t="s">
        <v>31</v>
      </c>
      <c r="O12" s="342">
        <v>4561988.8600000003</v>
      </c>
      <c r="P12" s="342">
        <v>505355.82</v>
      </c>
      <c r="Q12" s="312">
        <v>4056633.0400000005</v>
      </c>
      <c r="R12" s="312">
        <v>505355.82</v>
      </c>
      <c r="S12" s="343" t="s">
        <v>280</v>
      </c>
      <c r="T12" s="312">
        <v>4488049.26</v>
      </c>
      <c r="U12" s="310">
        <f>O12-T12</f>
        <v>73939.600000000559</v>
      </c>
      <c r="V12" s="310">
        <v>4624051.0599999996</v>
      </c>
      <c r="W12" s="310">
        <v>-62062.199999999255</v>
      </c>
      <c r="X12" s="342">
        <v>4561988.8574839821</v>
      </c>
      <c r="Y12" s="342">
        <v>4561988.8574839821</v>
      </c>
    </row>
    <row r="13" spans="1:25" ht="23.4" customHeight="1">
      <c r="A13" s="311"/>
      <c r="B13" s="311"/>
      <c r="C13" s="311"/>
      <c r="D13" s="339">
        <v>656490021</v>
      </c>
      <c r="E13" s="340" t="s">
        <v>191</v>
      </c>
      <c r="F13" s="340" t="s">
        <v>182</v>
      </c>
      <c r="G13" s="340" t="s">
        <v>296</v>
      </c>
      <c r="H13" s="340" t="s">
        <v>84</v>
      </c>
      <c r="I13" s="340" t="s">
        <v>192</v>
      </c>
      <c r="J13" s="340" t="s">
        <v>184</v>
      </c>
      <c r="K13" s="341" t="s">
        <v>185</v>
      </c>
      <c r="L13" s="340" t="s">
        <v>186</v>
      </c>
      <c r="M13" s="340" t="s">
        <v>187</v>
      </c>
      <c r="N13" s="340" t="s">
        <v>31</v>
      </c>
      <c r="O13" s="342">
        <v>30000</v>
      </c>
      <c r="P13" s="342">
        <v>0</v>
      </c>
      <c r="Q13" s="312">
        <v>30000</v>
      </c>
      <c r="R13" s="342">
        <v>0</v>
      </c>
      <c r="S13" s="343" t="s">
        <v>193</v>
      </c>
      <c r="T13" s="312">
        <v>30000</v>
      </c>
      <c r="U13" s="310">
        <f>O13-T13</f>
        <v>0</v>
      </c>
      <c r="V13" s="310">
        <v>30000</v>
      </c>
      <c r="W13" s="310">
        <v>0</v>
      </c>
      <c r="X13" s="342">
        <v>30000</v>
      </c>
      <c r="Y13" s="342">
        <v>30000</v>
      </c>
    </row>
    <row r="14" spans="1:25" ht="16.2" customHeight="1">
      <c r="A14" s="311"/>
      <c r="B14" s="311"/>
      <c r="C14" s="311"/>
      <c r="D14" s="339">
        <v>656490021</v>
      </c>
      <c r="E14" s="340" t="s">
        <v>191</v>
      </c>
      <c r="F14" s="340" t="s">
        <v>182</v>
      </c>
      <c r="G14" s="340" t="s">
        <v>296</v>
      </c>
      <c r="H14" s="340" t="s">
        <v>83</v>
      </c>
      <c r="I14" s="340" t="s">
        <v>194</v>
      </c>
      <c r="J14" s="340" t="s">
        <v>184</v>
      </c>
      <c r="K14" s="341" t="s">
        <v>185</v>
      </c>
      <c r="L14" s="340" t="s">
        <v>186</v>
      </c>
      <c r="M14" s="340" t="s">
        <v>187</v>
      </c>
      <c r="N14" s="340" t="s">
        <v>31</v>
      </c>
      <c r="O14" s="342">
        <v>150000</v>
      </c>
      <c r="P14" s="342">
        <v>0</v>
      </c>
      <c r="Q14" s="312">
        <v>150000</v>
      </c>
      <c r="R14" s="342">
        <v>0</v>
      </c>
      <c r="S14" s="346" t="s">
        <v>331</v>
      </c>
      <c r="T14" s="312">
        <v>250000</v>
      </c>
      <c r="U14" s="310">
        <f>O14-T14</f>
        <v>-100000</v>
      </c>
      <c r="V14" s="310">
        <v>200000</v>
      </c>
      <c r="W14" s="310">
        <v>-50000</v>
      </c>
      <c r="X14" s="342"/>
      <c r="Y14" s="342"/>
    </row>
    <row r="15" spans="1:25" ht="24.6" customHeight="1">
      <c r="A15" s="311"/>
      <c r="B15" s="311"/>
      <c r="C15" s="311"/>
      <c r="D15" s="339">
        <v>656490021</v>
      </c>
      <c r="E15" s="340" t="s">
        <v>191</v>
      </c>
      <c r="F15" s="340" t="s">
        <v>182</v>
      </c>
      <c r="G15" s="340" t="s">
        <v>296</v>
      </c>
      <c r="H15" s="340" t="s">
        <v>188</v>
      </c>
      <c r="I15" s="340" t="s">
        <v>189</v>
      </c>
      <c r="J15" s="340" t="s">
        <v>184</v>
      </c>
      <c r="K15" s="341" t="s">
        <v>185</v>
      </c>
      <c r="L15" s="340" t="s">
        <v>186</v>
      </c>
      <c r="M15" s="340" t="s">
        <v>187</v>
      </c>
      <c r="N15" s="340" t="s">
        <v>31</v>
      </c>
      <c r="O15" s="342">
        <f>1377721</f>
        <v>1377721</v>
      </c>
      <c r="P15" s="342">
        <v>106078.12</v>
      </c>
      <c r="Q15" s="312">
        <v>1271642.8799999999</v>
      </c>
      <c r="R15" s="342">
        <v>106078.12</v>
      </c>
      <c r="S15" s="343" t="s">
        <v>195</v>
      </c>
      <c r="T15" s="312">
        <v>1355391</v>
      </c>
      <c r="U15" s="310">
        <f>O15-T15</f>
        <v>22330</v>
      </c>
      <c r="V15" s="310">
        <v>1396463.79</v>
      </c>
      <c r="W15" s="310">
        <v>-18742.790000000037</v>
      </c>
      <c r="X15" s="342">
        <v>1377721</v>
      </c>
      <c r="Y15" s="342">
        <v>1377721</v>
      </c>
    </row>
    <row r="16" spans="1:25" ht="17.399999999999999" customHeight="1">
      <c r="A16" s="311"/>
      <c r="B16" s="311"/>
      <c r="C16" s="311"/>
      <c r="D16" s="339"/>
      <c r="E16" s="340"/>
      <c r="F16" s="340"/>
      <c r="G16" s="342">
        <f>SUM(O12:O15)</f>
        <v>6119709.8600000003</v>
      </c>
      <c r="H16" s="340"/>
      <c r="I16" s="340"/>
      <c r="J16" s="340"/>
      <c r="K16" s="341"/>
      <c r="L16" s="342">
        <f>SUM(X12:X15)</f>
        <v>5969709.8574839821</v>
      </c>
      <c r="M16" s="342">
        <f>SUM(Y12:Y15)</f>
        <v>5969709.8574839821</v>
      </c>
      <c r="N16" s="340"/>
      <c r="O16" s="342"/>
      <c r="P16" s="342"/>
      <c r="Q16" s="312"/>
      <c r="R16" s="342"/>
      <c r="S16" s="344">
        <f>SUM(W12:W15)</f>
        <v>-130804.98999999929</v>
      </c>
      <c r="T16" s="312"/>
      <c r="U16" s="310"/>
      <c r="V16" s="310"/>
      <c r="W16" s="310"/>
      <c r="X16" s="342"/>
      <c r="Y16" s="342"/>
    </row>
    <row r="17" spans="1:25" ht="66" customHeight="1">
      <c r="A17" s="311">
        <v>656490021</v>
      </c>
      <c r="B17" s="311">
        <v>656490021</v>
      </c>
      <c r="C17" s="311">
        <v>656490021</v>
      </c>
      <c r="D17" s="339">
        <v>656490021</v>
      </c>
      <c r="E17" s="340" t="s">
        <v>191</v>
      </c>
      <c r="F17" s="340" t="s">
        <v>182</v>
      </c>
      <c r="G17" s="340" t="s">
        <v>296</v>
      </c>
      <c r="H17" s="340" t="s">
        <v>73</v>
      </c>
      <c r="I17" s="340" t="s">
        <v>196</v>
      </c>
      <c r="J17" s="340" t="s">
        <v>184</v>
      </c>
      <c r="K17" s="341" t="s">
        <v>185</v>
      </c>
      <c r="L17" s="340" t="s">
        <v>186</v>
      </c>
      <c r="M17" s="340" t="s">
        <v>187</v>
      </c>
      <c r="N17" s="340" t="s">
        <v>31</v>
      </c>
      <c r="O17" s="342">
        <v>492211.57</v>
      </c>
      <c r="P17" s="342">
        <v>69167.37</v>
      </c>
      <c r="Q17" s="312">
        <v>423044.2</v>
      </c>
      <c r="R17" s="312">
        <v>69167.37</v>
      </c>
      <c r="S17" s="343" t="s">
        <v>332</v>
      </c>
      <c r="T17" s="312">
        <v>468772.92</v>
      </c>
      <c r="U17" s="310">
        <f t="shared" ref="U17:U22" si="0">O17-T17</f>
        <v>23438.650000000023</v>
      </c>
      <c r="V17" s="310">
        <v>453444.66</v>
      </c>
      <c r="W17" s="310">
        <v>38766.910000000033</v>
      </c>
      <c r="X17" s="342"/>
      <c r="Y17" s="342"/>
    </row>
    <row r="18" spans="1:25" ht="40.799999999999997" customHeight="1">
      <c r="A18" s="311">
        <v>656490021</v>
      </c>
      <c r="B18" s="311">
        <v>656490021</v>
      </c>
      <c r="C18" s="311">
        <v>656490021</v>
      </c>
      <c r="D18" s="339">
        <v>656490021</v>
      </c>
      <c r="E18" s="340" t="s">
        <v>191</v>
      </c>
      <c r="F18" s="340" t="s">
        <v>182</v>
      </c>
      <c r="G18" s="340" t="s">
        <v>296</v>
      </c>
      <c r="H18" s="340" t="s">
        <v>73</v>
      </c>
      <c r="I18" s="340" t="s">
        <v>197</v>
      </c>
      <c r="J18" s="340" t="s">
        <v>184</v>
      </c>
      <c r="K18" s="341" t="s">
        <v>185</v>
      </c>
      <c r="L18" s="340" t="s">
        <v>186</v>
      </c>
      <c r="M18" s="340" t="s">
        <v>187</v>
      </c>
      <c r="N18" s="340" t="s">
        <v>31</v>
      </c>
      <c r="O18" s="342">
        <v>30000</v>
      </c>
      <c r="P18" s="342">
        <v>10500</v>
      </c>
      <c r="Q18" s="312">
        <v>0</v>
      </c>
      <c r="R18" s="342">
        <v>10500</v>
      </c>
      <c r="S18" s="347" t="s">
        <v>333</v>
      </c>
      <c r="T18" s="312">
        <v>30000</v>
      </c>
      <c r="U18" s="310">
        <f t="shared" si="0"/>
        <v>0</v>
      </c>
      <c r="V18" s="310">
        <v>51000</v>
      </c>
      <c r="W18" s="310">
        <f>O18-V18</f>
        <v>-21000</v>
      </c>
      <c r="X18" s="342"/>
      <c r="Y18" s="342"/>
    </row>
    <row r="19" spans="1:25" ht="74.400000000000006" customHeight="1">
      <c r="A19" s="311">
        <v>656490021</v>
      </c>
      <c r="B19" s="311">
        <v>656490021</v>
      </c>
      <c r="C19" s="311">
        <v>656490021</v>
      </c>
      <c r="D19" s="339">
        <v>656490021</v>
      </c>
      <c r="E19" s="340" t="s">
        <v>191</v>
      </c>
      <c r="F19" s="340" t="s">
        <v>182</v>
      </c>
      <c r="G19" s="340" t="s">
        <v>296</v>
      </c>
      <c r="H19" s="348">
        <v>247</v>
      </c>
      <c r="I19" s="340" t="s">
        <v>198</v>
      </c>
      <c r="J19" s="340" t="s">
        <v>184</v>
      </c>
      <c r="K19" s="341" t="s">
        <v>185</v>
      </c>
      <c r="L19" s="340" t="s">
        <v>186</v>
      </c>
      <c r="M19" s="340" t="s">
        <v>187</v>
      </c>
      <c r="N19" s="340" t="s">
        <v>31</v>
      </c>
      <c r="O19" s="312">
        <v>385910.48</v>
      </c>
      <c r="P19" s="342">
        <v>0</v>
      </c>
      <c r="Q19" s="312">
        <v>385910.48</v>
      </c>
      <c r="R19" s="312">
        <v>0</v>
      </c>
      <c r="S19" s="343" t="s">
        <v>409</v>
      </c>
      <c r="T19" s="312">
        <v>371067.78</v>
      </c>
      <c r="U19" s="310">
        <f t="shared" si="0"/>
        <v>14842.699999999953</v>
      </c>
      <c r="V19" s="310">
        <v>385510.46</v>
      </c>
      <c r="W19" s="310">
        <v>400.01999999996042</v>
      </c>
      <c r="X19" s="312"/>
      <c r="Y19" s="312"/>
    </row>
    <row r="20" spans="1:25" ht="65.400000000000006" customHeight="1">
      <c r="A20" s="311">
        <v>656490021</v>
      </c>
      <c r="B20" s="311">
        <v>656490021</v>
      </c>
      <c r="C20" s="311">
        <v>656490021</v>
      </c>
      <c r="D20" s="339">
        <v>656490021</v>
      </c>
      <c r="E20" s="340" t="s">
        <v>191</v>
      </c>
      <c r="F20" s="340" t="s">
        <v>182</v>
      </c>
      <c r="G20" s="340" t="s">
        <v>296</v>
      </c>
      <c r="H20" s="348" t="s">
        <v>73</v>
      </c>
      <c r="I20" s="340" t="s">
        <v>198</v>
      </c>
      <c r="J20" s="340" t="s">
        <v>184</v>
      </c>
      <c r="K20" s="341" t="s">
        <v>185</v>
      </c>
      <c r="L20" s="340" t="s">
        <v>186</v>
      </c>
      <c r="M20" s="340" t="s">
        <v>187</v>
      </c>
      <c r="N20" s="340" t="s">
        <v>31</v>
      </c>
      <c r="O20" s="312">
        <v>80000</v>
      </c>
      <c r="P20" s="342">
        <v>0</v>
      </c>
      <c r="Q20" s="312">
        <v>80000</v>
      </c>
      <c r="R20" s="312">
        <v>0</v>
      </c>
      <c r="S20" s="343" t="s">
        <v>410</v>
      </c>
      <c r="T20" s="312">
        <v>371067.78</v>
      </c>
      <c r="U20" s="310">
        <f t="shared" si="0"/>
        <v>-291067.78000000003</v>
      </c>
      <c r="V20" s="310">
        <v>40285.360000000001</v>
      </c>
      <c r="W20" s="310">
        <v>39714.639999999999</v>
      </c>
      <c r="X20" s="312"/>
      <c r="Y20" s="312"/>
    </row>
    <row r="21" spans="1:25" ht="175.8" customHeight="1">
      <c r="A21" s="311">
        <v>656490021</v>
      </c>
      <c r="B21" s="311">
        <v>656490021</v>
      </c>
      <c r="C21" s="311">
        <v>656490021</v>
      </c>
      <c r="D21" s="339">
        <v>656490021</v>
      </c>
      <c r="E21" s="340" t="s">
        <v>191</v>
      </c>
      <c r="F21" s="340" t="s">
        <v>182</v>
      </c>
      <c r="G21" s="340" t="s">
        <v>296</v>
      </c>
      <c r="H21" s="340" t="s">
        <v>73</v>
      </c>
      <c r="I21" s="340" t="s">
        <v>199</v>
      </c>
      <c r="J21" s="340" t="s">
        <v>184</v>
      </c>
      <c r="K21" s="341" t="s">
        <v>185</v>
      </c>
      <c r="L21" s="340" t="s">
        <v>186</v>
      </c>
      <c r="M21" s="340" t="s">
        <v>187</v>
      </c>
      <c r="N21" s="340" t="s">
        <v>31</v>
      </c>
      <c r="O21" s="342">
        <v>473391.12</v>
      </c>
      <c r="P21" s="342">
        <v>42216.31</v>
      </c>
      <c r="Q21" s="312">
        <v>431174.81</v>
      </c>
      <c r="R21" s="342">
        <v>42216.31</v>
      </c>
      <c r="S21" s="343" t="s">
        <v>334</v>
      </c>
      <c r="T21" s="312">
        <v>687315</v>
      </c>
      <c r="U21" s="310">
        <f t="shared" si="0"/>
        <v>-213923.88</v>
      </c>
      <c r="V21" s="310">
        <v>470600</v>
      </c>
      <c r="W21" s="310">
        <v>2791.1199999999953</v>
      </c>
      <c r="X21" s="342">
        <v>645737.81999999995</v>
      </c>
      <c r="Y21" s="342">
        <v>645737.81999999995</v>
      </c>
    </row>
    <row r="22" spans="1:25" ht="281.39999999999998" customHeight="1">
      <c r="A22" s="311"/>
      <c r="B22" s="311"/>
      <c r="C22" s="311"/>
      <c r="D22" s="339">
        <v>656490021</v>
      </c>
      <c r="E22" s="340" t="s">
        <v>191</v>
      </c>
      <c r="F22" s="340" t="s">
        <v>182</v>
      </c>
      <c r="G22" s="340" t="s">
        <v>136</v>
      </c>
      <c r="H22" s="340" t="s">
        <v>73</v>
      </c>
      <c r="I22" s="340" t="s">
        <v>200</v>
      </c>
      <c r="J22" s="340" t="s">
        <v>184</v>
      </c>
      <c r="K22" s="341" t="s">
        <v>185</v>
      </c>
      <c r="L22" s="340" t="s">
        <v>186</v>
      </c>
      <c r="M22" s="340" t="s">
        <v>187</v>
      </c>
      <c r="N22" s="340" t="s">
        <v>31</v>
      </c>
      <c r="O22" s="342">
        <f>650000-146466.7-50000</f>
        <v>453533.3</v>
      </c>
      <c r="P22" s="342">
        <v>127792</v>
      </c>
      <c r="Q22" s="312">
        <v>325741.3</v>
      </c>
      <c r="R22" s="342">
        <f>P22</f>
        <v>127792</v>
      </c>
      <c r="S22" s="343" t="s">
        <v>411</v>
      </c>
      <c r="T22" s="312">
        <v>620914.38</v>
      </c>
      <c r="U22" s="310">
        <f t="shared" si="0"/>
        <v>-167381.08000000002</v>
      </c>
      <c r="V22" s="310">
        <v>461270.16</v>
      </c>
      <c r="W22" s="310">
        <v>-7736.859999999986</v>
      </c>
      <c r="X22" s="342"/>
      <c r="Y22" s="342"/>
    </row>
    <row r="23" spans="1:25" ht="82.2" customHeight="1">
      <c r="A23" s="311"/>
      <c r="B23" s="311"/>
      <c r="C23" s="311"/>
      <c r="D23" s="339">
        <v>656490021</v>
      </c>
      <c r="E23" s="340" t="s">
        <v>191</v>
      </c>
      <c r="F23" s="340" t="s">
        <v>182</v>
      </c>
      <c r="G23" s="340" t="s">
        <v>136</v>
      </c>
      <c r="H23" s="340" t="s">
        <v>73</v>
      </c>
      <c r="I23" s="340" t="s">
        <v>335</v>
      </c>
      <c r="J23" s="340"/>
      <c r="K23" s="341"/>
      <c r="L23" s="340" t="s">
        <v>186</v>
      </c>
      <c r="M23" s="340" t="s">
        <v>187</v>
      </c>
      <c r="N23" s="340" t="s">
        <v>31</v>
      </c>
      <c r="O23" s="342"/>
      <c r="P23" s="342"/>
      <c r="Q23" s="312"/>
      <c r="R23" s="342"/>
      <c r="S23" s="343" t="s">
        <v>412</v>
      </c>
      <c r="T23" s="312"/>
      <c r="U23" s="310"/>
      <c r="V23" s="310">
        <v>239500</v>
      </c>
      <c r="W23" s="310">
        <v>-239500</v>
      </c>
      <c r="X23" s="342"/>
      <c r="Y23" s="342"/>
    </row>
    <row r="24" spans="1:25" ht="55.2" customHeight="1">
      <c r="A24" s="311"/>
      <c r="B24" s="311"/>
      <c r="C24" s="311"/>
      <c r="D24" s="339">
        <v>656490021</v>
      </c>
      <c r="E24" s="340" t="s">
        <v>191</v>
      </c>
      <c r="F24" s="340" t="s">
        <v>182</v>
      </c>
      <c r="G24" s="340" t="s">
        <v>296</v>
      </c>
      <c r="H24" s="340" t="s">
        <v>73</v>
      </c>
      <c r="I24" s="340" t="s">
        <v>201</v>
      </c>
      <c r="J24" s="340" t="s">
        <v>184</v>
      </c>
      <c r="K24" s="341" t="s">
        <v>185</v>
      </c>
      <c r="L24" s="340" t="s">
        <v>186</v>
      </c>
      <c r="M24" s="340" t="s">
        <v>187</v>
      </c>
      <c r="N24" s="340" t="s">
        <v>31</v>
      </c>
      <c r="O24" s="342">
        <v>250000</v>
      </c>
      <c r="P24" s="342">
        <v>26945.1</v>
      </c>
      <c r="Q24" s="312">
        <v>223054.9</v>
      </c>
      <c r="R24" s="342">
        <v>26945.1</v>
      </c>
      <c r="S24" s="343" t="s">
        <v>413</v>
      </c>
      <c r="T24" s="312">
        <v>229000</v>
      </c>
      <c r="U24" s="310">
        <f>O24-T24</f>
        <v>21000</v>
      </c>
      <c r="V24" s="310">
        <v>198000</v>
      </c>
      <c r="W24" s="310">
        <v>52000</v>
      </c>
      <c r="X24" s="342"/>
      <c r="Y24" s="342"/>
    </row>
    <row r="25" spans="1:25" ht="39" customHeight="1">
      <c r="A25" s="311"/>
      <c r="B25" s="311"/>
      <c r="C25" s="311"/>
      <c r="D25" s="339">
        <v>656490021</v>
      </c>
      <c r="E25" s="340" t="s">
        <v>191</v>
      </c>
      <c r="F25" s="340" t="s">
        <v>182</v>
      </c>
      <c r="G25" s="340" t="s">
        <v>296</v>
      </c>
      <c r="H25" s="340" t="s">
        <v>73</v>
      </c>
      <c r="I25" s="340" t="s">
        <v>85</v>
      </c>
      <c r="J25" s="340" t="s">
        <v>184</v>
      </c>
      <c r="K25" s="341" t="s">
        <v>185</v>
      </c>
      <c r="L25" s="340" t="s">
        <v>186</v>
      </c>
      <c r="M25" s="340" t="s">
        <v>187</v>
      </c>
      <c r="N25" s="340" t="s">
        <v>31</v>
      </c>
      <c r="O25" s="342">
        <v>20000</v>
      </c>
      <c r="P25" s="342">
        <v>0</v>
      </c>
      <c r="Q25" s="312">
        <v>20000</v>
      </c>
      <c r="R25" s="342">
        <v>0</v>
      </c>
      <c r="S25" s="343" t="s">
        <v>414</v>
      </c>
      <c r="T25" s="312">
        <v>25982.36</v>
      </c>
      <c r="U25" s="310">
        <f>O25-T25</f>
        <v>-5982.3600000000006</v>
      </c>
      <c r="V25" s="310">
        <v>20000</v>
      </c>
      <c r="W25" s="310">
        <v>0</v>
      </c>
      <c r="X25" s="342"/>
      <c r="Y25" s="342"/>
    </row>
    <row r="26" spans="1:25" ht="90" customHeight="1">
      <c r="A26" s="311"/>
      <c r="B26" s="311"/>
      <c r="C26" s="311"/>
      <c r="D26" s="339">
        <v>656490021</v>
      </c>
      <c r="E26" s="340" t="s">
        <v>191</v>
      </c>
      <c r="F26" s="340" t="s">
        <v>182</v>
      </c>
      <c r="G26" s="340" t="s">
        <v>296</v>
      </c>
      <c r="H26" s="340" t="s">
        <v>73</v>
      </c>
      <c r="I26" s="340" t="s">
        <v>155</v>
      </c>
      <c r="J26" s="340" t="s">
        <v>184</v>
      </c>
      <c r="K26" s="341" t="s">
        <v>185</v>
      </c>
      <c r="L26" s="340" t="s">
        <v>186</v>
      </c>
      <c r="M26" s="340" t="s">
        <v>187</v>
      </c>
      <c r="N26" s="340" t="s">
        <v>31</v>
      </c>
      <c r="O26" s="342">
        <f>135000/2</f>
        <v>67500</v>
      </c>
      <c r="P26" s="342">
        <v>8107</v>
      </c>
      <c r="Q26" s="312">
        <v>59393</v>
      </c>
      <c r="R26" s="342">
        <v>8107</v>
      </c>
      <c r="S26" s="343" t="s">
        <v>337</v>
      </c>
      <c r="T26" s="312">
        <f>R26+50000</f>
        <v>58107</v>
      </c>
      <c r="U26" s="310">
        <f>O26-T26</f>
        <v>9393</v>
      </c>
      <c r="V26" s="310">
        <v>138107</v>
      </c>
      <c r="W26" s="310">
        <v>-70607</v>
      </c>
      <c r="X26" s="342"/>
      <c r="Y26" s="342"/>
    </row>
    <row r="27" spans="1:25" ht="22.95" customHeight="1">
      <c r="A27" s="311"/>
      <c r="B27" s="311"/>
      <c r="C27" s="311"/>
      <c r="D27" s="339">
        <v>656490021</v>
      </c>
      <c r="E27" s="340" t="s">
        <v>191</v>
      </c>
      <c r="F27" s="340" t="s">
        <v>182</v>
      </c>
      <c r="G27" s="340" t="s">
        <v>296</v>
      </c>
      <c r="H27" s="340" t="s">
        <v>73</v>
      </c>
      <c r="I27" s="340" t="s">
        <v>204</v>
      </c>
      <c r="J27" s="340" t="s">
        <v>184</v>
      </c>
      <c r="K27" s="341" t="s">
        <v>185</v>
      </c>
      <c r="L27" s="340" t="s">
        <v>186</v>
      </c>
      <c r="M27" s="340" t="s">
        <v>187</v>
      </c>
      <c r="N27" s="340" t="s">
        <v>31</v>
      </c>
      <c r="O27" s="342">
        <v>2000</v>
      </c>
      <c r="P27" s="342">
        <v>0</v>
      </c>
      <c r="Q27" s="312">
        <v>2000</v>
      </c>
      <c r="R27" s="342">
        <v>0</v>
      </c>
      <c r="S27" s="343" t="s">
        <v>336</v>
      </c>
      <c r="T27" s="312">
        <v>2000</v>
      </c>
      <c r="U27" s="310">
        <f>O27-T27</f>
        <v>0</v>
      </c>
      <c r="V27" s="312">
        <v>11000</v>
      </c>
      <c r="W27" s="310">
        <f>U27</f>
        <v>0</v>
      </c>
      <c r="X27" s="342"/>
      <c r="Y27" s="342"/>
    </row>
    <row r="28" spans="1:25" ht="22.95" customHeight="1">
      <c r="A28" s="311"/>
      <c r="B28" s="311"/>
      <c r="C28" s="311"/>
      <c r="D28" s="339"/>
      <c r="E28" s="340"/>
      <c r="F28" s="340"/>
      <c r="G28" s="342">
        <f>SUM(O17:O27)</f>
        <v>2254546.4699999997</v>
      </c>
      <c r="H28" s="340"/>
      <c r="I28" s="340"/>
      <c r="J28" s="340"/>
      <c r="K28" s="341"/>
      <c r="L28" s="342">
        <f>SUM(X17:X27)</f>
        <v>645737.81999999995</v>
      </c>
      <c r="M28" s="342">
        <f>SUM(Y17:Y27)</f>
        <v>645737.81999999995</v>
      </c>
      <c r="N28" s="340"/>
      <c r="O28" s="342"/>
      <c r="P28" s="342"/>
      <c r="Q28" s="312"/>
      <c r="R28" s="342"/>
      <c r="S28" s="343"/>
      <c r="T28" s="312"/>
      <c r="U28" s="310"/>
      <c r="V28" s="310"/>
      <c r="W28" s="310"/>
      <c r="X28" s="342"/>
      <c r="Y28" s="342"/>
    </row>
    <row r="29" spans="1:25" ht="19.95" customHeight="1">
      <c r="A29" s="311"/>
      <c r="B29" s="311"/>
      <c r="C29" s="311"/>
      <c r="D29" s="339">
        <v>656490021</v>
      </c>
      <c r="E29" s="340" t="s">
        <v>191</v>
      </c>
      <c r="F29" s="340" t="s">
        <v>182</v>
      </c>
      <c r="G29" s="340" t="s">
        <v>296</v>
      </c>
      <c r="H29" s="340" t="s">
        <v>300</v>
      </c>
      <c r="I29" s="340" t="s">
        <v>299</v>
      </c>
      <c r="J29" s="340" t="s">
        <v>202</v>
      </c>
      <c r="K29" s="341" t="s">
        <v>185</v>
      </c>
      <c r="L29" s="340" t="s">
        <v>186</v>
      </c>
      <c r="M29" s="340" t="s">
        <v>203</v>
      </c>
      <c r="N29" s="340" t="s">
        <v>31</v>
      </c>
      <c r="O29" s="342">
        <v>11000</v>
      </c>
      <c r="P29" s="342">
        <v>7000</v>
      </c>
      <c r="Q29" s="312">
        <f>O29-P29</f>
        <v>4000</v>
      </c>
      <c r="R29" s="342">
        <f>P29</f>
        <v>7000</v>
      </c>
      <c r="S29" s="343" t="s">
        <v>281</v>
      </c>
      <c r="T29" s="312">
        <v>11000</v>
      </c>
      <c r="U29" s="310">
        <f>O29-T29</f>
        <v>0</v>
      </c>
      <c r="V29" s="310"/>
      <c r="W29" s="310">
        <f>U29</f>
        <v>0</v>
      </c>
      <c r="X29" s="342"/>
      <c r="Y29" s="342"/>
    </row>
    <row r="30" spans="1:25" ht="19.95" customHeight="1">
      <c r="A30" s="311"/>
      <c r="B30" s="311"/>
      <c r="C30" s="311"/>
      <c r="D30" s="339"/>
      <c r="E30" s="340"/>
      <c r="F30" s="340"/>
      <c r="G30" s="340"/>
      <c r="H30" s="340"/>
      <c r="I30" s="340"/>
      <c r="J30" s="340"/>
      <c r="K30" s="341"/>
      <c r="L30" s="340"/>
      <c r="M30" s="340"/>
      <c r="N30" s="340"/>
      <c r="O30" s="342"/>
      <c r="P30" s="342"/>
      <c r="Q30" s="312"/>
      <c r="R30" s="342"/>
      <c r="S30" s="343"/>
      <c r="T30" s="312"/>
      <c r="U30" s="310"/>
      <c r="V30" s="310"/>
      <c r="W30" s="310"/>
      <c r="X30" s="342"/>
      <c r="Y30" s="342"/>
    </row>
    <row r="31" spans="1:25" ht="18.600000000000001" customHeight="1">
      <c r="A31" s="311"/>
      <c r="B31" s="311"/>
      <c r="C31" s="311"/>
      <c r="D31" s="339">
        <v>656490023</v>
      </c>
      <c r="E31" s="340" t="s">
        <v>205</v>
      </c>
      <c r="F31" s="340" t="s">
        <v>182</v>
      </c>
      <c r="G31" s="340" t="s">
        <v>296</v>
      </c>
      <c r="H31" s="340" t="s">
        <v>84</v>
      </c>
      <c r="I31" s="340" t="s">
        <v>183</v>
      </c>
      <c r="J31" s="340" t="s">
        <v>184</v>
      </c>
      <c r="K31" s="341" t="s">
        <v>185</v>
      </c>
      <c r="L31" s="340" t="s">
        <v>186</v>
      </c>
      <c r="M31" s="340" t="s">
        <v>187</v>
      </c>
      <c r="N31" s="340" t="s">
        <v>31</v>
      </c>
      <c r="O31" s="342">
        <v>450000</v>
      </c>
      <c r="P31" s="349">
        <v>88079.24</v>
      </c>
      <c r="Q31" s="312">
        <v>361920.76</v>
      </c>
      <c r="R31" s="342">
        <v>88079.24</v>
      </c>
      <c r="S31" s="350" t="s">
        <v>338</v>
      </c>
      <c r="T31" s="342">
        <f>O31</f>
        <v>450000</v>
      </c>
      <c r="U31" s="310">
        <f>O31-T31</f>
        <v>0</v>
      </c>
      <c r="V31" s="310">
        <v>612010.98</v>
      </c>
      <c r="W31" s="310">
        <f>U31</f>
        <v>0</v>
      </c>
      <c r="X31" s="342"/>
      <c r="Y31" s="342"/>
    </row>
    <row r="32" spans="1:25" ht="18.600000000000001" customHeight="1">
      <c r="A32" s="311"/>
      <c r="B32" s="311"/>
      <c r="C32" s="311"/>
      <c r="D32" s="339">
        <v>656490023</v>
      </c>
      <c r="E32" s="340" t="s">
        <v>205</v>
      </c>
      <c r="F32" s="340" t="s">
        <v>182</v>
      </c>
      <c r="G32" s="340" t="s">
        <v>296</v>
      </c>
      <c r="H32" s="340" t="s">
        <v>188</v>
      </c>
      <c r="I32" s="340" t="s">
        <v>189</v>
      </c>
      <c r="J32" s="340" t="s">
        <v>184</v>
      </c>
      <c r="K32" s="341" t="s">
        <v>185</v>
      </c>
      <c r="L32" s="340" t="s">
        <v>186</v>
      </c>
      <c r="M32" s="351">
        <v>0</v>
      </c>
      <c r="N32" s="340" t="s">
        <v>31</v>
      </c>
      <c r="O32" s="351">
        <v>135900</v>
      </c>
      <c r="P32" s="349">
        <v>17303.5</v>
      </c>
      <c r="Q32" s="312">
        <v>118596.5</v>
      </c>
      <c r="R32" s="351">
        <v>17303.5</v>
      </c>
      <c r="S32" s="350"/>
      <c r="T32" s="342">
        <f>O32</f>
        <v>135900</v>
      </c>
      <c r="U32" s="310">
        <f>O32-T32</f>
        <v>0</v>
      </c>
      <c r="V32" s="310">
        <v>169111.86</v>
      </c>
      <c r="W32" s="310">
        <f>U32</f>
        <v>0</v>
      </c>
      <c r="X32" s="351"/>
      <c r="Y32" s="351"/>
    </row>
    <row r="33" spans="1:27" ht="18.600000000000001" customHeight="1">
      <c r="A33" s="311"/>
      <c r="B33" s="311"/>
      <c r="C33" s="311"/>
      <c r="D33" s="339"/>
      <c r="E33" s="340"/>
      <c r="F33" s="340"/>
      <c r="G33" s="351">
        <f>SUM(O31:O32)</f>
        <v>585900</v>
      </c>
      <c r="H33" s="340"/>
      <c r="I33" s="340"/>
      <c r="J33" s="340"/>
      <c r="K33" s="341"/>
      <c r="L33" s="351">
        <f>SUM(X31:X32)</f>
        <v>0</v>
      </c>
      <c r="M33" s="351">
        <f>SUM(Y31:Y32)</f>
        <v>0</v>
      </c>
      <c r="N33" s="340"/>
      <c r="O33" s="351"/>
      <c r="P33" s="349">
        <v>0</v>
      </c>
      <c r="Q33" s="312"/>
      <c r="R33" s="351">
        <v>0</v>
      </c>
      <c r="S33" s="350"/>
      <c r="T33" s="342"/>
      <c r="U33" s="310"/>
      <c r="V33" s="310">
        <v>90823.02</v>
      </c>
      <c r="W33" s="310"/>
      <c r="X33" s="351"/>
      <c r="Y33" s="351"/>
    </row>
    <row r="34" spans="1:27" ht="18.600000000000001" customHeight="1">
      <c r="A34" s="311"/>
      <c r="B34" s="311"/>
      <c r="C34" s="311"/>
      <c r="D34" s="339">
        <v>656490023</v>
      </c>
      <c r="E34" s="340" t="s">
        <v>205</v>
      </c>
      <c r="F34" s="340" t="s">
        <v>182</v>
      </c>
      <c r="G34" s="340" t="s">
        <v>297</v>
      </c>
      <c r="H34" s="340" t="s">
        <v>84</v>
      </c>
      <c r="I34" s="340" t="s">
        <v>183</v>
      </c>
      <c r="J34" s="340" t="s">
        <v>184</v>
      </c>
      <c r="K34" s="341" t="s">
        <v>185</v>
      </c>
      <c r="L34" s="340" t="s">
        <v>206</v>
      </c>
      <c r="M34" s="340" t="s">
        <v>187</v>
      </c>
      <c r="N34" s="340" t="s">
        <v>207</v>
      </c>
      <c r="O34" s="342">
        <v>90823.02</v>
      </c>
      <c r="P34" s="349">
        <v>0</v>
      </c>
      <c r="Q34" s="312">
        <v>90823.02</v>
      </c>
      <c r="R34" s="342">
        <v>0</v>
      </c>
      <c r="S34" s="350"/>
      <c r="T34" s="342">
        <f>O34</f>
        <v>90823.02</v>
      </c>
      <c r="U34" s="310">
        <f>O34-T34</f>
        <v>0</v>
      </c>
      <c r="V34" s="310"/>
      <c r="W34" s="310">
        <f>U34</f>
        <v>0</v>
      </c>
      <c r="X34" s="342">
        <v>0</v>
      </c>
      <c r="Y34" s="342">
        <v>0</v>
      </c>
    </row>
    <row r="35" spans="1:27" ht="18.600000000000001" customHeight="1">
      <c r="A35" s="311"/>
      <c r="B35" s="311"/>
      <c r="C35" s="311"/>
      <c r="D35" s="339">
        <v>656490023</v>
      </c>
      <c r="E35" s="340" t="s">
        <v>205</v>
      </c>
      <c r="F35" s="340" t="s">
        <v>182</v>
      </c>
      <c r="G35" s="340" t="s">
        <v>297</v>
      </c>
      <c r="H35" s="340" t="s">
        <v>188</v>
      </c>
      <c r="I35" s="340" t="s">
        <v>189</v>
      </c>
      <c r="J35" s="340" t="s">
        <v>184</v>
      </c>
      <c r="K35" s="341" t="s">
        <v>185</v>
      </c>
      <c r="L35" s="340" t="s">
        <v>206</v>
      </c>
      <c r="M35" s="340" t="s">
        <v>187</v>
      </c>
      <c r="N35" s="340" t="s">
        <v>207</v>
      </c>
      <c r="O35" s="342">
        <v>0</v>
      </c>
      <c r="P35" s="349">
        <v>0</v>
      </c>
      <c r="Q35" s="312">
        <v>0</v>
      </c>
      <c r="R35" s="342">
        <v>0</v>
      </c>
      <c r="S35" s="350"/>
      <c r="T35" s="342">
        <f>O35</f>
        <v>0</v>
      </c>
      <c r="U35" s="310">
        <f>O35-T35</f>
        <v>0</v>
      </c>
      <c r="V35" s="310"/>
      <c r="W35" s="310">
        <f>U35</f>
        <v>0</v>
      </c>
      <c r="X35" s="342">
        <v>0</v>
      </c>
      <c r="Y35" s="342">
        <v>0</v>
      </c>
    </row>
    <row r="36" spans="1:27" ht="18.600000000000001" customHeight="1">
      <c r="A36" s="311"/>
      <c r="B36" s="311"/>
      <c r="C36" s="311"/>
      <c r="D36" s="339"/>
      <c r="E36" s="340"/>
      <c r="F36" s="340"/>
      <c r="G36" s="340"/>
      <c r="H36" s="340"/>
      <c r="I36" s="340"/>
      <c r="J36" s="340"/>
      <c r="K36" s="341"/>
      <c r="L36" s="340"/>
      <c r="M36" s="340"/>
      <c r="N36" s="340"/>
      <c r="O36" s="342"/>
      <c r="P36" s="349"/>
      <c r="Q36" s="312"/>
      <c r="R36" s="342"/>
      <c r="S36" s="352">
        <f>SUM(W12:W15)</f>
        <v>-130804.98999999929</v>
      </c>
      <c r="T36" s="342"/>
      <c r="U36" s="310"/>
      <c r="V36" s="310"/>
      <c r="W36" s="310"/>
      <c r="X36" s="342"/>
      <c r="Y36" s="342"/>
    </row>
    <row r="37" spans="1:27" ht="18.600000000000001" customHeight="1">
      <c r="A37" s="311"/>
      <c r="B37" s="311"/>
      <c r="C37" s="311"/>
      <c r="D37" s="353" t="s">
        <v>304</v>
      </c>
      <c r="E37" s="340"/>
      <c r="F37" s="340"/>
      <c r="G37" s="351">
        <f>SUM(O9:O35)</f>
        <v>9534714.3080000002</v>
      </c>
      <c r="H37" s="340"/>
      <c r="I37" s="340"/>
      <c r="J37" s="340"/>
      <c r="K37" s="341"/>
      <c r="L37" s="351">
        <f>SUM(X9:X35)</f>
        <v>7088182.6392599829</v>
      </c>
      <c r="M37" s="351">
        <f>SUM(Y9:Y36)</f>
        <v>7088182.6392599829</v>
      </c>
      <c r="N37" s="340"/>
      <c r="O37" s="342"/>
      <c r="P37" s="349"/>
      <c r="Q37" s="312"/>
      <c r="R37" s="342"/>
      <c r="S37" s="352">
        <f>SUM(W17:W35)</f>
        <v>-205171.16999999998</v>
      </c>
      <c r="T37" s="342"/>
      <c r="U37" s="310"/>
      <c r="V37" s="310"/>
      <c r="W37" s="310"/>
      <c r="X37" s="342"/>
      <c r="Y37" s="342"/>
    </row>
    <row r="38" spans="1:27">
      <c r="A38" s="354" t="s">
        <v>86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5"/>
      <c r="P38" s="356"/>
      <c r="Q38" s="312">
        <f>O38-P38</f>
        <v>0</v>
      </c>
      <c r="R38" s="342">
        <f>P38</f>
        <v>0</v>
      </c>
      <c r="S38" s="357" t="e">
        <f>W9:W10</f>
        <v>#VALUE!</v>
      </c>
      <c r="T38" s="310"/>
      <c r="U38" s="310">
        <f>O38-T38</f>
        <v>0</v>
      </c>
      <c r="V38" s="310"/>
      <c r="W38" s="310">
        <f>U38</f>
        <v>0</v>
      </c>
      <c r="X38" s="355"/>
      <c r="Y38" s="355"/>
    </row>
    <row r="39" spans="1:27">
      <c r="A39" s="358"/>
      <c r="B39" s="358"/>
      <c r="C39" s="358"/>
      <c r="D39" s="359" t="s">
        <v>87</v>
      </c>
      <c r="E39" s="356"/>
      <c r="F39" s="356"/>
      <c r="G39" s="356"/>
      <c r="H39" s="356"/>
      <c r="I39" s="356"/>
      <c r="J39" s="356" t="s">
        <v>80</v>
      </c>
      <c r="K39" s="356" t="s">
        <v>80</v>
      </c>
      <c r="L39" s="356" t="s">
        <v>80</v>
      </c>
      <c r="M39" s="356"/>
      <c r="N39" s="356"/>
      <c r="O39" s="356">
        <f>SUM(O9:O35)</f>
        <v>9534714.3080000002</v>
      </c>
      <c r="P39" s="356">
        <f>SUM(P9:P38)</f>
        <v>1043974.7299999999</v>
      </c>
      <c r="Q39" s="356">
        <f>SUM(Q9:Q38)</f>
        <v>8471239.5800000001</v>
      </c>
      <c r="R39" s="356">
        <f>SUM(R9:R38)</f>
        <v>1043974.7299999999</v>
      </c>
      <c r="S39" s="356"/>
      <c r="T39" s="356">
        <f>SUM(T9:T38)</f>
        <v>10115081.110000001</v>
      </c>
      <c r="U39" s="310">
        <f>SUM(U9:U38)</f>
        <v>-580366.80199999956</v>
      </c>
      <c r="V39" s="356">
        <f>SUM(V9:V38)</f>
        <v>10080209.17</v>
      </c>
      <c r="W39" s="310">
        <f>W9+W10+W12+W14+W15+W17+W18+W19+W20+W21+W22+W23+W24+W26</f>
        <v>-352272.0219999993</v>
      </c>
      <c r="X39" s="356">
        <v>7088182.6392599829</v>
      </c>
      <c r="Y39" s="356">
        <v>7088182.6392599829</v>
      </c>
      <c r="Z39" s="356">
        <v>7088182.6392599829</v>
      </c>
      <c r="AA39" s="356">
        <v>7088182.6392599829</v>
      </c>
    </row>
    <row r="40" spans="1:27">
      <c r="A40" s="318"/>
      <c r="B40" s="318"/>
      <c r="C40" s="318"/>
      <c r="D40" s="318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0"/>
      <c r="X40" s="316"/>
      <c r="Y40" s="316"/>
    </row>
    <row r="41" spans="1:27" ht="20.399999999999999">
      <c r="A41" s="360"/>
      <c r="B41" s="360"/>
      <c r="C41" s="360"/>
      <c r="D41" s="360" t="s">
        <v>208</v>
      </c>
      <c r="E41" s="360"/>
      <c r="F41" s="360"/>
      <c r="G41" s="360"/>
      <c r="H41" s="360"/>
      <c r="I41" s="360"/>
      <c r="J41" s="360"/>
      <c r="K41" s="360"/>
      <c r="L41" s="361"/>
      <c r="M41" s="361"/>
      <c r="N41" s="361"/>
      <c r="O41" s="317"/>
      <c r="P41" s="317"/>
      <c r="Q41" s="317"/>
      <c r="R41" s="317"/>
      <c r="S41" s="317"/>
      <c r="T41" s="317"/>
      <c r="U41" s="317"/>
      <c r="V41" s="317"/>
      <c r="W41" s="310"/>
      <c r="X41" s="317"/>
      <c r="Y41" s="317"/>
    </row>
    <row r="42" spans="1:27">
      <c r="A42" s="362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0"/>
      <c r="X42" s="318"/>
      <c r="Y42" s="318"/>
    </row>
    <row r="43" spans="1:27" ht="31.95" customHeight="1">
      <c r="A43" s="319"/>
      <c r="B43" s="319"/>
      <c r="C43" s="319"/>
      <c r="D43" s="363" t="s">
        <v>77</v>
      </c>
      <c r="E43" s="364" t="s">
        <v>78</v>
      </c>
      <c r="F43" s="364"/>
      <c r="G43" s="364"/>
      <c r="H43" s="364"/>
      <c r="I43" s="364"/>
      <c r="J43" s="365"/>
      <c r="K43" s="365"/>
      <c r="L43" s="365"/>
      <c r="M43" s="366" t="s">
        <v>209</v>
      </c>
      <c r="N43" s="366" t="s">
        <v>210</v>
      </c>
      <c r="O43" s="367" t="s">
        <v>211</v>
      </c>
      <c r="P43" s="363" t="s">
        <v>212</v>
      </c>
      <c r="Q43" s="363" t="s">
        <v>213</v>
      </c>
      <c r="R43" s="363" t="s">
        <v>214</v>
      </c>
      <c r="S43" s="363" t="s">
        <v>214</v>
      </c>
      <c r="T43" s="363" t="s">
        <v>215</v>
      </c>
      <c r="U43" s="363" t="s">
        <v>216</v>
      </c>
      <c r="V43" s="368" t="s">
        <v>217</v>
      </c>
      <c r="W43" s="310" t="str">
        <f>U43</f>
        <v>Экономия</v>
      </c>
      <c r="X43" s="367" t="s">
        <v>211</v>
      </c>
      <c r="Y43" s="367" t="s">
        <v>211</v>
      </c>
    </row>
    <row r="44" spans="1:27" ht="40.799999999999997" customHeight="1">
      <c r="A44" s="319"/>
      <c r="B44" s="319"/>
      <c r="C44" s="319"/>
      <c r="D44" s="319" t="s">
        <v>80</v>
      </c>
      <c r="E44" s="363" t="s">
        <v>218</v>
      </c>
      <c r="F44" s="363" t="s">
        <v>81</v>
      </c>
      <c r="G44" s="363" t="s">
        <v>28</v>
      </c>
      <c r="H44" s="363" t="s">
        <v>29</v>
      </c>
      <c r="I44" s="363" t="s">
        <v>82</v>
      </c>
      <c r="J44" s="363" t="s">
        <v>219</v>
      </c>
      <c r="K44" s="363" t="s">
        <v>220</v>
      </c>
      <c r="L44" s="363" t="s">
        <v>221</v>
      </c>
      <c r="M44" s="366"/>
      <c r="N44" s="366"/>
      <c r="O44" s="319"/>
      <c r="P44" s="363" t="s">
        <v>222</v>
      </c>
      <c r="Q44" s="363"/>
      <c r="R44" s="363" t="s">
        <v>223</v>
      </c>
      <c r="S44" s="363" t="s">
        <v>224</v>
      </c>
      <c r="T44" s="363"/>
      <c r="U44" s="363" t="s">
        <v>225</v>
      </c>
      <c r="V44" s="368"/>
      <c r="W44" s="334" t="str">
        <f>U44</f>
        <v>(План - Ожидаемое исполнение)</v>
      </c>
      <c r="X44" s="319"/>
      <c r="Y44" s="319"/>
    </row>
    <row r="45" spans="1:27">
      <c r="A45" s="369"/>
      <c r="B45" s="369"/>
      <c r="C45" s="369"/>
      <c r="D45" s="370">
        <v>1</v>
      </c>
      <c r="E45" s="370">
        <v>2</v>
      </c>
      <c r="F45" s="370">
        <v>3</v>
      </c>
      <c r="G45" s="370">
        <v>4</v>
      </c>
      <c r="H45" s="370">
        <v>5</v>
      </c>
      <c r="I45" s="370">
        <v>6</v>
      </c>
      <c r="J45" s="370">
        <v>7</v>
      </c>
      <c r="K45" s="370">
        <v>8</v>
      </c>
      <c r="L45" s="370">
        <v>9</v>
      </c>
      <c r="M45" s="370">
        <v>10</v>
      </c>
      <c r="N45" s="370">
        <v>11</v>
      </c>
      <c r="O45" s="370">
        <v>12</v>
      </c>
      <c r="P45" s="370">
        <v>13</v>
      </c>
      <c r="Q45" s="370">
        <v>14</v>
      </c>
      <c r="R45" s="370">
        <v>15</v>
      </c>
      <c r="S45" s="370">
        <v>16</v>
      </c>
      <c r="T45" s="370">
        <v>17</v>
      </c>
      <c r="U45" s="370">
        <v>18</v>
      </c>
      <c r="V45" s="370">
        <v>17</v>
      </c>
      <c r="W45" s="310">
        <f>U45</f>
        <v>18</v>
      </c>
      <c r="X45" s="370">
        <v>12</v>
      </c>
      <c r="Y45" s="370">
        <v>12</v>
      </c>
    </row>
    <row r="46" spans="1:27">
      <c r="A46" s="354" t="s">
        <v>226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U46" s="356"/>
      <c r="V46" s="356"/>
      <c r="W46" s="310"/>
    </row>
    <row r="47" spans="1:27" ht="27.6" customHeight="1">
      <c r="A47" s="311"/>
      <c r="B47" s="311"/>
      <c r="C47" s="311"/>
      <c r="D47" s="311" t="s">
        <v>227</v>
      </c>
      <c r="E47" s="311" t="s">
        <v>228</v>
      </c>
      <c r="F47" s="371">
        <v>656</v>
      </c>
      <c r="G47" s="312" t="s">
        <v>110</v>
      </c>
      <c r="H47" s="371">
        <v>111</v>
      </c>
      <c r="I47" s="371">
        <v>211</v>
      </c>
      <c r="J47" s="312" t="s">
        <v>184</v>
      </c>
      <c r="K47" s="312" t="s">
        <v>185</v>
      </c>
      <c r="L47" s="312" t="s">
        <v>186</v>
      </c>
      <c r="M47" s="312" t="s">
        <v>229</v>
      </c>
      <c r="N47" s="312" t="s">
        <v>230</v>
      </c>
      <c r="O47" s="312">
        <v>4451167.0999999996</v>
      </c>
      <c r="P47" s="312">
        <v>252574.19</v>
      </c>
      <c r="Q47" s="312">
        <v>4198592.9099999992</v>
      </c>
      <c r="R47" s="312">
        <v>252574.19</v>
      </c>
      <c r="S47" s="343" t="s">
        <v>312</v>
      </c>
      <c r="T47" s="312">
        <v>4325455.2</v>
      </c>
      <c r="U47" s="356">
        <f>O47-T47</f>
        <v>125711.89999999944</v>
      </c>
      <c r="V47" s="356">
        <v>4451167.0999999996</v>
      </c>
      <c r="W47" s="310">
        <v>0</v>
      </c>
      <c r="X47" s="312">
        <v>4446158.7</v>
      </c>
      <c r="Y47" s="312">
        <v>4446158.7</v>
      </c>
      <c r="Z47" s="372">
        <f>O47+O48+O64+O49+O65</f>
        <v>6588557.9899999993</v>
      </c>
    </row>
    <row r="48" spans="1:27" ht="18" customHeight="1">
      <c r="A48" s="311"/>
      <c r="B48" s="311"/>
      <c r="C48" s="311"/>
      <c r="D48" s="311" t="s">
        <v>227</v>
      </c>
      <c r="E48" s="311" t="s">
        <v>228</v>
      </c>
      <c r="F48" s="371">
        <v>656</v>
      </c>
      <c r="G48" s="312" t="s">
        <v>110</v>
      </c>
      <c r="H48" s="371">
        <v>111</v>
      </c>
      <c r="I48" s="371">
        <v>266</v>
      </c>
      <c r="J48" s="312" t="s">
        <v>184</v>
      </c>
      <c r="K48" s="312" t="s">
        <v>185</v>
      </c>
      <c r="L48" s="312" t="s">
        <v>186</v>
      </c>
      <c r="M48" s="312" t="s">
        <v>229</v>
      </c>
      <c r="N48" s="312" t="s">
        <v>230</v>
      </c>
      <c r="O48" s="312">
        <v>25000</v>
      </c>
      <c r="P48" s="312">
        <v>5532.3</v>
      </c>
      <c r="Q48" s="312">
        <v>19467.7</v>
      </c>
      <c r="R48" s="312">
        <v>5532.3</v>
      </c>
      <c r="S48" s="373" t="s">
        <v>231</v>
      </c>
      <c r="T48" s="312">
        <v>30000</v>
      </c>
      <c r="U48" s="356">
        <f>O48-T48</f>
        <v>-5000</v>
      </c>
      <c r="V48" s="356">
        <v>25000</v>
      </c>
      <c r="W48" s="310">
        <v>0</v>
      </c>
      <c r="X48" s="312">
        <v>30000</v>
      </c>
      <c r="Y48" s="312">
        <v>30000</v>
      </c>
    </row>
    <row r="49" spans="1:26" ht="18" customHeight="1">
      <c r="A49" s="311"/>
      <c r="B49" s="311"/>
      <c r="C49" s="311"/>
      <c r="D49" s="374" t="s">
        <v>227</v>
      </c>
      <c r="E49" s="311" t="s">
        <v>228</v>
      </c>
      <c r="F49" s="371">
        <v>656</v>
      </c>
      <c r="G49" s="312" t="s">
        <v>110</v>
      </c>
      <c r="H49" s="371">
        <v>119</v>
      </c>
      <c r="I49" s="371">
        <v>213</v>
      </c>
      <c r="J49" s="312" t="s">
        <v>184</v>
      </c>
      <c r="K49" s="312" t="s">
        <v>185</v>
      </c>
      <c r="L49" s="312" t="s">
        <v>186</v>
      </c>
      <c r="M49" s="312" t="s">
        <v>229</v>
      </c>
      <c r="N49" s="312" t="s">
        <v>230</v>
      </c>
      <c r="O49" s="312">
        <v>1351802.46</v>
      </c>
      <c r="P49" s="312">
        <v>76276.789999999994</v>
      </c>
      <c r="Q49" s="312">
        <v>1275525.67</v>
      </c>
      <c r="R49" s="312">
        <v>76276.789999999994</v>
      </c>
      <c r="S49" s="343" t="s">
        <v>232</v>
      </c>
      <c r="T49" s="312">
        <v>1315348</v>
      </c>
      <c r="U49" s="356">
        <f>O49-T49</f>
        <v>36454.459999999963</v>
      </c>
      <c r="V49" s="356">
        <v>1351802.46</v>
      </c>
      <c r="W49" s="310">
        <v>0</v>
      </c>
      <c r="X49" s="312">
        <v>574732.07999999996</v>
      </c>
      <c r="Y49" s="312">
        <v>574732.07999999996</v>
      </c>
    </row>
    <row r="50" spans="1:26" ht="3" customHeight="1">
      <c r="A50" s="311"/>
      <c r="B50" s="311"/>
      <c r="C50" s="311"/>
      <c r="D50" s="311" t="s">
        <v>227</v>
      </c>
      <c r="E50" s="311" t="s">
        <v>228</v>
      </c>
      <c r="F50" s="371">
        <v>656</v>
      </c>
      <c r="G50" s="312" t="s">
        <v>110</v>
      </c>
      <c r="H50" s="371">
        <v>119</v>
      </c>
      <c r="I50" s="371">
        <v>265</v>
      </c>
      <c r="J50" s="312" t="s">
        <v>184</v>
      </c>
      <c r="K50" s="312" t="s">
        <v>185</v>
      </c>
      <c r="L50" s="312" t="s">
        <v>186</v>
      </c>
      <c r="M50" s="312" t="s">
        <v>229</v>
      </c>
      <c r="N50" s="312" t="s">
        <v>230</v>
      </c>
      <c r="O50" s="312">
        <v>0</v>
      </c>
      <c r="P50" s="312"/>
      <c r="Q50" s="312"/>
      <c r="R50" s="312"/>
      <c r="S50" s="347" t="s">
        <v>415</v>
      </c>
      <c r="T50" s="312"/>
      <c r="U50" s="356"/>
      <c r="V50" s="356">
        <v>94132.83</v>
      </c>
      <c r="W50" s="310">
        <v>0</v>
      </c>
      <c r="X50" s="312">
        <v>0</v>
      </c>
      <c r="Y50" s="312">
        <v>0</v>
      </c>
    </row>
    <row r="51" spans="1:26" ht="16.2" customHeight="1">
      <c r="A51" s="311"/>
      <c r="B51" s="311"/>
      <c r="C51" s="311"/>
      <c r="D51" s="311"/>
      <c r="E51" s="311"/>
      <c r="F51" s="371"/>
      <c r="G51" s="312">
        <f>SUM(O47:O49)</f>
        <v>5827969.5599999996</v>
      </c>
      <c r="H51" s="371"/>
      <c r="I51" s="371"/>
      <c r="J51" s="312"/>
      <c r="K51" s="312"/>
      <c r="L51" s="312">
        <f>SUM(X47:X49)</f>
        <v>5050890.78</v>
      </c>
      <c r="M51" s="312">
        <f>SUM(Y47:Y49)</f>
        <v>5050890.78</v>
      </c>
      <c r="N51" s="312"/>
      <c r="O51" s="312"/>
      <c r="P51" s="312"/>
      <c r="Q51" s="312"/>
      <c r="R51" s="312"/>
      <c r="S51" s="347"/>
      <c r="T51" s="312"/>
      <c r="U51" s="356"/>
      <c r="V51" s="356"/>
      <c r="W51" s="310"/>
      <c r="X51" s="312"/>
      <c r="Y51" s="312"/>
    </row>
    <row r="52" spans="1:26" ht="81" customHeight="1">
      <c r="A52" s="311"/>
      <c r="B52" s="311"/>
      <c r="C52" s="311"/>
      <c r="D52" s="311" t="s">
        <v>227</v>
      </c>
      <c r="E52" s="311" t="s">
        <v>228</v>
      </c>
      <c r="F52" s="371">
        <v>656</v>
      </c>
      <c r="G52" s="312" t="s">
        <v>110</v>
      </c>
      <c r="H52" s="371">
        <v>244</v>
      </c>
      <c r="I52" s="371">
        <v>221</v>
      </c>
      <c r="J52" s="312" t="s">
        <v>184</v>
      </c>
      <c r="K52" s="312" t="s">
        <v>185</v>
      </c>
      <c r="L52" s="312" t="s">
        <v>186</v>
      </c>
      <c r="M52" s="312" t="s">
        <v>229</v>
      </c>
      <c r="N52" s="312" t="s">
        <v>230</v>
      </c>
      <c r="O52" s="312">
        <v>94132.83</v>
      </c>
      <c r="P52" s="375">
        <v>0</v>
      </c>
      <c r="Q52" s="312">
        <v>94132.83</v>
      </c>
      <c r="R52" s="312">
        <v>94132.83</v>
      </c>
      <c r="S52" s="343" t="s">
        <v>324</v>
      </c>
      <c r="T52" s="312">
        <v>81018.44</v>
      </c>
      <c r="U52" s="356">
        <f t="shared" ref="U52:U60" si="1">O52-T52</f>
        <v>13114.39</v>
      </c>
      <c r="V52" s="376">
        <v>94132.83</v>
      </c>
      <c r="W52" s="377">
        <v>0</v>
      </c>
      <c r="X52" s="312"/>
      <c r="Y52" s="312"/>
    </row>
    <row r="53" spans="1:26" ht="52.2" customHeight="1">
      <c r="A53" s="311"/>
      <c r="B53" s="311"/>
      <c r="C53" s="311"/>
      <c r="D53" s="311" t="s">
        <v>227</v>
      </c>
      <c r="E53" s="311" t="s">
        <v>228</v>
      </c>
      <c r="F53" s="371">
        <v>656</v>
      </c>
      <c r="G53" s="312" t="s">
        <v>110</v>
      </c>
      <c r="H53" s="371">
        <v>244</v>
      </c>
      <c r="I53" s="371">
        <v>223</v>
      </c>
      <c r="J53" s="312" t="s">
        <v>184</v>
      </c>
      <c r="K53" s="312" t="s">
        <v>185</v>
      </c>
      <c r="L53" s="312" t="s">
        <v>186</v>
      </c>
      <c r="M53" s="312" t="s">
        <v>229</v>
      </c>
      <c r="N53" s="312" t="s">
        <v>230</v>
      </c>
      <c r="O53" s="312">
        <v>83366.64</v>
      </c>
      <c r="P53" s="375">
        <v>0</v>
      </c>
      <c r="Q53" s="312">
        <v>98366.64</v>
      </c>
      <c r="R53" s="312">
        <v>98366.64</v>
      </c>
      <c r="S53" s="378" t="s">
        <v>325</v>
      </c>
      <c r="T53" s="312">
        <v>89584.58</v>
      </c>
      <c r="U53" s="356">
        <f t="shared" si="1"/>
        <v>-6217.9400000000023</v>
      </c>
      <c r="V53" s="376">
        <v>98366.64</v>
      </c>
      <c r="W53" s="377">
        <v>0</v>
      </c>
      <c r="X53" s="312"/>
      <c r="Y53" s="312"/>
    </row>
    <row r="54" spans="1:26" ht="83.4" customHeight="1">
      <c r="A54" s="311"/>
      <c r="B54" s="311"/>
      <c r="C54" s="311"/>
      <c r="D54" s="311" t="s">
        <v>227</v>
      </c>
      <c r="E54" s="311" t="s">
        <v>228</v>
      </c>
      <c r="F54" s="371">
        <v>656</v>
      </c>
      <c r="G54" s="312" t="s">
        <v>110</v>
      </c>
      <c r="H54" s="371">
        <v>244</v>
      </c>
      <c r="I54" s="371">
        <v>225</v>
      </c>
      <c r="J54" s="312" t="s">
        <v>184</v>
      </c>
      <c r="K54" s="312" t="s">
        <v>185</v>
      </c>
      <c r="L54" s="312" t="s">
        <v>186</v>
      </c>
      <c r="M54" s="312" t="s">
        <v>229</v>
      </c>
      <c r="N54" s="312" t="s">
        <v>230</v>
      </c>
      <c r="O54" s="312">
        <v>336502.6</v>
      </c>
      <c r="P54" s="312">
        <v>0</v>
      </c>
      <c r="Q54" s="312">
        <v>336502.6</v>
      </c>
      <c r="R54" s="312">
        <v>227228.6</v>
      </c>
      <c r="S54" s="343" t="s">
        <v>326</v>
      </c>
      <c r="T54" s="312">
        <f>362438+5009.09</f>
        <v>367447.09</v>
      </c>
      <c r="U54" s="356">
        <f t="shared" si="1"/>
        <v>-30944.490000000049</v>
      </c>
      <c r="V54" s="376">
        <v>336502.6</v>
      </c>
      <c r="W54" s="377">
        <v>0</v>
      </c>
      <c r="X54" s="312">
        <v>337788.28</v>
      </c>
      <c r="Y54" s="312"/>
    </row>
    <row r="55" spans="1:26" ht="175.95" customHeight="1">
      <c r="A55" s="311"/>
      <c r="B55" s="311"/>
      <c r="C55" s="311"/>
      <c r="D55" s="311" t="s">
        <v>227</v>
      </c>
      <c r="E55" s="311" t="s">
        <v>228</v>
      </c>
      <c r="F55" s="371">
        <v>656</v>
      </c>
      <c r="G55" s="312" t="s">
        <v>110</v>
      </c>
      <c r="H55" s="371">
        <v>244</v>
      </c>
      <c r="I55" s="371">
        <v>226</v>
      </c>
      <c r="J55" s="312" t="s">
        <v>184</v>
      </c>
      <c r="K55" s="312" t="s">
        <v>185</v>
      </c>
      <c r="L55" s="312" t="s">
        <v>186</v>
      </c>
      <c r="M55" s="312" t="s">
        <v>229</v>
      </c>
      <c r="N55" s="312" t="s">
        <v>230</v>
      </c>
      <c r="O55" s="312">
        <v>1296444.8600000001</v>
      </c>
      <c r="P55" s="312">
        <v>7700</v>
      </c>
      <c r="Q55" s="312">
        <v>1288744.8600000001</v>
      </c>
      <c r="R55" s="312">
        <v>643805.47</v>
      </c>
      <c r="S55" s="379" t="s">
        <v>416</v>
      </c>
      <c r="T55" s="312">
        <v>1016571</v>
      </c>
      <c r="U55" s="356">
        <f t="shared" si="1"/>
        <v>279873.8600000001</v>
      </c>
      <c r="V55" s="376">
        <f>R55+1318953.6+1000+25000+5000</f>
        <v>1993759.07</v>
      </c>
      <c r="W55" s="377">
        <f>O55-V55</f>
        <v>-697314.21</v>
      </c>
      <c r="X55" s="312">
        <v>3942000</v>
      </c>
      <c r="Y55" s="312">
        <v>3942000</v>
      </c>
      <c r="Z55" s="372">
        <f>O55-R55</f>
        <v>652639.39000000013</v>
      </c>
    </row>
    <row r="56" spans="1:26" ht="40.200000000000003" customHeight="1">
      <c r="A56" s="311"/>
      <c r="B56" s="311"/>
      <c r="C56" s="311"/>
      <c r="D56" s="311" t="s">
        <v>227</v>
      </c>
      <c r="E56" s="311" t="s">
        <v>228</v>
      </c>
      <c r="F56" s="371">
        <v>656</v>
      </c>
      <c r="G56" s="312" t="s">
        <v>110</v>
      </c>
      <c r="H56" s="371">
        <v>244</v>
      </c>
      <c r="I56" s="371">
        <v>310</v>
      </c>
      <c r="J56" s="312" t="s">
        <v>233</v>
      </c>
      <c r="K56" s="312" t="s">
        <v>185</v>
      </c>
      <c r="L56" s="312" t="s">
        <v>186</v>
      </c>
      <c r="M56" s="312" t="s">
        <v>234</v>
      </c>
      <c r="N56" s="312" t="s">
        <v>235</v>
      </c>
      <c r="O56" s="312">
        <v>45000</v>
      </c>
      <c r="P56" s="312">
        <v>0</v>
      </c>
      <c r="Q56" s="312">
        <v>45000</v>
      </c>
      <c r="R56" s="312">
        <v>0</v>
      </c>
      <c r="S56" s="343" t="s">
        <v>327</v>
      </c>
      <c r="T56" s="312">
        <v>27962</v>
      </c>
      <c r="U56" s="356">
        <f t="shared" si="1"/>
        <v>17038</v>
      </c>
      <c r="V56" s="376">
        <v>45000</v>
      </c>
      <c r="W56" s="377">
        <v>0</v>
      </c>
      <c r="X56" s="312">
        <v>0</v>
      </c>
      <c r="Y56" s="312">
        <v>0</v>
      </c>
      <c r="Z56" s="372">
        <f>Z55-W55</f>
        <v>1349953.6</v>
      </c>
    </row>
    <row r="57" spans="1:26" ht="55.2" customHeight="1">
      <c r="A57" s="311"/>
      <c r="B57" s="311"/>
      <c r="C57" s="311"/>
      <c r="D57" s="311" t="s">
        <v>227</v>
      </c>
      <c r="E57" s="311" t="s">
        <v>228</v>
      </c>
      <c r="F57" s="371">
        <v>656</v>
      </c>
      <c r="G57" s="312" t="s">
        <v>110</v>
      </c>
      <c r="H57" s="371">
        <v>244</v>
      </c>
      <c r="I57" s="371">
        <v>346</v>
      </c>
      <c r="J57" s="312" t="s">
        <v>184</v>
      </c>
      <c r="K57" s="312" t="s">
        <v>185</v>
      </c>
      <c r="L57" s="312" t="s">
        <v>186</v>
      </c>
      <c r="M57" s="312" t="s">
        <v>229</v>
      </c>
      <c r="N57" s="312" t="s">
        <v>230</v>
      </c>
      <c r="O57" s="312">
        <v>50000</v>
      </c>
      <c r="P57" s="312">
        <v>7857</v>
      </c>
      <c r="Q57" s="312">
        <v>42143</v>
      </c>
      <c r="R57" s="312">
        <v>17171</v>
      </c>
      <c r="S57" s="343" t="s">
        <v>328</v>
      </c>
      <c r="T57" s="312">
        <v>45000</v>
      </c>
      <c r="U57" s="356">
        <f t="shared" si="1"/>
        <v>5000</v>
      </c>
      <c r="V57" s="376">
        <v>50000</v>
      </c>
      <c r="W57" s="377">
        <v>0</v>
      </c>
      <c r="X57" s="312"/>
      <c r="Y57" s="312"/>
      <c r="Z57" s="320">
        <v>1380124</v>
      </c>
    </row>
    <row r="58" spans="1:26" ht="17.399999999999999" customHeight="1">
      <c r="A58" s="311"/>
      <c r="B58" s="311"/>
      <c r="C58" s="311"/>
      <c r="D58" s="311" t="s">
        <v>227</v>
      </c>
      <c r="E58" s="311" t="s">
        <v>228</v>
      </c>
      <c r="F58" s="371">
        <v>656</v>
      </c>
      <c r="G58" s="312" t="s">
        <v>110</v>
      </c>
      <c r="H58" s="371">
        <v>244</v>
      </c>
      <c r="I58" s="371">
        <v>346</v>
      </c>
      <c r="J58" s="312" t="s">
        <v>184</v>
      </c>
      <c r="K58" s="312" t="s">
        <v>185</v>
      </c>
      <c r="L58" s="312" t="s">
        <v>186</v>
      </c>
      <c r="M58" s="312" t="s">
        <v>234</v>
      </c>
      <c r="N58" s="312" t="s">
        <v>235</v>
      </c>
      <c r="O58" s="312">
        <v>0</v>
      </c>
      <c r="P58" s="312"/>
      <c r="Q58" s="312"/>
      <c r="R58" s="312"/>
      <c r="S58" s="343"/>
      <c r="T58" s="312">
        <v>10638</v>
      </c>
      <c r="U58" s="356">
        <f t="shared" si="1"/>
        <v>-10638</v>
      </c>
      <c r="V58" s="376"/>
      <c r="W58" s="377">
        <v>0</v>
      </c>
      <c r="X58" s="312">
        <v>0</v>
      </c>
      <c r="Y58" s="312">
        <v>0</v>
      </c>
      <c r="Z58" s="372">
        <f>Z56-Z57</f>
        <v>-30170.399999999907</v>
      </c>
    </row>
    <row r="59" spans="1:26" ht="42" customHeight="1">
      <c r="A59" s="311"/>
      <c r="B59" s="311"/>
      <c r="C59" s="311"/>
      <c r="D59" s="311" t="s">
        <v>227</v>
      </c>
      <c r="E59" s="311" t="s">
        <v>228</v>
      </c>
      <c r="F59" s="371">
        <v>656</v>
      </c>
      <c r="G59" s="312" t="s">
        <v>110</v>
      </c>
      <c r="H59" s="371">
        <v>244</v>
      </c>
      <c r="I59" s="371">
        <v>349</v>
      </c>
      <c r="J59" s="312" t="s">
        <v>184</v>
      </c>
      <c r="K59" s="312" t="s">
        <v>185</v>
      </c>
      <c r="L59" s="312" t="s">
        <v>186</v>
      </c>
      <c r="M59" s="312" t="s">
        <v>234</v>
      </c>
      <c r="N59" s="312" t="s">
        <v>230</v>
      </c>
      <c r="O59" s="312">
        <v>50000</v>
      </c>
      <c r="P59" s="375">
        <v>0</v>
      </c>
      <c r="Q59" s="312">
        <v>50000</v>
      </c>
      <c r="R59" s="312">
        <v>0</v>
      </c>
      <c r="S59" s="343" t="s">
        <v>329</v>
      </c>
      <c r="T59" s="312">
        <v>45000</v>
      </c>
      <c r="U59" s="356">
        <f t="shared" si="1"/>
        <v>5000</v>
      </c>
      <c r="V59" s="376">
        <v>50000</v>
      </c>
      <c r="W59" s="377">
        <f>Q59-V59</f>
        <v>0</v>
      </c>
      <c r="X59" s="312">
        <v>0</v>
      </c>
      <c r="Y59" s="312">
        <v>0</v>
      </c>
    </row>
    <row r="60" spans="1:26" ht="40.200000000000003" customHeight="1">
      <c r="A60" s="311"/>
      <c r="B60" s="311"/>
      <c r="C60" s="311"/>
      <c r="D60" s="311" t="s">
        <v>227</v>
      </c>
      <c r="E60" s="311" t="s">
        <v>228</v>
      </c>
      <c r="F60" s="371">
        <v>656</v>
      </c>
      <c r="G60" s="312" t="s">
        <v>110</v>
      </c>
      <c r="H60" s="371">
        <v>247</v>
      </c>
      <c r="I60" s="371">
        <v>223</v>
      </c>
      <c r="J60" s="312" t="s">
        <v>184</v>
      </c>
      <c r="K60" s="312" t="s">
        <v>185</v>
      </c>
      <c r="L60" s="312" t="s">
        <v>186</v>
      </c>
      <c r="M60" s="312" t="s">
        <v>229</v>
      </c>
      <c r="N60" s="312" t="s">
        <v>230</v>
      </c>
      <c r="O60" s="312">
        <v>757754.2</v>
      </c>
      <c r="P60" s="375">
        <v>0</v>
      </c>
      <c r="Q60" s="312">
        <v>742754.2</v>
      </c>
      <c r="R60" s="312">
        <v>742754.2</v>
      </c>
      <c r="S60" s="343" t="s">
        <v>330</v>
      </c>
      <c r="T60" s="312">
        <v>715007.42</v>
      </c>
      <c r="U60" s="356">
        <f t="shared" si="1"/>
        <v>42746.779999999912</v>
      </c>
      <c r="V60" s="356">
        <v>742754.2</v>
      </c>
      <c r="W60" s="310"/>
      <c r="X60" s="312">
        <v>743607.71680000005</v>
      </c>
      <c r="Y60" s="312">
        <v>327265.99680000008</v>
      </c>
    </row>
    <row r="61" spans="1:26" ht="13.2" customHeight="1">
      <c r="A61" s="311"/>
      <c r="B61" s="311"/>
      <c r="C61" s="311"/>
      <c r="D61" s="311"/>
      <c r="E61" s="311"/>
      <c r="F61" s="371"/>
      <c r="G61" s="312">
        <f>SUM(O52:O60)</f>
        <v>2713201.13</v>
      </c>
      <c r="H61" s="371"/>
      <c r="I61" s="371"/>
      <c r="J61" s="312"/>
      <c r="K61" s="312"/>
      <c r="L61" s="312">
        <f>SUM(X52:X60)</f>
        <v>5023395.9967999998</v>
      </c>
      <c r="M61" s="312">
        <f>SUM(Y52:Y60)</f>
        <v>4269265.9967999998</v>
      </c>
      <c r="N61" s="312"/>
      <c r="O61" s="312"/>
      <c r="P61" s="375"/>
      <c r="Q61" s="312"/>
      <c r="R61" s="312"/>
      <c r="S61" s="343"/>
      <c r="T61" s="312"/>
      <c r="U61" s="356"/>
      <c r="V61" s="356"/>
      <c r="W61" s="310"/>
      <c r="X61" s="312"/>
      <c r="Y61" s="312"/>
    </row>
    <row r="62" spans="1:26" ht="24.6" customHeight="1">
      <c r="A62" s="311"/>
      <c r="B62" s="311"/>
      <c r="C62" s="311"/>
      <c r="D62" s="311" t="s">
        <v>227</v>
      </c>
      <c r="E62" s="311" t="s">
        <v>228</v>
      </c>
      <c r="F62" s="371">
        <v>656</v>
      </c>
      <c r="G62" s="312" t="s">
        <v>110</v>
      </c>
      <c r="H62" s="371">
        <v>321</v>
      </c>
      <c r="I62" s="371">
        <v>264</v>
      </c>
      <c r="J62" s="312" t="s">
        <v>184</v>
      </c>
      <c r="K62" s="312" t="s">
        <v>185</v>
      </c>
      <c r="L62" s="312" t="s">
        <v>186</v>
      </c>
      <c r="M62" s="312" t="s">
        <v>229</v>
      </c>
      <c r="N62" s="312" t="s">
        <v>230</v>
      </c>
      <c r="O62" s="312"/>
      <c r="P62" s="312"/>
      <c r="Q62" s="312"/>
      <c r="R62" s="312"/>
      <c r="S62" s="347"/>
      <c r="T62" s="312">
        <v>10000</v>
      </c>
      <c r="U62" s="356">
        <f>O62-T62</f>
        <v>-10000</v>
      </c>
      <c r="V62" s="356"/>
      <c r="W62" s="310">
        <v>0</v>
      </c>
      <c r="X62" s="312"/>
      <c r="Y62" s="312"/>
    </row>
    <row r="63" spans="1:26" ht="15" customHeight="1">
      <c r="A63" s="311"/>
      <c r="B63" s="311"/>
      <c r="C63" s="311"/>
      <c r="D63" s="311"/>
      <c r="E63" s="311"/>
      <c r="F63" s="371"/>
      <c r="G63" s="312"/>
      <c r="H63" s="371"/>
      <c r="I63" s="371"/>
      <c r="J63" s="312"/>
      <c r="K63" s="312"/>
      <c r="L63" s="312"/>
      <c r="M63" s="312"/>
      <c r="N63" s="312"/>
      <c r="O63" s="312"/>
      <c r="P63" s="312"/>
      <c r="Q63" s="312"/>
      <c r="R63" s="312"/>
      <c r="S63" s="347"/>
      <c r="T63" s="312"/>
      <c r="U63" s="356"/>
      <c r="V63" s="356"/>
      <c r="W63" s="310"/>
      <c r="X63" s="312"/>
      <c r="Y63" s="312"/>
    </row>
    <row r="64" spans="1:26" ht="21.6">
      <c r="A64" s="311"/>
      <c r="B64" s="311"/>
      <c r="C64" s="311"/>
      <c r="D64" s="311" t="s">
        <v>236</v>
      </c>
      <c r="E64" s="311" t="s">
        <v>237</v>
      </c>
      <c r="F64" s="371">
        <v>656</v>
      </c>
      <c r="G64" s="312" t="s">
        <v>110</v>
      </c>
      <c r="H64" s="371">
        <v>111</v>
      </c>
      <c r="I64" s="371">
        <v>211</v>
      </c>
      <c r="J64" s="312" t="s">
        <v>184</v>
      </c>
      <c r="K64" s="312" t="s">
        <v>185</v>
      </c>
      <c r="L64" s="312" t="s">
        <v>186</v>
      </c>
      <c r="M64" s="312" t="s">
        <v>229</v>
      </c>
      <c r="N64" s="312" t="s">
        <v>230</v>
      </c>
      <c r="O64" s="312">
        <v>584169.30000000005</v>
      </c>
      <c r="P64" s="312">
        <v>45885.9</v>
      </c>
      <c r="Q64" s="312">
        <v>538283.4</v>
      </c>
      <c r="R64" s="312">
        <v>45885.9</v>
      </c>
      <c r="S64" s="343" t="s">
        <v>285</v>
      </c>
      <c r="T64" s="312">
        <v>490723.2</v>
      </c>
      <c r="U64" s="356">
        <f>O64-T64</f>
        <v>93446.100000000035</v>
      </c>
      <c r="V64" s="356">
        <v>584169.30000000005</v>
      </c>
      <c r="W64" s="310">
        <v>0</v>
      </c>
      <c r="X64" s="312">
        <v>584169.30000000005</v>
      </c>
      <c r="Y64" s="312">
        <v>584169.30000000005</v>
      </c>
    </row>
    <row r="65" spans="1:27" ht="20.399999999999999" customHeight="1">
      <c r="A65" s="311"/>
      <c r="B65" s="311"/>
      <c r="C65" s="311"/>
      <c r="D65" s="311" t="s">
        <v>236</v>
      </c>
      <c r="E65" s="311" t="s">
        <v>237</v>
      </c>
      <c r="F65" s="371">
        <v>656</v>
      </c>
      <c r="G65" s="312" t="s">
        <v>110</v>
      </c>
      <c r="H65" s="371">
        <v>119</v>
      </c>
      <c r="I65" s="371">
        <v>213</v>
      </c>
      <c r="J65" s="312" t="s">
        <v>184</v>
      </c>
      <c r="K65" s="312" t="s">
        <v>185</v>
      </c>
      <c r="L65" s="312" t="s">
        <v>186</v>
      </c>
      <c r="M65" s="312" t="s">
        <v>229</v>
      </c>
      <c r="N65" s="312" t="s">
        <v>230</v>
      </c>
      <c r="O65" s="312">
        <v>176419.13</v>
      </c>
      <c r="P65" s="312">
        <v>13857.54</v>
      </c>
      <c r="Q65" s="312">
        <v>162561.59</v>
      </c>
      <c r="R65" s="312">
        <v>13857.54</v>
      </c>
      <c r="S65" s="343" t="s">
        <v>232</v>
      </c>
      <c r="T65" s="312">
        <v>148198.39999999999</v>
      </c>
      <c r="U65" s="356">
        <f>O65-T65</f>
        <v>28220.73000000001</v>
      </c>
      <c r="V65" s="356">
        <v>176419.13</v>
      </c>
      <c r="W65" s="310">
        <v>0</v>
      </c>
      <c r="X65" s="312">
        <v>88209.564299999998</v>
      </c>
      <c r="Y65" s="312">
        <v>88209.564299999998</v>
      </c>
    </row>
    <row r="66" spans="1:27" ht="13.95" customHeight="1">
      <c r="A66" s="311"/>
      <c r="B66" s="311"/>
      <c r="C66" s="311"/>
      <c r="D66" s="311"/>
      <c r="E66" s="311"/>
      <c r="F66" s="371"/>
      <c r="G66" s="312">
        <f>SUM(O64:O65)</f>
        <v>760588.43</v>
      </c>
      <c r="H66" s="371"/>
      <c r="I66" s="371"/>
      <c r="J66" s="312"/>
      <c r="K66" s="312"/>
      <c r="L66" s="312">
        <f>SUM(X64:X65)</f>
        <v>672378.86430000002</v>
      </c>
      <c r="M66" s="312">
        <f>SUM(Y64:Y65)</f>
        <v>672378.86430000002</v>
      </c>
      <c r="N66" s="312"/>
      <c r="O66" s="312"/>
      <c r="P66" s="312"/>
      <c r="Q66" s="312"/>
      <c r="R66" s="312"/>
      <c r="S66" s="343"/>
      <c r="T66" s="312"/>
      <c r="U66" s="356"/>
      <c r="V66" s="356"/>
      <c r="W66" s="310"/>
      <c r="X66" s="312"/>
      <c r="Y66" s="312"/>
    </row>
    <row r="67" spans="1:27" ht="22.8">
      <c r="A67" s="358"/>
      <c r="B67" s="358"/>
      <c r="C67" s="358"/>
      <c r="D67" s="380" t="s">
        <v>87</v>
      </c>
      <c r="E67" s="356"/>
      <c r="F67" s="356"/>
      <c r="G67" s="356"/>
      <c r="H67" s="356"/>
      <c r="I67" s="356"/>
      <c r="J67" s="356" t="s">
        <v>80</v>
      </c>
      <c r="K67" s="356" t="s">
        <v>80</v>
      </c>
      <c r="L67" s="356" t="s">
        <v>80</v>
      </c>
      <c r="M67" s="356"/>
      <c r="N67" s="356"/>
      <c r="O67" s="381">
        <f>SUM(O47:O65)</f>
        <v>9301759.120000001</v>
      </c>
      <c r="P67" s="381">
        <f>SUM(P47:P65)</f>
        <v>409683.72</v>
      </c>
      <c r="Q67" s="381">
        <f>SUM(Q47:Q65)</f>
        <v>8892075.3999999985</v>
      </c>
      <c r="R67" s="381">
        <f>SUM(R47:R65)</f>
        <v>2217585.4599999995</v>
      </c>
      <c r="S67" s="381"/>
      <c r="T67" s="381">
        <f>T47+T48+T49+T50+T52+T53+T54+T55+T56+T57+T58+T59+T60+T62+T64+T65</f>
        <v>8717953.3300000001</v>
      </c>
      <c r="U67" s="381">
        <f>U47+U48+U49+U50+U52+U53+U54+U55+U56+U57+U58+U59+U60+U62+U64+U65</f>
        <v>583805.78999999934</v>
      </c>
      <c r="V67" s="381">
        <f>V65+V64+V60+V59+V57+V56+V55+V54+V53+V49+V48+V47+V52</f>
        <v>9999073.3300000001</v>
      </c>
      <c r="W67" s="381">
        <f>W65+W64+W60+W59+W57+W56+W55+W54+W53+W49+W48+W47+W52</f>
        <v>-697314.21</v>
      </c>
      <c r="X67" s="381">
        <v>10746665.641100002</v>
      </c>
      <c r="Y67" s="381">
        <v>9992535.6411000025</v>
      </c>
      <c r="Z67" s="381">
        <v>10746665.641100002</v>
      </c>
      <c r="AA67" s="381">
        <v>9992535.6411000025</v>
      </c>
    </row>
    <row r="68" spans="1:27">
      <c r="O68" s="372"/>
      <c r="W68" s="310"/>
    </row>
    <row r="69" spans="1:27">
      <c r="A69" s="382"/>
      <c r="B69" s="382"/>
      <c r="C69" s="382"/>
      <c r="D69" s="383"/>
      <c r="E69" s="383"/>
      <c r="F69" s="383"/>
      <c r="G69" s="383" t="s">
        <v>238</v>
      </c>
      <c r="H69" s="383"/>
      <c r="I69" s="383"/>
      <c r="J69" s="383"/>
      <c r="K69" s="383"/>
      <c r="L69" s="383"/>
      <c r="M69" s="383"/>
      <c r="N69" s="383"/>
      <c r="O69" s="384"/>
      <c r="P69" s="384"/>
      <c r="Q69" s="384"/>
      <c r="R69" s="385"/>
      <c r="S69" s="385"/>
      <c r="T69" s="385"/>
      <c r="U69" s="383"/>
      <c r="V69" s="383"/>
      <c r="W69" s="310"/>
      <c r="X69" s="384"/>
      <c r="Y69" s="384"/>
    </row>
    <row r="70" spans="1:27"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7"/>
      <c r="P70" s="387"/>
      <c r="Q70" s="387"/>
      <c r="R70" s="388"/>
      <c r="S70" s="388"/>
      <c r="T70" s="388"/>
      <c r="U70" s="387"/>
      <c r="V70" s="387"/>
      <c r="W70" s="310"/>
      <c r="X70" s="387"/>
      <c r="Y70" s="387"/>
    </row>
    <row r="71" spans="1:27" ht="22.2" customHeight="1">
      <c r="D71" s="324" t="s">
        <v>77</v>
      </c>
      <c r="E71" s="325" t="s">
        <v>78</v>
      </c>
      <c r="F71" s="325"/>
      <c r="G71" s="325"/>
      <c r="H71" s="325"/>
      <c r="I71" s="325"/>
      <c r="J71" s="326"/>
      <c r="K71" s="326"/>
      <c r="L71" s="326"/>
      <c r="M71" s="327" t="s">
        <v>209</v>
      </c>
      <c r="N71" s="327" t="s">
        <v>210</v>
      </c>
      <c r="O71" s="328" t="s">
        <v>211</v>
      </c>
      <c r="P71" s="329" t="s">
        <v>212</v>
      </c>
      <c r="Q71" s="329" t="s">
        <v>213</v>
      </c>
      <c r="R71" s="324" t="s">
        <v>214</v>
      </c>
      <c r="S71" s="324" t="s">
        <v>214</v>
      </c>
      <c r="T71" s="330" t="s">
        <v>239</v>
      </c>
      <c r="U71" s="331" t="s">
        <v>216</v>
      </c>
      <c r="V71" s="331" t="s">
        <v>240</v>
      </c>
      <c r="W71" s="310" t="str">
        <f>U71</f>
        <v>Экономия</v>
      </c>
      <c r="X71" s="328" t="s">
        <v>211</v>
      </c>
      <c r="Y71" s="328" t="s">
        <v>211</v>
      </c>
    </row>
    <row r="72" spans="1:27" ht="18.600000000000001" customHeight="1">
      <c r="C72" s="320">
        <v>89241.3</v>
      </c>
      <c r="D72" s="332"/>
      <c r="E72" s="324" t="s">
        <v>218</v>
      </c>
      <c r="F72" s="324" t="s">
        <v>81</v>
      </c>
      <c r="G72" s="324" t="s">
        <v>28</v>
      </c>
      <c r="H72" s="324" t="s">
        <v>29</v>
      </c>
      <c r="I72" s="324" t="s">
        <v>82</v>
      </c>
      <c r="J72" s="324" t="s">
        <v>219</v>
      </c>
      <c r="K72" s="324" t="s">
        <v>220</v>
      </c>
      <c r="L72" s="324" t="s">
        <v>221</v>
      </c>
      <c r="M72" s="327"/>
      <c r="N72" s="327"/>
      <c r="O72" s="333"/>
      <c r="P72" s="329" t="s">
        <v>222</v>
      </c>
      <c r="Q72" s="329"/>
      <c r="R72" s="324" t="s">
        <v>223</v>
      </c>
      <c r="S72" s="324" t="s">
        <v>224</v>
      </c>
      <c r="T72" s="330"/>
      <c r="U72" s="331" t="s">
        <v>241</v>
      </c>
      <c r="V72" s="331" t="s">
        <v>242</v>
      </c>
      <c r="W72" s="310" t="str">
        <f>U72</f>
        <v>(План - Принятые обязательства)</v>
      </c>
      <c r="X72" s="333"/>
      <c r="Y72" s="333"/>
    </row>
    <row r="73" spans="1:27">
      <c r="D73" s="335">
        <v>1</v>
      </c>
      <c r="E73" s="335">
        <v>2</v>
      </c>
      <c r="F73" s="335">
        <v>3</v>
      </c>
      <c r="G73" s="335">
        <v>4</v>
      </c>
      <c r="H73" s="335">
        <v>5</v>
      </c>
      <c r="I73" s="335">
        <v>6</v>
      </c>
      <c r="J73" s="335">
        <v>7</v>
      </c>
      <c r="K73" s="335">
        <v>8</v>
      </c>
      <c r="L73" s="335">
        <v>9</v>
      </c>
      <c r="M73" s="335">
        <v>10</v>
      </c>
      <c r="N73" s="335">
        <v>11</v>
      </c>
      <c r="O73" s="336">
        <v>12</v>
      </c>
      <c r="P73" s="336">
        <v>13</v>
      </c>
      <c r="Q73" s="336">
        <v>14</v>
      </c>
      <c r="R73" s="335">
        <v>15</v>
      </c>
      <c r="S73" s="335">
        <v>16</v>
      </c>
      <c r="T73" s="337">
        <v>17</v>
      </c>
      <c r="U73" s="337">
        <v>18</v>
      </c>
      <c r="V73" s="337">
        <v>19</v>
      </c>
      <c r="W73" s="310">
        <f>U73</f>
        <v>18</v>
      </c>
      <c r="X73" s="336">
        <v>12</v>
      </c>
      <c r="Y73" s="336">
        <v>12</v>
      </c>
    </row>
    <row r="74" spans="1:27" hidden="1"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90"/>
      <c r="R74" s="391"/>
      <c r="S74" s="391"/>
      <c r="T74" s="392"/>
      <c r="U74" s="393"/>
      <c r="V74" s="393">
        <f>P74/8*12</f>
        <v>0</v>
      </c>
      <c r="W74" s="310">
        <f>U74</f>
        <v>0</v>
      </c>
      <c r="X74" s="389"/>
      <c r="Y74" s="389"/>
    </row>
    <row r="75" spans="1:27" ht="45" customHeight="1">
      <c r="D75" s="394">
        <v>656300011</v>
      </c>
      <c r="E75" s="394" t="s">
        <v>243</v>
      </c>
      <c r="F75" s="395">
        <v>656</v>
      </c>
      <c r="G75" s="396" t="s">
        <v>161</v>
      </c>
      <c r="H75" s="395">
        <v>811</v>
      </c>
      <c r="I75" s="395">
        <v>245</v>
      </c>
      <c r="J75" s="396" t="s">
        <v>184</v>
      </c>
      <c r="K75" s="396" t="s">
        <v>185</v>
      </c>
      <c r="L75" s="396" t="s">
        <v>186</v>
      </c>
      <c r="M75" s="396" t="s">
        <v>229</v>
      </c>
      <c r="N75" s="396" t="s">
        <v>230</v>
      </c>
      <c r="O75" s="396">
        <v>60013.93</v>
      </c>
      <c r="P75" s="396">
        <v>0</v>
      </c>
      <c r="Q75" s="396">
        <f>O75-P75</f>
        <v>60013.93</v>
      </c>
      <c r="R75" s="397">
        <f>P75</f>
        <v>0</v>
      </c>
      <c r="S75" s="397" t="s">
        <v>417</v>
      </c>
      <c r="T75" s="398">
        <f>P75+206637.03</f>
        <v>206637.03</v>
      </c>
      <c r="U75" s="399">
        <f>O75-T75</f>
        <v>-146623.1</v>
      </c>
      <c r="V75" s="398">
        <f>2*59919.15</f>
        <v>119838.3</v>
      </c>
      <c r="W75" s="310">
        <f>O75-V75</f>
        <v>-59824.37</v>
      </c>
      <c r="X75" s="396"/>
      <c r="Y75" s="396"/>
    </row>
    <row r="76" spans="1:27" ht="16.2" customHeight="1">
      <c r="D76" s="394"/>
      <c r="E76" s="394"/>
      <c r="F76" s="395"/>
      <c r="G76" s="396"/>
      <c r="H76" s="395"/>
      <c r="I76" s="395"/>
      <c r="J76" s="396"/>
      <c r="K76" s="396"/>
      <c r="L76" s="396"/>
      <c r="M76" s="396"/>
      <c r="N76" s="396"/>
      <c r="O76" s="396"/>
      <c r="P76" s="396"/>
      <c r="Q76" s="396"/>
      <c r="R76" s="397"/>
      <c r="S76" s="397"/>
      <c r="T76" s="398"/>
      <c r="U76" s="399"/>
      <c r="V76" s="398"/>
      <c r="W76" s="310"/>
      <c r="X76" s="396"/>
      <c r="Y76" s="396"/>
    </row>
    <row r="77" spans="1:27" ht="16.2" customHeight="1">
      <c r="D77" s="394">
        <v>656400011</v>
      </c>
      <c r="E77" s="394" t="s">
        <v>249</v>
      </c>
      <c r="F77" s="395">
        <v>656</v>
      </c>
      <c r="G77" s="396" t="s">
        <v>117</v>
      </c>
      <c r="H77" s="395" t="s">
        <v>35</v>
      </c>
      <c r="I77" s="395" t="s">
        <v>321</v>
      </c>
      <c r="J77" s="396"/>
      <c r="K77" s="396"/>
      <c r="L77" s="396"/>
      <c r="M77" s="396"/>
      <c r="N77" s="396"/>
      <c r="O77" s="396">
        <v>583730</v>
      </c>
      <c r="P77" s="396"/>
      <c r="Q77" s="396"/>
      <c r="R77" s="397"/>
      <c r="S77" s="397"/>
      <c r="T77" s="398"/>
      <c r="U77" s="399"/>
      <c r="V77" s="398"/>
      <c r="W77" s="310"/>
      <c r="X77" s="396"/>
      <c r="Y77" s="396"/>
    </row>
    <row r="78" spans="1:27">
      <c r="D78" s="394">
        <v>656400011</v>
      </c>
      <c r="E78" s="394" t="s">
        <v>244</v>
      </c>
      <c r="F78" s="395">
        <v>656</v>
      </c>
      <c r="G78" s="396" t="s">
        <v>157</v>
      </c>
      <c r="H78" s="395">
        <v>540</v>
      </c>
      <c r="I78" s="395">
        <v>251</v>
      </c>
      <c r="J78" s="396" t="s">
        <v>184</v>
      </c>
      <c r="K78" s="396" t="s">
        <v>185</v>
      </c>
      <c r="L78" s="396" t="s">
        <v>186</v>
      </c>
      <c r="M78" s="396" t="s">
        <v>229</v>
      </c>
      <c r="N78" s="396" t="s">
        <v>230</v>
      </c>
      <c r="O78" s="396">
        <v>3400000</v>
      </c>
      <c r="P78" s="396">
        <v>0</v>
      </c>
      <c r="Q78" s="396">
        <f>O78-P78</f>
        <v>3400000</v>
      </c>
      <c r="R78" s="397">
        <v>0</v>
      </c>
      <c r="S78" s="397" t="s">
        <v>75</v>
      </c>
      <c r="T78" s="398">
        <f>Q78</f>
        <v>3400000</v>
      </c>
      <c r="U78" s="399">
        <f>O78-T78</f>
        <v>0</v>
      </c>
      <c r="V78" s="398">
        <f>O78</f>
        <v>3400000</v>
      </c>
      <c r="W78" s="310">
        <f>U78</f>
        <v>0</v>
      </c>
      <c r="X78" s="396">
        <v>0</v>
      </c>
      <c r="Y78" s="396">
        <v>0</v>
      </c>
    </row>
    <row r="79" spans="1:27">
      <c r="D79" s="394">
        <v>656400011</v>
      </c>
      <c r="E79" s="394" t="s">
        <v>245</v>
      </c>
      <c r="F79" s="395">
        <v>656</v>
      </c>
      <c r="G79" s="396" t="s">
        <v>178</v>
      </c>
      <c r="H79" s="395">
        <v>540</v>
      </c>
      <c r="I79" s="395">
        <v>251</v>
      </c>
      <c r="J79" s="396" t="s">
        <v>184</v>
      </c>
      <c r="K79" s="396" t="s">
        <v>185</v>
      </c>
      <c r="L79" s="396" t="s">
        <v>186</v>
      </c>
      <c r="M79" s="396" t="s">
        <v>229</v>
      </c>
      <c r="N79" s="396" t="s">
        <v>230</v>
      </c>
      <c r="O79" s="396">
        <v>2155066</v>
      </c>
      <c r="P79" s="396">
        <v>0</v>
      </c>
      <c r="Q79" s="396">
        <f>O79-P79</f>
        <v>2155066</v>
      </c>
      <c r="R79" s="397">
        <f>0</f>
        <v>0</v>
      </c>
      <c r="S79" s="397"/>
      <c r="T79" s="400">
        <v>2050475</v>
      </c>
      <c r="U79" s="399">
        <f>O79-T79</f>
        <v>104591</v>
      </c>
      <c r="V79" s="398">
        <f>O79</f>
        <v>2155066</v>
      </c>
      <c r="W79" s="310">
        <v>0</v>
      </c>
      <c r="X79" s="396"/>
      <c r="Y79" s="396"/>
    </row>
    <row r="80" spans="1:27">
      <c r="D80" s="394">
        <v>656400011</v>
      </c>
      <c r="E80" s="394" t="s">
        <v>246</v>
      </c>
      <c r="F80" s="395">
        <v>656</v>
      </c>
      <c r="G80" s="396" t="s">
        <v>117</v>
      </c>
      <c r="H80" s="395">
        <v>540</v>
      </c>
      <c r="I80" s="395">
        <v>251</v>
      </c>
      <c r="J80" s="396" t="s">
        <v>184</v>
      </c>
      <c r="K80" s="396" t="s">
        <v>185</v>
      </c>
      <c r="L80" s="396" t="s">
        <v>186</v>
      </c>
      <c r="M80" s="396" t="s">
        <v>229</v>
      </c>
      <c r="N80" s="396" t="s">
        <v>230</v>
      </c>
      <c r="O80" s="396">
        <v>53619003.939999998</v>
      </c>
      <c r="P80" s="396">
        <v>4887985.5</v>
      </c>
      <c r="Q80" s="396">
        <f>O80-P80</f>
        <v>48731018.439999998</v>
      </c>
      <c r="R80" s="396">
        <v>0</v>
      </c>
      <c r="S80" s="397" t="s">
        <v>75</v>
      </c>
      <c r="T80" s="398">
        <f>O80</f>
        <v>53619003.939999998</v>
      </c>
      <c r="U80" s="399">
        <f>O80-T80</f>
        <v>0</v>
      </c>
      <c r="V80" s="398">
        <f>O80</f>
        <v>53619003.939999998</v>
      </c>
      <c r="W80" s="310">
        <f>U80</f>
        <v>0</v>
      </c>
      <c r="X80" s="396">
        <v>4693420</v>
      </c>
      <c r="Y80" s="396">
        <v>4693420</v>
      </c>
    </row>
    <row r="81" spans="4:26">
      <c r="D81" s="394"/>
      <c r="E81" s="394"/>
      <c r="F81" s="395"/>
      <c r="G81" s="396"/>
      <c r="H81" s="395"/>
      <c r="I81" s="395"/>
      <c r="J81" s="396"/>
      <c r="K81" s="396"/>
      <c r="L81" s="396"/>
      <c r="M81" s="396"/>
      <c r="N81" s="396"/>
      <c r="O81" s="396"/>
      <c r="P81" s="396"/>
      <c r="Q81" s="396"/>
      <c r="R81" s="396"/>
      <c r="S81" s="397"/>
      <c r="T81" s="398"/>
      <c r="U81" s="399"/>
      <c r="V81" s="398"/>
      <c r="W81" s="310"/>
      <c r="X81" s="396"/>
      <c r="Y81" s="396"/>
    </row>
    <row r="82" spans="4:26">
      <c r="D82" s="401">
        <v>656400021</v>
      </c>
      <c r="E82" s="401" t="s">
        <v>247</v>
      </c>
      <c r="F82" s="402">
        <v>656</v>
      </c>
      <c r="G82" s="403" t="s">
        <v>121</v>
      </c>
      <c r="H82" s="402">
        <v>870</v>
      </c>
      <c r="I82" s="402">
        <v>200</v>
      </c>
      <c r="J82" s="403" t="s">
        <v>184</v>
      </c>
      <c r="K82" s="403" t="s">
        <v>185</v>
      </c>
      <c r="L82" s="404" t="s">
        <v>248</v>
      </c>
      <c r="M82" s="403" t="s">
        <v>229</v>
      </c>
      <c r="N82" s="403" t="s">
        <v>230</v>
      </c>
      <c r="O82" s="403">
        <v>10000</v>
      </c>
      <c r="P82" s="403">
        <v>0</v>
      </c>
      <c r="Q82" s="396">
        <f>O82-P82</f>
        <v>10000</v>
      </c>
      <c r="R82" s="403"/>
      <c r="S82" s="405" t="s">
        <v>37</v>
      </c>
      <c r="T82" s="406">
        <v>10000</v>
      </c>
      <c r="U82" s="407">
        <f>O82-T82</f>
        <v>0</v>
      </c>
      <c r="V82" s="398">
        <f>O82</f>
        <v>10000</v>
      </c>
      <c r="W82" s="310">
        <f>U82</f>
        <v>0</v>
      </c>
      <c r="X82" s="403">
        <v>10000</v>
      </c>
      <c r="Y82" s="403">
        <v>10000</v>
      </c>
    </row>
    <row r="83" spans="4:26">
      <c r="D83" s="401"/>
      <c r="E83" s="401"/>
      <c r="F83" s="402"/>
      <c r="G83" s="403"/>
      <c r="H83" s="402"/>
      <c r="I83" s="402"/>
      <c r="J83" s="403"/>
      <c r="K83" s="403"/>
      <c r="L83" s="404"/>
      <c r="M83" s="403"/>
      <c r="N83" s="403"/>
      <c r="O83" s="403"/>
      <c r="P83" s="403"/>
      <c r="Q83" s="396"/>
      <c r="R83" s="403"/>
      <c r="S83" s="405"/>
      <c r="T83" s="406"/>
      <c r="U83" s="407"/>
      <c r="V83" s="406"/>
      <c r="W83" s="310"/>
      <c r="X83" s="403"/>
      <c r="Y83" s="403"/>
    </row>
    <row r="84" spans="4:26">
      <c r="D84" s="401">
        <v>656400021</v>
      </c>
      <c r="E84" s="408">
        <v>113</v>
      </c>
      <c r="F84" s="402">
        <v>656</v>
      </c>
      <c r="G84" s="409" t="s">
        <v>122</v>
      </c>
      <c r="H84" s="402">
        <v>870</v>
      </c>
      <c r="I84" s="402">
        <v>292</v>
      </c>
      <c r="J84" s="403" t="s">
        <v>184</v>
      </c>
      <c r="K84" s="403" t="s">
        <v>185</v>
      </c>
      <c r="L84" s="404" t="s">
        <v>248</v>
      </c>
      <c r="M84" s="403" t="s">
        <v>229</v>
      </c>
      <c r="N84" s="403" t="s">
        <v>230</v>
      </c>
      <c r="O84" s="403">
        <v>0</v>
      </c>
      <c r="P84" s="403">
        <v>0</v>
      </c>
      <c r="Q84" s="396">
        <f>O84-P84</f>
        <v>0</v>
      </c>
      <c r="R84" s="403"/>
      <c r="S84" s="410" t="s">
        <v>173</v>
      </c>
      <c r="T84" s="406">
        <v>10000</v>
      </c>
      <c r="U84" s="407">
        <f>O84-T84</f>
        <v>-10000</v>
      </c>
      <c r="V84" s="406"/>
      <c r="W84" s="310">
        <v>0</v>
      </c>
      <c r="X84" s="403">
        <v>2500000</v>
      </c>
      <c r="Y84" s="403">
        <v>4000000</v>
      </c>
    </row>
    <row r="85" spans="4:26">
      <c r="D85" s="401"/>
      <c r="E85" s="401"/>
      <c r="F85" s="402"/>
      <c r="G85" s="403"/>
      <c r="H85" s="402"/>
      <c r="I85" s="402"/>
      <c r="J85" s="403"/>
      <c r="K85" s="403"/>
      <c r="L85" s="404"/>
      <c r="M85" s="403"/>
      <c r="N85" s="403"/>
      <c r="O85" s="403"/>
      <c r="P85" s="403"/>
      <c r="Q85" s="396"/>
      <c r="R85" s="403"/>
      <c r="S85" s="405"/>
      <c r="T85" s="406"/>
      <c r="U85" s="407"/>
      <c r="V85" s="406"/>
      <c r="W85" s="310"/>
      <c r="X85" s="403"/>
      <c r="Y85" s="403"/>
    </row>
    <row r="86" spans="4:26" ht="33" customHeight="1">
      <c r="D86" s="353">
        <v>656420011</v>
      </c>
      <c r="E86" s="353" t="s">
        <v>249</v>
      </c>
      <c r="F86" s="411">
        <v>656</v>
      </c>
      <c r="G86" s="412" t="s">
        <v>163</v>
      </c>
      <c r="H86" s="411">
        <v>244</v>
      </c>
      <c r="I86" s="411">
        <v>222</v>
      </c>
      <c r="J86" s="412" t="s">
        <v>184</v>
      </c>
      <c r="K86" s="412" t="s">
        <v>185</v>
      </c>
      <c r="L86" s="413" t="s">
        <v>186</v>
      </c>
      <c r="M86" s="412" t="s">
        <v>229</v>
      </c>
      <c r="N86" s="412" t="s">
        <v>230</v>
      </c>
      <c r="O86" s="412">
        <v>94000</v>
      </c>
      <c r="P86" s="412">
        <v>0</v>
      </c>
      <c r="Q86" s="412">
        <f t="shared" ref="Q86:Q91" si="2">O86-P86</f>
        <v>94000</v>
      </c>
      <c r="R86" s="412">
        <v>0</v>
      </c>
      <c r="S86" s="414" t="s">
        <v>301</v>
      </c>
      <c r="T86" s="415">
        <f>R86+70000</f>
        <v>70000</v>
      </c>
      <c r="U86" s="416"/>
      <c r="V86" s="398">
        <f>O86</f>
        <v>94000</v>
      </c>
      <c r="W86" s="310">
        <v>-980</v>
      </c>
      <c r="X86" s="412">
        <v>94715.1</v>
      </c>
      <c r="Y86" s="412">
        <v>94715.1</v>
      </c>
    </row>
    <row r="87" spans="4:26" ht="58.2" customHeight="1">
      <c r="D87" s="417">
        <v>656420011</v>
      </c>
      <c r="E87" s="417" t="s">
        <v>249</v>
      </c>
      <c r="F87" s="418">
        <v>656</v>
      </c>
      <c r="G87" s="419" t="s">
        <v>163</v>
      </c>
      <c r="H87" s="418">
        <v>244</v>
      </c>
      <c r="I87" s="418">
        <v>225</v>
      </c>
      <c r="J87" s="419" t="s">
        <v>184</v>
      </c>
      <c r="K87" s="419" t="s">
        <v>185</v>
      </c>
      <c r="L87" s="420" t="s">
        <v>186</v>
      </c>
      <c r="M87" s="419" t="s">
        <v>229</v>
      </c>
      <c r="N87" s="419" t="s">
        <v>230</v>
      </c>
      <c r="O87" s="419">
        <v>114740</v>
      </c>
      <c r="P87" s="419">
        <v>9480</v>
      </c>
      <c r="Q87" s="396">
        <f t="shared" si="2"/>
        <v>105260</v>
      </c>
      <c r="R87" s="419">
        <v>129751.56</v>
      </c>
      <c r="S87" s="421" t="s">
        <v>341</v>
      </c>
      <c r="T87" s="422">
        <f>R87+76327.56</f>
        <v>206079.12</v>
      </c>
      <c r="U87" s="423">
        <f>O87-T87</f>
        <v>-91339.12</v>
      </c>
      <c r="V87" s="398">
        <v>113760</v>
      </c>
      <c r="W87" s="310">
        <f>O87-V87</f>
        <v>980</v>
      </c>
      <c r="X87" s="419">
        <v>114740</v>
      </c>
      <c r="Y87" s="419">
        <v>114740</v>
      </c>
    </row>
    <row r="88" spans="4:26" ht="25.2" customHeight="1">
      <c r="D88" s="417">
        <v>656420011</v>
      </c>
      <c r="E88" s="417" t="s">
        <v>249</v>
      </c>
      <c r="F88" s="418">
        <v>656</v>
      </c>
      <c r="G88" s="419" t="s">
        <v>163</v>
      </c>
      <c r="H88" s="418">
        <v>244</v>
      </c>
      <c r="I88" s="418">
        <v>226</v>
      </c>
      <c r="J88" s="419" t="s">
        <v>184</v>
      </c>
      <c r="K88" s="419" t="s">
        <v>185</v>
      </c>
      <c r="L88" s="420" t="s">
        <v>186</v>
      </c>
      <c r="M88" s="419" t="s">
        <v>229</v>
      </c>
      <c r="N88" s="419" t="s">
        <v>230</v>
      </c>
      <c r="O88" s="419">
        <v>706000</v>
      </c>
      <c r="P88" s="419"/>
      <c r="Q88" s="396">
        <f t="shared" si="2"/>
        <v>706000</v>
      </c>
      <c r="R88" s="419"/>
      <c r="S88" s="421" t="s">
        <v>287</v>
      </c>
      <c r="T88" s="422">
        <f>O88</f>
        <v>706000</v>
      </c>
      <c r="U88" s="423">
        <f>O88-T88</f>
        <v>0</v>
      </c>
      <c r="V88" s="398">
        <f>O88</f>
        <v>706000</v>
      </c>
      <c r="W88" s="310">
        <f>U88</f>
        <v>0</v>
      </c>
      <c r="X88" s="419">
        <v>706119.27</v>
      </c>
      <c r="Y88" s="419">
        <v>706119.27</v>
      </c>
    </row>
    <row r="89" spans="4:26" ht="45" customHeight="1">
      <c r="D89" s="417">
        <v>656420011</v>
      </c>
      <c r="E89" s="417" t="s">
        <v>249</v>
      </c>
      <c r="F89" s="418">
        <v>656</v>
      </c>
      <c r="G89" s="419" t="s">
        <v>163</v>
      </c>
      <c r="H89" s="418">
        <v>244</v>
      </c>
      <c r="I89" s="418">
        <v>226</v>
      </c>
      <c r="J89" s="419" t="s">
        <v>184</v>
      </c>
      <c r="K89" s="419" t="s">
        <v>185</v>
      </c>
      <c r="L89" s="420" t="s">
        <v>186</v>
      </c>
      <c r="M89" s="419" t="s">
        <v>229</v>
      </c>
      <c r="N89" s="419" t="s">
        <v>230</v>
      </c>
      <c r="O89" s="419"/>
      <c r="P89" s="419"/>
      <c r="Q89" s="396">
        <f t="shared" si="2"/>
        <v>0</v>
      </c>
      <c r="R89" s="419">
        <v>0</v>
      </c>
      <c r="S89" s="421" t="s">
        <v>318</v>
      </c>
      <c r="T89" s="422">
        <v>150000</v>
      </c>
      <c r="U89" s="423">
        <f>O89-T89</f>
        <v>-150000</v>
      </c>
      <c r="V89" s="398">
        <v>155601.35999999999</v>
      </c>
      <c r="W89" s="310"/>
      <c r="X89" s="419">
        <v>0</v>
      </c>
      <c r="Y89" s="419">
        <v>0</v>
      </c>
    </row>
    <row r="90" spans="4:26" ht="20.399999999999999">
      <c r="D90" s="417">
        <v>656420011</v>
      </c>
      <c r="E90" s="424" t="s">
        <v>249</v>
      </c>
      <c r="F90" s="425">
        <v>656</v>
      </c>
      <c r="G90" s="419" t="s">
        <v>163</v>
      </c>
      <c r="H90" s="425">
        <v>244</v>
      </c>
      <c r="I90" s="425">
        <v>310</v>
      </c>
      <c r="J90" s="426" t="s">
        <v>184</v>
      </c>
      <c r="K90" s="426" t="s">
        <v>185</v>
      </c>
      <c r="L90" s="427" t="s">
        <v>186</v>
      </c>
      <c r="M90" s="426" t="s">
        <v>229</v>
      </c>
      <c r="N90" s="426" t="s">
        <v>230</v>
      </c>
      <c r="O90" s="426"/>
      <c r="P90" s="426">
        <v>0</v>
      </c>
      <c r="Q90" s="396">
        <f t="shared" si="2"/>
        <v>0</v>
      </c>
      <c r="R90" s="426">
        <v>0</v>
      </c>
      <c r="S90" s="428" t="s">
        <v>347</v>
      </c>
      <c r="T90" s="429">
        <f ca="1">U79+U80+U86+U87+U89+U90</f>
        <v>-85807.799999999814</v>
      </c>
      <c r="U90" s="430">
        <f ca="1">O90-T90</f>
        <v>85807.799999999814</v>
      </c>
      <c r="V90" s="398">
        <f>60890+36865</f>
        <v>97755</v>
      </c>
      <c r="W90" s="310">
        <f>O90-V90</f>
        <v>-97755</v>
      </c>
      <c r="X90" s="426"/>
      <c r="Y90" s="426"/>
    </row>
    <row r="91" spans="4:26">
      <c r="D91" s="417">
        <v>656420011</v>
      </c>
      <c r="E91" s="424" t="s">
        <v>249</v>
      </c>
      <c r="F91" s="425">
        <v>656</v>
      </c>
      <c r="G91" s="419" t="s">
        <v>163</v>
      </c>
      <c r="H91" s="425">
        <v>244</v>
      </c>
      <c r="I91" s="425">
        <v>343</v>
      </c>
      <c r="J91" s="426" t="s">
        <v>184</v>
      </c>
      <c r="K91" s="426" t="s">
        <v>185</v>
      </c>
      <c r="L91" s="427" t="s">
        <v>186</v>
      </c>
      <c r="M91" s="426" t="s">
        <v>229</v>
      </c>
      <c r="N91" s="426" t="s">
        <v>230</v>
      </c>
      <c r="O91" s="426"/>
      <c r="P91" s="426">
        <v>0</v>
      </c>
      <c r="Q91" s="396">
        <f t="shared" si="2"/>
        <v>0</v>
      </c>
      <c r="R91" s="426">
        <v>0</v>
      </c>
      <c r="S91" s="428" t="s">
        <v>317</v>
      </c>
      <c r="T91" s="429">
        <v>0</v>
      </c>
      <c r="U91" s="430">
        <f>O91-T91</f>
        <v>0</v>
      </c>
      <c r="V91" s="398">
        <f>P91/5*12</f>
        <v>0</v>
      </c>
      <c r="W91" s="310">
        <f>U91</f>
        <v>0</v>
      </c>
      <c r="X91" s="426">
        <v>10000</v>
      </c>
      <c r="Y91" s="426">
        <v>10000</v>
      </c>
    </row>
    <row r="92" spans="4:26">
      <c r="D92" s="417"/>
      <c r="E92" s="424"/>
      <c r="F92" s="425"/>
      <c r="G92" s="403">
        <f>SUM(O86:O91)</f>
        <v>914740</v>
      </c>
      <c r="H92" s="425"/>
      <c r="I92" s="425"/>
      <c r="J92" s="426"/>
      <c r="K92" s="426"/>
      <c r="L92" s="403">
        <f>SUM(X86:X91)</f>
        <v>925574.37</v>
      </c>
      <c r="M92" s="403">
        <f>SUM(Y86:Y91)</f>
        <v>925574.37</v>
      </c>
      <c r="N92" s="426"/>
      <c r="O92" s="426"/>
      <c r="P92" s="426"/>
      <c r="Q92" s="396"/>
      <c r="R92" s="426"/>
      <c r="S92" s="428"/>
      <c r="T92" s="429"/>
      <c r="U92" s="430"/>
      <c r="V92" s="398"/>
      <c r="W92" s="310"/>
      <c r="X92" s="426"/>
      <c r="Y92" s="426"/>
    </row>
    <row r="93" spans="4:26" ht="44.4" customHeight="1">
      <c r="D93" s="424">
        <v>656420021</v>
      </c>
      <c r="E93" s="424" t="s">
        <v>249</v>
      </c>
      <c r="F93" s="425">
        <v>656</v>
      </c>
      <c r="G93" s="426" t="s">
        <v>170</v>
      </c>
      <c r="H93" s="425">
        <v>244</v>
      </c>
      <c r="I93" s="425">
        <v>221</v>
      </c>
      <c r="J93" s="426" t="s">
        <v>184</v>
      </c>
      <c r="K93" s="426" t="s">
        <v>185</v>
      </c>
      <c r="L93" s="427" t="s">
        <v>186</v>
      </c>
      <c r="M93" s="426" t="s">
        <v>229</v>
      </c>
      <c r="N93" s="426" t="s">
        <v>230</v>
      </c>
      <c r="O93" s="426">
        <v>66672</v>
      </c>
      <c r="P93" s="426">
        <v>0</v>
      </c>
      <c r="Q93" s="396">
        <f>O93-P93</f>
        <v>66672</v>
      </c>
      <c r="R93" s="426">
        <v>66672</v>
      </c>
      <c r="S93" s="428" t="s">
        <v>418</v>
      </c>
      <c r="T93" s="429">
        <f>R93+24408</f>
        <v>91080</v>
      </c>
      <c r="U93" s="430">
        <f>O93-T93</f>
        <v>-24408</v>
      </c>
      <c r="V93" s="398">
        <f>17856+48816</f>
        <v>66672</v>
      </c>
      <c r="W93" s="310">
        <f>O93-V93</f>
        <v>0</v>
      </c>
      <c r="X93" s="426">
        <v>66672</v>
      </c>
      <c r="Y93" s="426">
        <v>66672</v>
      </c>
    </row>
    <row r="94" spans="4:26" ht="54" customHeight="1">
      <c r="D94" s="417">
        <v>656420021</v>
      </c>
      <c r="E94" s="417" t="s">
        <v>249</v>
      </c>
      <c r="F94" s="418">
        <v>656</v>
      </c>
      <c r="G94" s="419" t="s">
        <v>170</v>
      </c>
      <c r="H94" s="418">
        <v>244</v>
      </c>
      <c r="I94" s="418">
        <v>225</v>
      </c>
      <c r="J94" s="419" t="s">
        <v>184</v>
      </c>
      <c r="K94" s="419" t="s">
        <v>185</v>
      </c>
      <c r="L94" s="420" t="s">
        <v>186</v>
      </c>
      <c r="M94" s="419" t="s">
        <v>229</v>
      </c>
      <c r="N94" s="419" t="s">
        <v>230</v>
      </c>
      <c r="O94" s="419">
        <v>99231.12</v>
      </c>
      <c r="P94" s="419">
        <v>8269.26</v>
      </c>
      <c r="Q94" s="396">
        <f>O94-P94</f>
        <v>90961.86</v>
      </c>
      <c r="R94" s="419">
        <v>99231.12</v>
      </c>
      <c r="S94" s="421" t="s">
        <v>419</v>
      </c>
      <c r="T94" s="422">
        <f>R94+76327.56</f>
        <v>175558.68</v>
      </c>
      <c r="U94" s="423">
        <f>O94-T94</f>
        <v>-76327.56</v>
      </c>
      <c r="V94" s="398">
        <f>99231.12+117819.99</f>
        <v>217051.11</v>
      </c>
      <c r="W94" s="310">
        <f>O94-V94</f>
        <v>-117819.98999999999</v>
      </c>
      <c r="X94" s="419">
        <v>99231.12</v>
      </c>
      <c r="Y94" s="419">
        <v>99231.12</v>
      </c>
      <c r="Z94" s="320">
        <f>117.82+94</f>
        <v>211.82</v>
      </c>
    </row>
    <row r="95" spans="4:26" ht="33" customHeight="1">
      <c r="D95" s="431">
        <f>G96-1080643.12</f>
        <v>0</v>
      </c>
      <c r="E95" s="417"/>
      <c r="F95" s="418"/>
      <c r="G95" s="403">
        <f>SUM(O93:O94)</f>
        <v>165903.12</v>
      </c>
      <c r="H95" s="418"/>
      <c r="I95" s="418"/>
      <c r="J95" s="419"/>
      <c r="K95" s="419"/>
      <c r="L95" s="403">
        <f>SUM(X93:X94)</f>
        <v>165903.12</v>
      </c>
      <c r="M95" s="403">
        <f>SUM(Y93:Y94)</f>
        <v>165903.12</v>
      </c>
      <c r="N95" s="419"/>
      <c r="O95" s="419"/>
      <c r="P95" s="419"/>
      <c r="Q95" s="396"/>
      <c r="R95" s="419"/>
      <c r="S95" s="421"/>
      <c r="T95" s="422"/>
      <c r="U95" s="423"/>
      <c r="V95" s="398"/>
      <c r="W95" s="310"/>
      <c r="X95" s="419"/>
      <c r="Y95" s="419"/>
    </row>
    <row r="96" spans="4:26" ht="27.6" customHeight="1">
      <c r="D96" s="353" t="s">
        <v>302</v>
      </c>
      <c r="E96" s="353"/>
      <c r="F96" s="411"/>
      <c r="G96" s="412">
        <f>G92+G95</f>
        <v>1080643.1200000001</v>
      </c>
      <c r="H96" s="411"/>
      <c r="I96" s="411"/>
      <c r="J96" s="412"/>
      <c r="K96" s="412"/>
      <c r="L96" s="412">
        <f>L92+L95</f>
        <v>1091477.49</v>
      </c>
      <c r="M96" s="412">
        <f>M92+M95</f>
        <v>1091477.49</v>
      </c>
      <c r="N96" s="412"/>
      <c r="O96" s="412"/>
      <c r="P96" s="412"/>
      <c r="Q96" s="412"/>
      <c r="R96" s="412"/>
      <c r="S96" s="414"/>
      <c r="T96" s="415"/>
      <c r="U96" s="416"/>
      <c r="V96" s="432"/>
      <c r="W96" s="310"/>
      <c r="X96" s="412"/>
      <c r="Y96" s="412"/>
    </row>
    <row r="97" spans="4:25" ht="13.2" customHeight="1">
      <c r="D97" s="353"/>
      <c r="E97" s="353"/>
      <c r="F97" s="411"/>
      <c r="G97" s="412"/>
      <c r="H97" s="411"/>
      <c r="I97" s="411"/>
      <c r="J97" s="412"/>
      <c r="K97" s="412"/>
      <c r="L97" s="412"/>
      <c r="M97" s="412"/>
      <c r="N97" s="412"/>
      <c r="O97" s="412"/>
      <c r="P97" s="412"/>
      <c r="Q97" s="412"/>
      <c r="R97" s="412"/>
      <c r="S97" s="414"/>
      <c r="T97" s="415"/>
      <c r="U97" s="416"/>
      <c r="V97" s="432"/>
      <c r="W97" s="310"/>
      <c r="X97" s="412"/>
      <c r="Y97" s="412"/>
    </row>
    <row r="98" spans="4:25" ht="27" customHeight="1">
      <c r="D98" s="353">
        <v>656430011</v>
      </c>
      <c r="E98" s="353" t="s">
        <v>250</v>
      </c>
      <c r="F98" s="411">
        <v>656</v>
      </c>
      <c r="G98" s="412" t="s">
        <v>116</v>
      </c>
      <c r="H98" s="411">
        <v>121</v>
      </c>
      <c r="I98" s="411">
        <v>211</v>
      </c>
      <c r="J98" s="412" t="s">
        <v>184</v>
      </c>
      <c r="K98" s="412" t="s">
        <v>185</v>
      </c>
      <c r="L98" s="413" t="s">
        <v>186</v>
      </c>
      <c r="M98" s="412" t="s">
        <v>229</v>
      </c>
      <c r="N98" s="412" t="s">
        <v>230</v>
      </c>
      <c r="O98" s="412">
        <f>1092761-O99</f>
        <v>1077761</v>
      </c>
      <c r="P98" s="412">
        <v>96116.89</v>
      </c>
      <c r="Q98" s="412">
        <f>O98-P98</f>
        <v>981644.11</v>
      </c>
      <c r="R98" s="412">
        <f>O98</f>
        <v>1077761</v>
      </c>
      <c r="S98" s="414" t="s">
        <v>420</v>
      </c>
      <c r="T98" s="432">
        <f>R98</f>
        <v>1077761</v>
      </c>
      <c r="U98" s="416">
        <f>O98-T98</f>
        <v>0</v>
      </c>
      <c r="V98" s="412">
        <f>1092761-V99</f>
        <v>1077761</v>
      </c>
      <c r="W98" s="310">
        <f>U98</f>
        <v>0</v>
      </c>
      <c r="X98" s="412">
        <v>1092761</v>
      </c>
      <c r="Y98" s="412">
        <v>1092761</v>
      </c>
    </row>
    <row r="99" spans="4:25" ht="27" customHeight="1">
      <c r="D99" s="353">
        <v>656430011</v>
      </c>
      <c r="E99" s="353" t="s">
        <v>250</v>
      </c>
      <c r="F99" s="411">
        <v>656</v>
      </c>
      <c r="G99" s="412" t="s">
        <v>116</v>
      </c>
      <c r="H99" s="411">
        <v>121</v>
      </c>
      <c r="I99" s="411">
        <v>266</v>
      </c>
      <c r="J99" s="412" t="s">
        <v>184</v>
      </c>
      <c r="K99" s="412" t="s">
        <v>185</v>
      </c>
      <c r="L99" s="413" t="s">
        <v>186</v>
      </c>
      <c r="M99" s="412" t="s">
        <v>229</v>
      </c>
      <c r="N99" s="412" t="s">
        <v>230</v>
      </c>
      <c r="O99" s="412">
        <v>15000</v>
      </c>
      <c r="P99" s="412">
        <v>0</v>
      </c>
      <c r="Q99" s="412">
        <f>O99-P99</f>
        <v>15000</v>
      </c>
      <c r="R99" s="412">
        <f>P99</f>
        <v>0</v>
      </c>
      <c r="S99" s="414" t="s">
        <v>251</v>
      </c>
      <c r="T99" s="432">
        <v>15000</v>
      </c>
      <c r="U99" s="416">
        <f>O99-T99</f>
        <v>0</v>
      </c>
      <c r="V99" s="432">
        <v>15000</v>
      </c>
      <c r="W99" s="310">
        <f>U99</f>
        <v>0</v>
      </c>
      <c r="X99" s="412"/>
      <c r="Y99" s="412"/>
    </row>
    <row r="100" spans="4:25" ht="27" customHeight="1">
      <c r="D100" s="353">
        <v>656430011</v>
      </c>
      <c r="E100" s="353" t="s">
        <v>250</v>
      </c>
      <c r="F100" s="411">
        <v>656</v>
      </c>
      <c r="G100" s="412" t="s">
        <v>116</v>
      </c>
      <c r="H100" s="411">
        <v>122</v>
      </c>
      <c r="I100" s="411">
        <v>212</v>
      </c>
      <c r="J100" s="412" t="s">
        <v>184</v>
      </c>
      <c r="K100" s="412" t="s">
        <v>185</v>
      </c>
      <c r="L100" s="413" t="s">
        <v>186</v>
      </c>
      <c r="M100" s="412" t="s">
        <v>229</v>
      </c>
      <c r="N100" s="412" t="s">
        <v>230</v>
      </c>
      <c r="O100" s="412">
        <v>0</v>
      </c>
      <c r="P100" s="412">
        <v>0</v>
      </c>
      <c r="Q100" s="412">
        <f>O100-P100</f>
        <v>0</v>
      </c>
      <c r="R100" s="412">
        <f>P100</f>
        <v>0</v>
      </c>
      <c r="S100" s="414" t="s">
        <v>252</v>
      </c>
      <c r="T100" s="415">
        <v>5000</v>
      </c>
      <c r="U100" s="416">
        <f>O100-T100</f>
        <v>-5000</v>
      </c>
      <c r="V100" s="432">
        <f>P100/5*12</f>
        <v>0</v>
      </c>
      <c r="W100" s="310"/>
      <c r="X100" s="412"/>
      <c r="Y100" s="412"/>
    </row>
    <row r="101" spans="4:25" ht="27" customHeight="1">
      <c r="D101" s="353">
        <v>656430011</v>
      </c>
      <c r="E101" s="353" t="s">
        <v>250</v>
      </c>
      <c r="F101" s="411">
        <v>656</v>
      </c>
      <c r="G101" s="412" t="s">
        <v>116</v>
      </c>
      <c r="H101" s="411">
        <v>122</v>
      </c>
      <c r="I101" s="411">
        <v>226</v>
      </c>
      <c r="J101" s="412" t="s">
        <v>184</v>
      </c>
      <c r="K101" s="412" t="s">
        <v>185</v>
      </c>
      <c r="L101" s="413" t="s">
        <v>186</v>
      </c>
      <c r="M101" s="412" t="s">
        <v>229</v>
      </c>
      <c r="N101" s="412" t="s">
        <v>230</v>
      </c>
      <c r="O101" s="412">
        <v>13000</v>
      </c>
      <c r="P101" s="412">
        <v>0</v>
      </c>
      <c r="Q101" s="412">
        <f>O101-P101</f>
        <v>13000</v>
      </c>
      <c r="R101" s="412">
        <f>P101</f>
        <v>0</v>
      </c>
      <c r="S101" s="414" t="s">
        <v>253</v>
      </c>
      <c r="T101" s="415">
        <v>8000</v>
      </c>
      <c r="U101" s="416">
        <f>O101-T101</f>
        <v>5000</v>
      </c>
      <c r="V101" s="432">
        <v>13000</v>
      </c>
      <c r="W101" s="310"/>
      <c r="X101" s="412"/>
      <c r="Y101" s="412"/>
    </row>
    <row r="102" spans="4:25" ht="27" customHeight="1">
      <c r="D102" s="353">
        <v>656430011</v>
      </c>
      <c r="E102" s="353" t="s">
        <v>250</v>
      </c>
      <c r="F102" s="411">
        <v>656</v>
      </c>
      <c r="G102" s="412" t="s">
        <v>116</v>
      </c>
      <c r="H102" s="411">
        <v>129</v>
      </c>
      <c r="I102" s="411">
        <v>213</v>
      </c>
      <c r="J102" s="412" t="s">
        <v>184</v>
      </c>
      <c r="K102" s="412" t="s">
        <v>185</v>
      </c>
      <c r="L102" s="413" t="s">
        <v>186</v>
      </c>
      <c r="M102" s="412" t="s">
        <v>229</v>
      </c>
      <c r="N102" s="412" t="s">
        <v>230</v>
      </c>
      <c r="O102" s="412">
        <v>325483.82</v>
      </c>
      <c r="P102" s="412">
        <v>19304.14</v>
      </c>
      <c r="Q102" s="412">
        <f>O102-P102</f>
        <v>306179.68</v>
      </c>
      <c r="R102" s="412">
        <f>O102</f>
        <v>325483.82</v>
      </c>
      <c r="S102" s="414" t="s">
        <v>421</v>
      </c>
      <c r="T102" s="415">
        <f>T98*30.2%</f>
        <v>325483.82199999999</v>
      </c>
      <c r="U102" s="416">
        <f>O102-T102</f>
        <v>-1.9999999785795808E-3</v>
      </c>
      <c r="V102" s="432">
        <v>325483.82</v>
      </c>
      <c r="W102" s="310">
        <v>0</v>
      </c>
      <c r="X102" s="412">
        <v>330013.82199999999</v>
      </c>
      <c r="Y102" s="412">
        <v>330013.82199999999</v>
      </c>
    </row>
    <row r="103" spans="4:25" ht="16.95" customHeight="1">
      <c r="D103" s="353"/>
      <c r="E103" s="353"/>
      <c r="F103" s="411"/>
      <c r="G103" s="412">
        <f>SUM(O98:O102)</f>
        <v>1431244.82</v>
      </c>
      <c r="H103" s="411"/>
      <c r="I103" s="411"/>
      <c r="J103" s="412"/>
      <c r="K103" s="412"/>
      <c r="L103" s="412">
        <f>SUM(X98:X102)</f>
        <v>1422774.8219999999</v>
      </c>
      <c r="M103" s="412">
        <f>SUM(Y98:Y102)</f>
        <v>1422774.8219999999</v>
      </c>
      <c r="N103" s="412"/>
      <c r="O103" s="412"/>
      <c r="P103" s="412"/>
      <c r="Q103" s="412"/>
      <c r="R103" s="412"/>
      <c r="S103" s="414"/>
      <c r="T103" s="415"/>
      <c r="U103" s="416"/>
      <c r="V103" s="432"/>
      <c r="W103" s="310"/>
      <c r="X103" s="412"/>
      <c r="Y103" s="412"/>
    </row>
    <row r="104" spans="4:25" ht="37.950000000000003" customHeight="1">
      <c r="D104" s="353">
        <v>656430012</v>
      </c>
      <c r="E104" s="353" t="s">
        <v>254</v>
      </c>
      <c r="F104" s="411">
        <v>656</v>
      </c>
      <c r="G104" s="412" t="s">
        <v>149</v>
      </c>
      <c r="H104" s="411">
        <v>121</v>
      </c>
      <c r="I104" s="411">
        <v>211</v>
      </c>
      <c r="J104" s="412" t="s">
        <v>184</v>
      </c>
      <c r="K104" s="412" t="s">
        <v>185</v>
      </c>
      <c r="L104" s="413" t="s">
        <v>186</v>
      </c>
      <c r="M104" s="412" t="s">
        <v>229</v>
      </c>
      <c r="N104" s="412" t="s">
        <v>230</v>
      </c>
      <c r="O104" s="412">
        <f>971961.25+3200807.25-O105</f>
        <v>4142768.5</v>
      </c>
      <c r="P104" s="412">
        <v>528258.97</v>
      </c>
      <c r="Q104" s="412">
        <f>O104-P104</f>
        <v>3614509.5300000003</v>
      </c>
      <c r="R104" s="412">
        <f>O104</f>
        <v>4142768.5</v>
      </c>
      <c r="S104" s="414" t="s">
        <v>422</v>
      </c>
      <c r="T104" s="432">
        <f>O104</f>
        <v>4142768.5</v>
      </c>
      <c r="U104" s="416">
        <f t="shared" ref="U104:U110" si="3">O104-T104</f>
        <v>0</v>
      </c>
      <c r="V104" s="432">
        <v>4142768.5</v>
      </c>
      <c r="W104" s="310">
        <f>U104</f>
        <v>0</v>
      </c>
      <c r="X104" s="412">
        <v>4142768.5</v>
      </c>
      <c r="Y104" s="412">
        <v>4142768.5</v>
      </c>
    </row>
    <row r="105" spans="4:25" ht="37.950000000000003" customHeight="1">
      <c r="D105" s="353">
        <v>656430012</v>
      </c>
      <c r="E105" s="353" t="s">
        <v>254</v>
      </c>
      <c r="F105" s="411">
        <v>656</v>
      </c>
      <c r="G105" s="412" t="s">
        <v>149</v>
      </c>
      <c r="H105" s="411">
        <v>121</v>
      </c>
      <c r="I105" s="411">
        <v>266</v>
      </c>
      <c r="J105" s="412" t="s">
        <v>184</v>
      </c>
      <c r="K105" s="412" t="s">
        <v>185</v>
      </c>
      <c r="L105" s="413" t="s">
        <v>186</v>
      </c>
      <c r="M105" s="412" t="s">
        <v>229</v>
      </c>
      <c r="N105" s="412" t="s">
        <v>230</v>
      </c>
      <c r="O105" s="412">
        <v>30000</v>
      </c>
      <c r="P105" s="412">
        <v>6636.9</v>
      </c>
      <c r="Q105" s="412">
        <f>O105-P105</f>
        <v>23363.1</v>
      </c>
      <c r="R105" s="412">
        <v>20333.28</v>
      </c>
      <c r="S105" s="414" t="s">
        <v>423</v>
      </c>
      <c r="T105" s="432">
        <f>P105 +25000</f>
        <v>31636.9</v>
      </c>
      <c r="U105" s="416">
        <f t="shared" si="3"/>
        <v>-1636.9000000000015</v>
      </c>
      <c r="V105" s="432">
        <v>30000</v>
      </c>
      <c r="W105" s="310">
        <v>0</v>
      </c>
      <c r="X105" s="412">
        <v>30000</v>
      </c>
      <c r="Y105" s="412">
        <v>30000</v>
      </c>
    </row>
    <row r="106" spans="4:25" ht="27" customHeight="1">
      <c r="D106" s="353">
        <v>656430012</v>
      </c>
      <c r="E106" s="353" t="s">
        <v>254</v>
      </c>
      <c r="F106" s="411">
        <v>656</v>
      </c>
      <c r="G106" s="412" t="s">
        <v>149</v>
      </c>
      <c r="H106" s="411">
        <v>122</v>
      </c>
      <c r="I106" s="411">
        <v>212</v>
      </c>
      <c r="J106" s="412" t="s">
        <v>184</v>
      </c>
      <c r="K106" s="412" t="s">
        <v>185</v>
      </c>
      <c r="L106" s="413" t="s">
        <v>186</v>
      </c>
      <c r="M106" s="412" t="s">
        <v>229</v>
      </c>
      <c r="N106" s="412" t="s">
        <v>230</v>
      </c>
      <c r="O106" s="412">
        <v>3000</v>
      </c>
      <c r="P106" s="412">
        <v>0</v>
      </c>
      <c r="Q106" s="412">
        <f>O106-P106</f>
        <v>3000</v>
      </c>
      <c r="R106" s="412">
        <v>3000</v>
      </c>
      <c r="S106" s="414" t="s">
        <v>252</v>
      </c>
      <c r="T106" s="415">
        <v>3000</v>
      </c>
      <c r="U106" s="416">
        <f t="shared" si="3"/>
        <v>0</v>
      </c>
      <c r="V106" s="432">
        <v>3000</v>
      </c>
      <c r="W106" s="310">
        <f>U106</f>
        <v>0</v>
      </c>
      <c r="X106" s="412"/>
      <c r="Y106" s="412"/>
    </row>
    <row r="107" spans="4:25" ht="39.6" customHeight="1">
      <c r="D107" s="353">
        <v>656430012</v>
      </c>
      <c r="E107" s="353" t="s">
        <v>254</v>
      </c>
      <c r="F107" s="411">
        <v>656</v>
      </c>
      <c r="G107" s="412" t="s">
        <v>149</v>
      </c>
      <c r="H107" s="411">
        <v>122</v>
      </c>
      <c r="I107" s="411">
        <v>214</v>
      </c>
      <c r="J107" s="412" t="s">
        <v>184</v>
      </c>
      <c r="K107" s="412" t="s">
        <v>185</v>
      </c>
      <c r="L107" s="413" t="s">
        <v>186</v>
      </c>
      <c r="M107" s="412" t="s">
        <v>229</v>
      </c>
      <c r="N107" s="412" t="s">
        <v>230</v>
      </c>
      <c r="O107" s="412">
        <v>100000</v>
      </c>
      <c r="P107" s="412">
        <v>0</v>
      </c>
      <c r="Q107" s="412">
        <v>150000</v>
      </c>
      <c r="R107" s="412">
        <v>0</v>
      </c>
      <c r="S107" s="414" t="s">
        <v>284</v>
      </c>
      <c r="T107" s="415">
        <v>16000</v>
      </c>
      <c r="U107" s="416">
        <f t="shared" si="3"/>
        <v>84000</v>
      </c>
      <c r="V107" s="432">
        <v>100000</v>
      </c>
      <c r="W107" s="310">
        <v>0</v>
      </c>
      <c r="X107" s="412"/>
      <c r="Y107" s="412"/>
    </row>
    <row r="108" spans="4:25" ht="19.2" customHeight="1">
      <c r="D108" s="353">
        <v>656430012</v>
      </c>
      <c r="E108" s="353" t="s">
        <v>254</v>
      </c>
      <c r="F108" s="411">
        <v>656</v>
      </c>
      <c r="G108" s="412" t="s">
        <v>149</v>
      </c>
      <c r="H108" s="411">
        <v>122</v>
      </c>
      <c r="I108" s="411">
        <v>226</v>
      </c>
      <c r="J108" s="412" t="s">
        <v>184</v>
      </c>
      <c r="K108" s="412" t="s">
        <v>185</v>
      </c>
      <c r="L108" s="413" t="s">
        <v>186</v>
      </c>
      <c r="M108" s="412" t="s">
        <v>229</v>
      </c>
      <c r="N108" s="412" t="s">
        <v>230</v>
      </c>
      <c r="O108" s="412">
        <v>3000</v>
      </c>
      <c r="P108" s="412">
        <v>0</v>
      </c>
      <c r="Q108" s="412">
        <f>O108-P108</f>
        <v>3000</v>
      </c>
      <c r="R108" s="412">
        <v>3000</v>
      </c>
      <c r="S108" s="414" t="s">
        <v>253</v>
      </c>
      <c r="T108" s="415">
        <v>3000</v>
      </c>
      <c r="U108" s="416">
        <f t="shared" si="3"/>
        <v>0</v>
      </c>
      <c r="V108" s="432">
        <v>3000</v>
      </c>
      <c r="W108" s="310">
        <f>U108</f>
        <v>0</v>
      </c>
      <c r="X108" s="412"/>
      <c r="Y108" s="412"/>
    </row>
    <row r="109" spans="4:25" ht="51" customHeight="1">
      <c r="D109" s="353">
        <v>656430012</v>
      </c>
      <c r="E109" s="353" t="s">
        <v>254</v>
      </c>
      <c r="F109" s="411">
        <v>656</v>
      </c>
      <c r="G109" s="412" t="s">
        <v>149</v>
      </c>
      <c r="H109" s="411">
        <v>122</v>
      </c>
      <c r="I109" s="411">
        <v>267</v>
      </c>
      <c r="J109" s="412" t="s">
        <v>184</v>
      </c>
      <c r="K109" s="412" t="s">
        <v>185</v>
      </c>
      <c r="L109" s="413" t="s">
        <v>186</v>
      </c>
      <c r="M109" s="412" t="s">
        <v>229</v>
      </c>
      <c r="N109" s="412" t="s">
        <v>230</v>
      </c>
      <c r="O109" s="412">
        <v>40000</v>
      </c>
      <c r="P109" s="412">
        <v>0</v>
      </c>
      <c r="Q109" s="412">
        <f>O109-P109</f>
        <v>40000</v>
      </c>
      <c r="R109" s="412">
        <v>40000</v>
      </c>
      <c r="S109" s="414" t="s">
        <v>424</v>
      </c>
      <c r="T109" s="415">
        <v>80000</v>
      </c>
      <c r="U109" s="416">
        <f t="shared" si="3"/>
        <v>-40000</v>
      </c>
      <c r="V109" s="432">
        <v>280000</v>
      </c>
      <c r="W109" s="310">
        <f>O109-V109</f>
        <v>-240000</v>
      </c>
      <c r="X109" s="412"/>
      <c r="Y109" s="412"/>
    </row>
    <row r="110" spans="4:25" ht="19.95" customHeight="1">
      <c r="D110" s="353">
        <v>656430012</v>
      </c>
      <c r="E110" s="353" t="s">
        <v>254</v>
      </c>
      <c r="F110" s="411">
        <v>656</v>
      </c>
      <c r="G110" s="412" t="s">
        <v>149</v>
      </c>
      <c r="H110" s="411">
        <v>129</v>
      </c>
      <c r="I110" s="411">
        <v>213</v>
      </c>
      <c r="J110" s="412" t="s">
        <v>184</v>
      </c>
      <c r="K110" s="412" t="s">
        <v>185</v>
      </c>
      <c r="L110" s="413" t="s">
        <v>186</v>
      </c>
      <c r="M110" s="412" t="s">
        <v>229</v>
      </c>
      <c r="N110" s="412" t="s">
        <v>230</v>
      </c>
      <c r="O110" s="412">
        <v>1251116.0900000001</v>
      </c>
      <c r="P110" s="433">
        <v>97328.09</v>
      </c>
      <c r="Q110" s="412">
        <f>O110-P110</f>
        <v>1153788</v>
      </c>
      <c r="R110" s="412">
        <f>O110</f>
        <v>1251116.0900000001</v>
      </c>
      <c r="S110" s="414" t="s">
        <v>425</v>
      </c>
      <c r="T110" s="415">
        <f>T104*30.2%</f>
        <v>1251116.0870000001</v>
      </c>
      <c r="U110" s="416">
        <f t="shared" si="3"/>
        <v>3.0000000260770321E-3</v>
      </c>
      <c r="V110" s="432">
        <v>1251116.0900000001</v>
      </c>
      <c r="W110" s="310">
        <v>0</v>
      </c>
      <c r="X110" s="412">
        <v>1251116.0870000001</v>
      </c>
      <c r="Y110" s="412">
        <v>1251116.0870000001</v>
      </c>
    </row>
    <row r="111" spans="4:25" ht="21.6" customHeight="1">
      <c r="D111" s="353"/>
      <c r="E111" s="353"/>
      <c r="F111" s="411"/>
      <c r="G111" s="412">
        <f>SUM(O104:O110)</f>
        <v>5569884.5899999999</v>
      </c>
      <c r="H111" s="411"/>
      <c r="I111" s="411"/>
      <c r="J111" s="412"/>
      <c r="K111" s="412"/>
      <c r="L111" s="412">
        <f>SUM(X104:X110)</f>
        <v>5423884.5870000003</v>
      </c>
      <c r="M111" s="412">
        <f>SUM(Y104:Y110)</f>
        <v>5423884.5870000003</v>
      </c>
      <c r="N111" s="412"/>
      <c r="O111" s="412"/>
      <c r="P111" s="412"/>
      <c r="Q111" s="412"/>
      <c r="R111" s="412"/>
      <c r="S111" s="414"/>
      <c r="T111" s="415"/>
      <c r="U111" s="416"/>
      <c r="V111" s="432"/>
      <c r="W111" s="310"/>
      <c r="X111" s="412"/>
      <c r="Y111" s="412"/>
    </row>
    <row r="112" spans="4:25" ht="19.95" customHeight="1">
      <c r="D112" s="353">
        <v>656430013</v>
      </c>
      <c r="E112" s="353" t="s">
        <v>254</v>
      </c>
      <c r="F112" s="411">
        <v>656</v>
      </c>
      <c r="G112" s="412" t="s">
        <v>149</v>
      </c>
      <c r="H112" s="411">
        <v>121</v>
      </c>
      <c r="I112" s="411">
        <v>211</v>
      </c>
      <c r="J112" s="412" t="s">
        <v>184</v>
      </c>
      <c r="K112" s="412" t="s">
        <v>185</v>
      </c>
      <c r="L112" s="413" t="s">
        <v>186</v>
      </c>
      <c r="M112" s="412" t="s">
        <v>229</v>
      </c>
      <c r="N112" s="412" t="s">
        <v>230</v>
      </c>
      <c r="O112" s="412">
        <f>36457.53*17.5</f>
        <v>638006.77500000002</v>
      </c>
      <c r="P112" s="412">
        <v>43134.79</v>
      </c>
      <c r="Q112" s="412">
        <f>O112-P112</f>
        <v>594871.98499999999</v>
      </c>
      <c r="R112" s="412">
        <f>O112</f>
        <v>638006.77500000002</v>
      </c>
      <c r="S112" s="414" t="s">
        <v>286</v>
      </c>
      <c r="T112" s="415">
        <f>O112</f>
        <v>638006.77500000002</v>
      </c>
      <c r="U112" s="416">
        <v>45000</v>
      </c>
      <c r="V112" s="434">
        <v>638006.77500000002</v>
      </c>
      <c r="W112" s="310">
        <v>0</v>
      </c>
      <c r="X112" s="412">
        <v>638006.77500000002</v>
      </c>
      <c r="Y112" s="412">
        <v>638006.77500000002</v>
      </c>
    </row>
    <row r="113" spans="4:25" ht="25.95" customHeight="1">
      <c r="D113" s="353">
        <v>656430013</v>
      </c>
      <c r="E113" s="353" t="s">
        <v>254</v>
      </c>
      <c r="F113" s="411">
        <v>656</v>
      </c>
      <c r="G113" s="412" t="s">
        <v>149</v>
      </c>
      <c r="H113" s="411">
        <v>129</v>
      </c>
      <c r="I113" s="411">
        <v>213</v>
      </c>
      <c r="J113" s="412" t="s">
        <v>184</v>
      </c>
      <c r="K113" s="412" t="s">
        <v>185</v>
      </c>
      <c r="L113" s="413" t="s">
        <v>186</v>
      </c>
      <c r="M113" s="412" t="s">
        <v>229</v>
      </c>
      <c r="N113" s="412" t="s">
        <v>230</v>
      </c>
      <c r="O113" s="412">
        <v>192678.05</v>
      </c>
      <c r="P113" s="412">
        <v>9150.84</v>
      </c>
      <c r="Q113" s="412">
        <f>O113-P113</f>
        <v>183527.21</v>
      </c>
      <c r="R113" s="412">
        <f>O113</f>
        <v>192678.05</v>
      </c>
      <c r="S113" s="414" t="s">
        <v>426</v>
      </c>
      <c r="T113" s="415">
        <f>T112*30.2%</f>
        <v>192678.04605</v>
      </c>
      <c r="U113" s="416">
        <v>-16000</v>
      </c>
      <c r="V113" s="434">
        <v>192678.05</v>
      </c>
      <c r="W113" s="310">
        <v>0</v>
      </c>
      <c r="X113" s="412">
        <v>192678.04605</v>
      </c>
      <c r="Y113" s="412">
        <v>192678.04605</v>
      </c>
    </row>
    <row r="114" spans="4:25" ht="19.95" customHeight="1">
      <c r="D114" s="353"/>
      <c r="E114" s="353"/>
      <c r="F114" s="411"/>
      <c r="G114" s="412">
        <f>SUM(O112:O113)</f>
        <v>830684.82499999995</v>
      </c>
      <c r="H114" s="411"/>
      <c r="I114" s="411"/>
      <c r="J114" s="412"/>
      <c r="K114" s="412"/>
      <c r="L114" s="412">
        <f>SUM(X112:X113)</f>
        <v>830684.82105000003</v>
      </c>
      <c r="M114" s="412">
        <f>SUM(Y112:Y113)</f>
        <v>830684.82105000003</v>
      </c>
      <c r="N114" s="412"/>
      <c r="O114" s="412"/>
      <c r="P114" s="412"/>
      <c r="Q114" s="412"/>
      <c r="R114" s="412"/>
      <c r="S114" s="414"/>
      <c r="T114" s="415"/>
      <c r="U114" s="416"/>
      <c r="V114" s="434"/>
      <c r="W114" s="310"/>
      <c r="X114" s="412"/>
      <c r="Y114" s="412"/>
    </row>
    <row r="115" spans="4:25" ht="39" customHeight="1">
      <c r="D115" s="353">
        <v>656430014</v>
      </c>
      <c r="E115" s="353" t="s">
        <v>254</v>
      </c>
      <c r="F115" s="411">
        <v>656</v>
      </c>
      <c r="G115" s="412" t="s">
        <v>150</v>
      </c>
      <c r="H115" s="411">
        <v>540</v>
      </c>
      <c r="I115" s="411">
        <v>251</v>
      </c>
      <c r="J115" s="412" t="s">
        <v>184</v>
      </c>
      <c r="K115" s="412" t="s">
        <v>185</v>
      </c>
      <c r="L115" s="413" t="s">
        <v>186</v>
      </c>
      <c r="M115" s="412" t="s">
        <v>229</v>
      </c>
      <c r="N115" s="412" t="s">
        <v>230</v>
      </c>
      <c r="O115" s="412">
        <v>178100</v>
      </c>
      <c r="P115" s="412">
        <v>102200</v>
      </c>
      <c r="Q115" s="412">
        <f>O115-P115</f>
        <v>75900</v>
      </c>
      <c r="R115" s="412">
        <f>P115</f>
        <v>102200</v>
      </c>
      <c r="S115" s="414" t="s">
        <v>427</v>
      </c>
      <c r="T115" s="415">
        <f>O115</f>
        <v>178100</v>
      </c>
      <c r="U115" s="416">
        <f>O115-T115</f>
        <v>0</v>
      </c>
      <c r="V115" s="415"/>
      <c r="W115" s="310">
        <f>U115</f>
        <v>0</v>
      </c>
      <c r="X115" s="412">
        <v>0</v>
      </c>
      <c r="Y115" s="412">
        <v>0</v>
      </c>
    </row>
    <row r="116" spans="4:25" ht="18.600000000000001" customHeight="1">
      <c r="D116" s="353"/>
      <c r="E116" s="353"/>
      <c r="F116" s="411"/>
      <c r="G116" s="412">
        <f>O115</f>
        <v>178100</v>
      </c>
      <c r="H116" s="411"/>
      <c r="I116" s="411"/>
      <c r="J116" s="412"/>
      <c r="K116" s="412"/>
      <c r="L116" s="412">
        <f>X115</f>
        <v>0</v>
      </c>
      <c r="M116" s="412">
        <f>Y115</f>
        <v>0</v>
      </c>
      <c r="N116" s="412"/>
      <c r="O116" s="412"/>
      <c r="P116" s="412"/>
      <c r="Q116" s="412"/>
      <c r="R116" s="412"/>
      <c r="S116" s="414"/>
      <c r="T116" s="415"/>
      <c r="U116" s="416"/>
      <c r="V116" s="415"/>
      <c r="W116" s="310"/>
      <c r="X116" s="412"/>
      <c r="Y116" s="412"/>
    </row>
    <row r="117" spans="4:25" ht="82.8" customHeight="1">
      <c r="D117" s="353">
        <v>656430015</v>
      </c>
      <c r="E117" s="353" t="s">
        <v>191</v>
      </c>
      <c r="F117" s="411">
        <v>656</v>
      </c>
      <c r="G117" s="412" t="s">
        <v>152</v>
      </c>
      <c r="H117" s="411">
        <v>244</v>
      </c>
      <c r="I117" s="411">
        <v>226</v>
      </c>
      <c r="J117" s="412" t="s">
        <v>184</v>
      </c>
      <c r="K117" s="412" t="s">
        <v>185</v>
      </c>
      <c r="L117" s="413" t="s">
        <v>186</v>
      </c>
      <c r="M117" s="412" t="s">
        <v>229</v>
      </c>
      <c r="N117" s="412" t="s">
        <v>230</v>
      </c>
      <c r="O117" s="412">
        <v>422164</v>
      </c>
      <c r="P117" s="412">
        <v>82320</v>
      </c>
      <c r="Q117" s="412">
        <f>O117-P117</f>
        <v>339844</v>
      </c>
      <c r="R117" s="412">
        <v>100728</v>
      </c>
      <c r="S117" s="414" t="s">
        <v>428</v>
      </c>
      <c r="T117" s="415">
        <f>P117+57600+15000-2444.18-45.95</f>
        <v>152429.87</v>
      </c>
      <c r="U117" s="416">
        <f>O117-T117</f>
        <v>269734.13</v>
      </c>
      <c r="V117" s="432">
        <f>422164+362031.86+6805.4</f>
        <v>791001.26</v>
      </c>
      <c r="W117" s="310">
        <f>O117-V117</f>
        <v>-368837.26</v>
      </c>
      <c r="X117" s="412">
        <f>300-0.4</f>
        <v>299.60000000000002</v>
      </c>
      <c r="Y117" s="412">
        <f>300-0.5</f>
        <v>299.5</v>
      </c>
    </row>
    <row r="118" spans="4:25" ht="22.95" customHeight="1">
      <c r="D118" s="353"/>
      <c r="E118" s="353"/>
      <c r="F118" s="411"/>
      <c r="G118" s="412">
        <f>SUM(O117)</f>
        <v>422164</v>
      </c>
      <c r="H118" s="411"/>
      <c r="I118" s="411"/>
      <c r="J118" s="412"/>
      <c r="K118" s="412"/>
      <c r="L118" s="412">
        <f>X117</f>
        <v>299.60000000000002</v>
      </c>
      <c r="M118" s="412">
        <f>Y117</f>
        <v>299.5</v>
      </c>
      <c r="N118" s="412"/>
      <c r="O118" s="412"/>
      <c r="P118" s="412"/>
      <c r="Q118" s="412"/>
      <c r="R118" s="412"/>
      <c r="S118" s="414"/>
      <c r="T118" s="415"/>
      <c r="U118" s="416"/>
      <c r="V118" s="432"/>
      <c r="W118" s="310"/>
      <c r="X118" s="412"/>
      <c r="Y118" s="412"/>
    </row>
    <row r="119" spans="4:25" ht="19.95" customHeight="1">
      <c r="D119" s="353">
        <v>656430014</v>
      </c>
      <c r="E119" s="353" t="s">
        <v>191</v>
      </c>
      <c r="F119" s="411">
        <v>656</v>
      </c>
      <c r="G119" s="412" t="s">
        <v>152</v>
      </c>
      <c r="H119" s="411">
        <v>853</v>
      </c>
      <c r="I119" s="411">
        <v>297</v>
      </c>
      <c r="J119" s="412" t="s">
        <v>184</v>
      </c>
      <c r="K119" s="412" t="s">
        <v>185</v>
      </c>
      <c r="L119" s="413" t="s">
        <v>186</v>
      </c>
      <c r="M119" s="412" t="s">
        <v>229</v>
      </c>
      <c r="N119" s="412" t="s">
        <v>230</v>
      </c>
      <c r="O119" s="412">
        <v>15000</v>
      </c>
      <c r="P119" s="412">
        <v>0</v>
      </c>
      <c r="Q119" s="412">
        <f>O119-P119</f>
        <v>15000</v>
      </c>
      <c r="R119" s="412">
        <v>0</v>
      </c>
      <c r="S119" s="414" t="s">
        <v>255</v>
      </c>
      <c r="T119" s="415">
        <v>15000</v>
      </c>
      <c r="U119" s="416">
        <f>O119-T119</f>
        <v>0</v>
      </c>
      <c r="V119" s="415">
        <v>15000</v>
      </c>
      <c r="W119" s="310">
        <f>U119</f>
        <v>0</v>
      </c>
      <c r="X119" s="412">
        <v>15000</v>
      </c>
      <c r="Y119" s="412">
        <v>15000</v>
      </c>
    </row>
    <row r="120" spans="4:25" ht="19.95" customHeight="1">
      <c r="D120" s="353"/>
      <c r="E120" s="353"/>
      <c r="F120" s="411"/>
      <c r="G120" s="412">
        <v>15000</v>
      </c>
      <c r="H120" s="411"/>
      <c r="I120" s="411"/>
      <c r="J120" s="412"/>
      <c r="K120" s="412"/>
      <c r="L120" s="412">
        <v>15000</v>
      </c>
      <c r="M120" s="412">
        <v>15000</v>
      </c>
      <c r="N120" s="412"/>
      <c r="O120" s="412"/>
      <c r="P120" s="412"/>
      <c r="Q120" s="412"/>
      <c r="R120" s="412"/>
      <c r="S120" s="414"/>
      <c r="T120" s="415"/>
      <c r="U120" s="416"/>
      <c r="V120" s="415"/>
      <c r="W120" s="310"/>
      <c r="X120" s="412"/>
      <c r="Y120" s="412"/>
    </row>
    <row r="121" spans="4:25" ht="26.4" customHeight="1">
      <c r="D121" s="353">
        <v>656430016</v>
      </c>
      <c r="E121" s="353" t="s">
        <v>256</v>
      </c>
      <c r="F121" s="411">
        <v>656</v>
      </c>
      <c r="G121" s="412" t="s">
        <v>151</v>
      </c>
      <c r="H121" s="411">
        <v>121</v>
      </c>
      <c r="I121" s="411">
        <v>211</v>
      </c>
      <c r="J121" s="412" t="s">
        <v>184</v>
      </c>
      <c r="K121" s="412" t="s">
        <v>185</v>
      </c>
      <c r="L121" s="413" t="s">
        <v>257</v>
      </c>
      <c r="M121" s="412" t="s">
        <v>258</v>
      </c>
      <c r="N121" s="412" t="s">
        <v>259</v>
      </c>
      <c r="O121" s="412">
        <f>12*29957.4/2</f>
        <v>179744.40000000002</v>
      </c>
      <c r="P121" s="412">
        <v>21541.47</v>
      </c>
      <c r="Q121" s="412">
        <f>O121-P121</f>
        <v>158202.93000000002</v>
      </c>
      <c r="R121" s="412">
        <f>O121</f>
        <v>179744.40000000002</v>
      </c>
      <c r="S121" s="414" t="s">
        <v>283</v>
      </c>
      <c r="T121" s="415">
        <f>O121</f>
        <v>179744.40000000002</v>
      </c>
      <c r="U121" s="416">
        <f>O121-T121</f>
        <v>0</v>
      </c>
      <c r="V121" s="415">
        <v>179744.40000000002</v>
      </c>
      <c r="W121" s="310">
        <f>U121</f>
        <v>0</v>
      </c>
      <c r="X121" s="412">
        <v>179744.40000000002</v>
      </c>
      <c r="Y121" s="412">
        <v>179744.40000000002</v>
      </c>
    </row>
    <row r="122" spans="4:25" ht="31.95" customHeight="1">
      <c r="D122" s="353">
        <v>656430016</v>
      </c>
      <c r="E122" s="353" t="s">
        <v>256</v>
      </c>
      <c r="F122" s="411">
        <v>656</v>
      </c>
      <c r="G122" s="412" t="s">
        <v>151</v>
      </c>
      <c r="H122" s="411">
        <v>121</v>
      </c>
      <c r="I122" s="411">
        <v>266</v>
      </c>
      <c r="J122" s="412" t="s">
        <v>184</v>
      </c>
      <c r="K122" s="412" t="s">
        <v>185</v>
      </c>
      <c r="L122" s="413" t="s">
        <v>257</v>
      </c>
      <c r="M122" s="412" t="s">
        <v>258</v>
      </c>
      <c r="N122" s="412" t="s">
        <v>259</v>
      </c>
      <c r="O122" s="412">
        <v>10000</v>
      </c>
      <c r="P122" s="412">
        <v>0</v>
      </c>
      <c r="Q122" s="412">
        <f>O122-P122</f>
        <v>10000</v>
      </c>
      <c r="R122" s="412">
        <f>P122</f>
        <v>0</v>
      </c>
      <c r="S122" s="414" t="s">
        <v>282</v>
      </c>
      <c r="T122" s="415">
        <f>O122</f>
        <v>10000</v>
      </c>
      <c r="U122" s="416">
        <f>O122-T122</f>
        <v>0</v>
      </c>
      <c r="V122" s="415">
        <v>10000</v>
      </c>
      <c r="W122" s="310">
        <f>U122</f>
        <v>0</v>
      </c>
      <c r="X122" s="412">
        <v>10000</v>
      </c>
      <c r="Y122" s="412">
        <v>10000</v>
      </c>
    </row>
    <row r="123" spans="4:25" ht="31.95" customHeight="1">
      <c r="D123" s="353">
        <v>656430016</v>
      </c>
      <c r="E123" s="353" t="s">
        <v>256</v>
      </c>
      <c r="F123" s="411">
        <v>656</v>
      </c>
      <c r="G123" s="412" t="s">
        <v>151</v>
      </c>
      <c r="H123" s="411">
        <v>129</v>
      </c>
      <c r="I123" s="411">
        <v>213</v>
      </c>
      <c r="J123" s="412" t="s">
        <v>184</v>
      </c>
      <c r="K123" s="412" t="s">
        <v>185</v>
      </c>
      <c r="L123" s="413" t="s">
        <v>257</v>
      </c>
      <c r="M123" s="412" t="s">
        <v>258</v>
      </c>
      <c r="N123" s="412" t="s">
        <v>259</v>
      </c>
      <c r="O123" s="412">
        <v>54282.81</v>
      </c>
      <c r="P123" s="412">
        <v>4391.1000000000004</v>
      </c>
      <c r="Q123" s="412">
        <f>O123-P123</f>
        <v>49891.71</v>
      </c>
      <c r="R123" s="412">
        <f>O123</f>
        <v>54282.81</v>
      </c>
      <c r="S123" s="414" t="s">
        <v>260</v>
      </c>
      <c r="T123" s="415">
        <f>O123</f>
        <v>54282.81</v>
      </c>
      <c r="U123" s="416">
        <f>O123-T123</f>
        <v>0</v>
      </c>
      <c r="V123" s="415">
        <v>54282.81</v>
      </c>
      <c r="W123" s="310">
        <f>U123</f>
        <v>0</v>
      </c>
      <c r="X123" s="412">
        <v>54282.808800000006</v>
      </c>
      <c r="Y123" s="412">
        <v>54282.808800000006</v>
      </c>
    </row>
    <row r="124" spans="4:25" ht="31.95" customHeight="1">
      <c r="D124" s="353"/>
      <c r="E124" s="353"/>
      <c r="F124" s="411"/>
      <c r="G124" s="412">
        <f>SUM(O121:O123)</f>
        <v>244027.21000000002</v>
      </c>
      <c r="H124" s="411"/>
      <c r="I124" s="411"/>
      <c r="J124" s="412"/>
      <c r="K124" s="412"/>
      <c r="L124" s="412">
        <f>SUM(X121:X123)</f>
        <v>244027.20880000002</v>
      </c>
      <c r="M124" s="412">
        <f>SUM(Y121:Y123)</f>
        <v>244027.20880000002</v>
      </c>
      <c r="N124" s="412"/>
      <c r="O124" s="412"/>
      <c r="P124" s="412"/>
      <c r="Q124" s="412"/>
      <c r="R124" s="412"/>
      <c r="S124" s="414"/>
      <c r="T124" s="415"/>
      <c r="U124" s="416"/>
      <c r="V124" s="415"/>
      <c r="W124" s="310"/>
      <c r="X124" s="412"/>
      <c r="Y124" s="412"/>
    </row>
    <row r="125" spans="4:25" ht="21" customHeight="1">
      <c r="D125" s="353">
        <v>656430016</v>
      </c>
      <c r="E125" s="353" t="s">
        <v>256</v>
      </c>
      <c r="F125" s="411">
        <v>656</v>
      </c>
      <c r="G125" s="412" t="s">
        <v>151</v>
      </c>
      <c r="H125" s="411">
        <v>244</v>
      </c>
      <c r="I125" s="411">
        <v>346</v>
      </c>
      <c r="J125" s="412" t="s">
        <v>184</v>
      </c>
      <c r="K125" s="412" t="s">
        <v>185</v>
      </c>
      <c r="L125" s="413" t="s">
        <v>257</v>
      </c>
      <c r="M125" s="412" t="s">
        <v>258</v>
      </c>
      <c r="N125" s="412" t="s">
        <v>259</v>
      </c>
      <c r="O125" s="412">
        <v>2872.79</v>
      </c>
      <c r="P125" s="412">
        <v>0</v>
      </c>
      <c r="Q125" s="412">
        <f>O125-P125</f>
        <v>2872.79</v>
      </c>
      <c r="R125" s="412">
        <v>0</v>
      </c>
      <c r="S125" s="414" t="s">
        <v>261</v>
      </c>
      <c r="T125" s="415">
        <f>O125</f>
        <v>2872.79</v>
      </c>
      <c r="U125" s="416">
        <f>O125-T125</f>
        <v>0</v>
      </c>
      <c r="V125" s="415">
        <v>2872.79</v>
      </c>
      <c r="W125" s="310">
        <f>U125</f>
        <v>0</v>
      </c>
      <c r="X125" s="412">
        <v>11172.79</v>
      </c>
      <c r="Y125" s="412">
        <v>20172.79</v>
      </c>
    </row>
    <row r="126" spans="4:25" ht="21" customHeight="1">
      <c r="D126" s="353"/>
      <c r="E126" s="353"/>
      <c r="F126" s="411"/>
      <c r="G126" s="412">
        <f>O125</f>
        <v>2872.79</v>
      </c>
      <c r="H126" s="411"/>
      <c r="I126" s="411"/>
      <c r="J126" s="412"/>
      <c r="K126" s="412"/>
      <c r="L126" s="412">
        <f>X125</f>
        <v>11172.79</v>
      </c>
      <c r="M126" s="412">
        <f>Y125</f>
        <v>20172.79</v>
      </c>
      <c r="N126" s="412"/>
      <c r="O126" s="412"/>
      <c r="P126" s="412"/>
      <c r="Q126" s="412"/>
      <c r="R126" s="412"/>
      <c r="S126" s="414"/>
      <c r="T126" s="415"/>
      <c r="U126" s="416"/>
      <c r="V126" s="415"/>
      <c r="W126" s="310"/>
      <c r="X126" s="412"/>
      <c r="Y126" s="412"/>
    </row>
    <row r="127" spans="4:25" ht="21" customHeight="1">
      <c r="D127" s="353" t="s">
        <v>76</v>
      </c>
      <c r="E127" s="353"/>
      <c r="F127" s="411"/>
      <c r="G127" s="412">
        <f>G126+G124</f>
        <v>246900.00000000003</v>
      </c>
      <c r="H127" s="411"/>
      <c r="I127" s="411"/>
      <c r="J127" s="412"/>
      <c r="K127" s="412"/>
      <c r="L127" s="412">
        <f>L126+L124</f>
        <v>255199.99880000003</v>
      </c>
      <c r="M127" s="412">
        <f>M126+M124</f>
        <v>264199.9988</v>
      </c>
      <c r="N127" s="412"/>
      <c r="O127" s="412"/>
      <c r="P127" s="412"/>
      <c r="Q127" s="412"/>
      <c r="R127" s="412"/>
      <c r="S127" s="414"/>
      <c r="T127" s="415"/>
      <c r="U127" s="416"/>
      <c r="V127" s="415"/>
      <c r="W127" s="310"/>
      <c r="X127" s="412"/>
      <c r="Y127" s="412"/>
    </row>
    <row r="128" spans="4:25" ht="21" customHeight="1">
      <c r="D128" s="353">
        <v>656430017</v>
      </c>
      <c r="E128" s="353" t="s">
        <v>262</v>
      </c>
      <c r="F128" s="411">
        <v>656</v>
      </c>
      <c r="G128" s="412" t="s">
        <v>154</v>
      </c>
      <c r="H128" s="411">
        <v>244</v>
      </c>
      <c r="I128" s="411">
        <v>346</v>
      </c>
      <c r="J128" s="412" t="s">
        <v>184</v>
      </c>
      <c r="K128" s="412" t="s">
        <v>185</v>
      </c>
      <c r="L128" s="413" t="s">
        <v>263</v>
      </c>
      <c r="M128" s="412" t="s">
        <v>264</v>
      </c>
      <c r="N128" s="412" t="s">
        <v>259</v>
      </c>
      <c r="O128" s="412">
        <v>3000</v>
      </c>
      <c r="P128" s="412">
        <v>0</v>
      </c>
      <c r="Q128" s="412">
        <f>O128-P128</f>
        <v>3000</v>
      </c>
      <c r="R128" s="412">
        <v>0</v>
      </c>
      <c r="S128" s="414" t="s">
        <v>261</v>
      </c>
      <c r="T128" s="415">
        <f>O128</f>
        <v>3000</v>
      </c>
      <c r="U128" s="416">
        <f>O128-T128</f>
        <v>0</v>
      </c>
      <c r="V128" s="415">
        <v>3000</v>
      </c>
      <c r="W128" s="310">
        <f>U128</f>
        <v>0</v>
      </c>
      <c r="X128" s="412">
        <v>3000</v>
      </c>
      <c r="Y128" s="412">
        <v>3000</v>
      </c>
    </row>
    <row r="129" spans="4:26" ht="21" customHeight="1">
      <c r="D129" s="353"/>
      <c r="E129" s="353"/>
      <c r="F129" s="411"/>
      <c r="G129" s="412">
        <f>O128</f>
        <v>3000</v>
      </c>
      <c r="H129" s="411"/>
      <c r="I129" s="411"/>
      <c r="J129" s="412"/>
      <c r="K129" s="412"/>
      <c r="L129" s="412">
        <f>X128</f>
        <v>3000</v>
      </c>
      <c r="M129" s="412">
        <f>Y128</f>
        <v>3000</v>
      </c>
      <c r="N129" s="412"/>
      <c r="O129" s="412"/>
      <c r="P129" s="412"/>
      <c r="Q129" s="412"/>
      <c r="R129" s="412"/>
      <c r="S129" s="414"/>
      <c r="T129" s="415"/>
      <c r="U129" s="416"/>
      <c r="V129" s="415"/>
      <c r="W129" s="310"/>
      <c r="X129" s="412"/>
      <c r="Y129" s="412"/>
    </row>
    <row r="130" spans="4:26" ht="21" customHeight="1">
      <c r="D130" s="353">
        <v>656430017</v>
      </c>
      <c r="E130" s="353" t="s">
        <v>262</v>
      </c>
      <c r="F130" s="411">
        <v>656</v>
      </c>
      <c r="G130" s="412" t="s">
        <v>153</v>
      </c>
      <c r="H130" s="411">
        <v>244</v>
      </c>
      <c r="I130" s="411">
        <v>346</v>
      </c>
      <c r="J130" s="412" t="s">
        <v>184</v>
      </c>
      <c r="K130" s="412" t="s">
        <v>185</v>
      </c>
      <c r="L130" s="413" t="s">
        <v>206</v>
      </c>
      <c r="M130" s="412" t="s">
        <v>264</v>
      </c>
      <c r="N130" s="412" t="s">
        <v>259</v>
      </c>
      <c r="O130" s="412">
        <v>900</v>
      </c>
      <c r="P130" s="412">
        <v>0</v>
      </c>
      <c r="Q130" s="412">
        <f>O130-P130</f>
        <v>900</v>
      </c>
      <c r="R130" s="412">
        <v>0</v>
      </c>
      <c r="S130" s="414" t="s">
        <v>261</v>
      </c>
      <c r="T130" s="415">
        <f>Q130</f>
        <v>900</v>
      </c>
      <c r="U130" s="416">
        <f>O130-T130</f>
        <v>0</v>
      </c>
      <c r="V130" s="415">
        <v>900</v>
      </c>
      <c r="W130" s="310">
        <f>U130</f>
        <v>0</v>
      </c>
      <c r="X130" s="412">
        <v>900</v>
      </c>
      <c r="Y130" s="412">
        <v>900</v>
      </c>
    </row>
    <row r="131" spans="4:26" ht="21" customHeight="1">
      <c r="D131" s="353"/>
      <c r="E131" s="353"/>
      <c r="F131" s="411"/>
      <c r="G131" s="412">
        <f>O130</f>
        <v>900</v>
      </c>
      <c r="H131" s="411"/>
      <c r="I131" s="411"/>
      <c r="J131" s="412"/>
      <c r="K131" s="412"/>
      <c r="L131" s="412">
        <f>X130</f>
        <v>900</v>
      </c>
      <c r="M131" s="412">
        <f>Y130</f>
        <v>900</v>
      </c>
      <c r="N131" s="412"/>
      <c r="O131" s="412"/>
      <c r="P131" s="412"/>
      <c r="Q131" s="412"/>
      <c r="R131" s="412"/>
      <c r="S131" s="414"/>
      <c r="T131" s="415"/>
      <c r="U131" s="416"/>
      <c r="V131" s="415"/>
      <c r="W131" s="310"/>
      <c r="X131" s="412"/>
      <c r="Y131" s="412"/>
    </row>
    <row r="132" spans="4:26" ht="45" customHeight="1">
      <c r="D132" s="353">
        <v>656430018</v>
      </c>
      <c r="E132" s="353" t="s">
        <v>265</v>
      </c>
      <c r="F132" s="411">
        <v>656</v>
      </c>
      <c r="G132" s="412" t="s">
        <v>266</v>
      </c>
      <c r="H132" s="411">
        <v>312</v>
      </c>
      <c r="I132" s="411">
        <v>264</v>
      </c>
      <c r="J132" s="412" t="s">
        <v>184</v>
      </c>
      <c r="K132" s="412" t="s">
        <v>185</v>
      </c>
      <c r="L132" s="413" t="s">
        <v>186</v>
      </c>
      <c r="M132" s="412" t="s">
        <v>229</v>
      </c>
      <c r="N132" s="412" t="s">
        <v>230</v>
      </c>
      <c r="O132" s="412">
        <f>(616000-256000)-300000</f>
        <v>60000</v>
      </c>
      <c r="P132" s="412">
        <v>25000</v>
      </c>
      <c r="Q132" s="412">
        <f>O132-P132</f>
        <v>35000</v>
      </c>
      <c r="R132" s="412">
        <v>20000</v>
      </c>
      <c r="S132" s="414" t="s">
        <v>429</v>
      </c>
      <c r="T132" s="415">
        <f>O132</f>
        <v>60000</v>
      </c>
      <c r="U132" s="416">
        <f>O132-T132</f>
        <v>0</v>
      </c>
      <c r="V132" s="432">
        <f>P132/5*12</f>
        <v>60000</v>
      </c>
      <c r="W132" s="310">
        <f>U132</f>
        <v>0</v>
      </c>
      <c r="X132" s="412">
        <v>360000</v>
      </c>
      <c r="Y132" s="412">
        <v>360000</v>
      </c>
    </row>
    <row r="133" spans="4:26" ht="18" customHeight="1">
      <c r="D133" s="353"/>
      <c r="E133" s="353"/>
      <c r="F133" s="411"/>
      <c r="G133" s="412">
        <f>O132</f>
        <v>60000</v>
      </c>
      <c r="H133" s="411"/>
      <c r="I133" s="411"/>
      <c r="J133" s="412"/>
      <c r="K133" s="412"/>
      <c r="L133" s="412">
        <f>X132</f>
        <v>360000</v>
      </c>
      <c r="M133" s="412">
        <f>Y132</f>
        <v>360000</v>
      </c>
      <c r="N133" s="412"/>
      <c r="O133" s="412"/>
      <c r="P133" s="412"/>
      <c r="Q133" s="412"/>
      <c r="R133" s="412"/>
      <c r="S133" s="414"/>
      <c r="T133" s="415"/>
      <c r="U133" s="416"/>
      <c r="V133" s="432"/>
      <c r="W133" s="310"/>
      <c r="X133" s="412"/>
      <c r="Y133" s="412"/>
    </row>
    <row r="134" spans="4:26" ht="19.95" customHeight="1">
      <c r="D134" s="353" t="s">
        <v>303</v>
      </c>
      <c r="E134" s="353"/>
      <c r="F134" s="411"/>
      <c r="G134" s="412">
        <f>SUM(O98:O133)+G37</f>
        <v>18292592.542999998</v>
      </c>
      <c r="H134" s="411"/>
      <c r="I134" s="411"/>
      <c r="J134" s="412"/>
      <c r="K134" s="412"/>
      <c r="L134" s="412">
        <f>SUM(X98:X133)+L37</f>
        <v>15399926.468109984</v>
      </c>
      <c r="M134" s="412">
        <f>SUM(Y98:Y133)+M37</f>
        <v>15408926.368109982</v>
      </c>
      <c r="N134" s="412"/>
      <c r="O134" s="412"/>
      <c r="P134" s="412"/>
      <c r="Q134" s="412"/>
      <c r="R134" s="412"/>
      <c r="S134" s="414"/>
      <c r="T134" s="415"/>
      <c r="U134" s="416"/>
      <c r="V134" s="434"/>
      <c r="W134" s="310"/>
      <c r="X134" s="412"/>
      <c r="Y134" s="412"/>
    </row>
    <row r="135" spans="4:26" ht="15" customHeight="1">
      <c r="D135" s="353">
        <v>656440011</v>
      </c>
      <c r="E135" s="353" t="s">
        <v>267</v>
      </c>
      <c r="F135" s="411">
        <v>656</v>
      </c>
      <c r="G135" s="412" t="s">
        <v>60</v>
      </c>
      <c r="H135" s="411">
        <v>244</v>
      </c>
      <c r="I135" s="411">
        <v>226</v>
      </c>
      <c r="J135" s="412" t="s">
        <v>184</v>
      </c>
      <c r="K135" s="412" t="s">
        <v>185</v>
      </c>
      <c r="L135" s="413" t="s">
        <v>206</v>
      </c>
      <c r="M135" s="412" t="s">
        <v>268</v>
      </c>
      <c r="N135" s="412" t="s">
        <v>269</v>
      </c>
      <c r="O135" s="412">
        <v>11580</v>
      </c>
      <c r="P135" s="412">
        <v>0</v>
      </c>
      <c r="Q135" s="412">
        <f>O135-P135</f>
        <v>11580</v>
      </c>
      <c r="R135" s="412">
        <v>0</v>
      </c>
      <c r="S135" s="414" t="s">
        <v>270</v>
      </c>
      <c r="T135" s="415">
        <v>11560</v>
      </c>
      <c r="U135" s="416">
        <f>O135-T135</f>
        <v>20</v>
      </c>
      <c r="V135" s="415">
        <v>11580</v>
      </c>
      <c r="W135" s="310">
        <v>0</v>
      </c>
      <c r="X135" s="412">
        <v>11580</v>
      </c>
      <c r="Y135" s="412">
        <v>11580</v>
      </c>
    </row>
    <row r="136" spans="4:26" ht="15" customHeight="1">
      <c r="D136" s="353">
        <v>656440011</v>
      </c>
      <c r="E136" s="353" t="s">
        <v>267</v>
      </c>
      <c r="F136" s="411">
        <v>656</v>
      </c>
      <c r="G136" s="412" t="s">
        <v>60</v>
      </c>
      <c r="H136" s="411">
        <v>244</v>
      </c>
      <c r="I136" s="411">
        <v>227</v>
      </c>
      <c r="J136" s="412" t="s">
        <v>184</v>
      </c>
      <c r="K136" s="412" t="s">
        <v>185</v>
      </c>
      <c r="L136" s="413" t="s">
        <v>206</v>
      </c>
      <c r="M136" s="412" t="s">
        <v>268</v>
      </c>
      <c r="N136" s="412" t="s">
        <v>269</v>
      </c>
      <c r="O136" s="412">
        <v>2000</v>
      </c>
      <c r="P136" s="412">
        <v>0</v>
      </c>
      <c r="Q136" s="412">
        <f>O136-P136</f>
        <v>2000</v>
      </c>
      <c r="R136" s="412">
        <v>0</v>
      </c>
      <c r="S136" s="414" t="s">
        <v>270</v>
      </c>
      <c r="T136" s="415">
        <v>2000</v>
      </c>
      <c r="U136" s="416">
        <f>O136-T136</f>
        <v>0</v>
      </c>
      <c r="V136" s="415">
        <v>2000</v>
      </c>
      <c r="W136" s="310">
        <f>U136</f>
        <v>0</v>
      </c>
      <c r="X136" s="412">
        <v>2000</v>
      </c>
      <c r="Y136" s="412">
        <v>2000</v>
      </c>
    </row>
    <row r="137" spans="4:26" ht="20.399999999999999" customHeight="1">
      <c r="D137" s="353"/>
      <c r="E137" s="353"/>
      <c r="F137" s="411"/>
      <c r="G137" s="412">
        <f>SUM(O135:O136)</f>
        <v>13580</v>
      </c>
      <c r="H137" s="411"/>
      <c r="I137" s="411"/>
      <c r="J137" s="412"/>
      <c r="K137" s="412"/>
      <c r="L137" s="412">
        <f>SUM(X135:X136)</f>
        <v>13580</v>
      </c>
      <c r="M137" s="412">
        <f>SUM(Y135:Y136)</f>
        <v>13580</v>
      </c>
      <c r="N137" s="412"/>
      <c r="O137" s="412"/>
      <c r="P137" s="412"/>
      <c r="Q137" s="412"/>
      <c r="R137" s="412"/>
      <c r="S137" s="414"/>
      <c r="T137" s="415"/>
      <c r="U137" s="416"/>
      <c r="V137" s="415"/>
      <c r="W137" s="310"/>
      <c r="X137" s="412"/>
      <c r="Y137" s="412"/>
    </row>
    <row r="138" spans="4:26" ht="16.95" customHeight="1">
      <c r="D138" s="353">
        <v>656440011</v>
      </c>
      <c r="E138" s="353" t="s">
        <v>267</v>
      </c>
      <c r="F138" s="411">
        <v>656</v>
      </c>
      <c r="G138" s="412" t="s">
        <v>61</v>
      </c>
      <c r="H138" s="411">
        <v>244</v>
      </c>
      <c r="I138" s="411">
        <v>226</v>
      </c>
      <c r="J138" s="412" t="s">
        <v>184</v>
      </c>
      <c r="K138" s="412" t="s">
        <v>185</v>
      </c>
      <c r="L138" s="413" t="s">
        <v>186</v>
      </c>
      <c r="M138" s="412" t="s">
        <v>271</v>
      </c>
      <c r="N138" s="412" t="s">
        <v>230</v>
      </c>
      <c r="O138" s="412">
        <v>11580</v>
      </c>
      <c r="P138" s="412">
        <v>0</v>
      </c>
      <c r="Q138" s="412">
        <f>O138-P138</f>
        <v>11580</v>
      </c>
      <c r="R138" s="412">
        <v>0</v>
      </c>
      <c r="S138" s="414" t="s">
        <v>270</v>
      </c>
      <c r="T138" s="415">
        <v>11560</v>
      </c>
      <c r="U138" s="416">
        <f>O138-T138</f>
        <v>20</v>
      </c>
      <c r="V138" s="415">
        <v>11580</v>
      </c>
      <c r="W138" s="310">
        <v>0</v>
      </c>
      <c r="X138" s="412">
        <v>11580</v>
      </c>
      <c r="Y138" s="412">
        <v>11580</v>
      </c>
    </row>
    <row r="139" spans="4:26" ht="16.95" customHeight="1">
      <c r="D139" s="353">
        <v>656440011</v>
      </c>
      <c r="E139" s="353" t="s">
        <v>267</v>
      </c>
      <c r="F139" s="411">
        <v>656</v>
      </c>
      <c r="G139" s="412" t="s">
        <v>61</v>
      </c>
      <c r="H139" s="411">
        <v>244</v>
      </c>
      <c r="I139" s="411">
        <v>227</v>
      </c>
      <c r="J139" s="412" t="s">
        <v>184</v>
      </c>
      <c r="K139" s="412" t="s">
        <v>185</v>
      </c>
      <c r="L139" s="413" t="s">
        <v>186</v>
      </c>
      <c r="M139" s="412" t="s">
        <v>271</v>
      </c>
      <c r="N139" s="412" t="s">
        <v>230</v>
      </c>
      <c r="O139" s="412">
        <v>2000</v>
      </c>
      <c r="P139" s="412">
        <v>0</v>
      </c>
      <c r="Q139" s="412">
        <f>O139-P139</f>
        <v>2000</v>
      </c>
      <c r="R139" s="412">
        <v>0</v>
      </c>
      <c r="S139" s="414" t="s">
        <v>270</v>
      </c>
      <c r="T139" s="415">
        <v>2000</v>
      </c>
      <c r="U139" s="416">
        <f>O139-T139</f>
        <v>0</v>
      </c>
      <c r="V139" s="415">
        <v>2000</v>
      </c>
      <c r="W139" s="310">
        <f>U139</f>
        <v>0</v>
      </c>
      <c r="X139" s="412">
        <v>2000</v>
      </c>
      <c r="Y139" s="412">
        <v>2000</v>
      </c>
    </row>
    <row r="140" spans="4:26" ht="13.95" customHeight="1">
      <c r="D140" s="353"/>
      <c r="E140" s="353"/>
      <c r="F140" s="411"/>
      <c r="G140" s="412">
        <f>SUM(O138:O139)</f>
        <v>13580</v>
      </c>
      <c r="H140" s="411"/>
      <c r="I140" s="411"/>
      <c r="J140" s="412"/>
      <c r="K140" s="412"/>
      <c r="L140" s="412">
        <f>SUM(X138:X139)</f>
        <v>13580</v>
      </c>
      <c r="M140" s="412">
        <f>SUM(Y138:Y139)</f>
        <v>13580</v>
      </c>
      <c r="N140" s="412"/>
      <c r="O140" s="412"/>
      <c r="P140" s="412"/>
      <c r="Q140" s="412"/>
      <c r="R140" s="412"/>
      <c r="S140" s="414"/>
      <c r="T140" s="415"/>
      <c r="U140" s="416"/>
      <c r="V140" s="415"/>
      <c r="W140" s="310"/>
      <c r="X140" s="412"/>
      <c r="Y140" s="412"/>
    </row>
    <row r="141" spans="4:26" ht="19.2" customHeight="1">
      <c r="D141" s="353" t="s">
        <v>305</v>
      </c>
      <c r="E141" s="353"/>
      <c r="F141" s="411"/>
      <c r="G141" s="412">
        <f>G140+G137</f>
        <v>27160</v>
      </c>
      <c r="H141" s="411"/>
      <c r="I141" s="411"/>
      <c r="J141" s="412"/>
      <c r="K141" s="412"/>
      <c r="L141" s="412">
        <f>L140+L137</f>
        <v>27160</v>
      </c>
      <c r="M141" s="412">
        <f>M140+M137</f>
        <v>27160</v>
      </c>
      <c r="N141" s="412"/>
      <c r="O141" s="412"/>
      <c r="P141" s="412"/>
      <c r="Q141" s="412"/>
      <c r="R141" s="412"/>
      <c r="S141" s="414"/>
      <c r="T141" s="415"/>
      <c r="U141" s="416"/>
      <c r="V141" s="415"/>
      <c r="W141" s="310"/>
      <c r="X141" s="412"/>
      <c r="Y141" s="412"/>
    </row>
    <row r="142" spans="4:26" ht="54" customHeight="1">
      <c r="D142" s="353">
        <v>656450011</v>
      </c>
      <c r="E142" s="353" t="s">
        <v>272</v>
      </c>
      <c r="F142" s="411">
        <v>656</v>
      </c>
      <c r="G142" s="412" t="s">
        <v>63</v>
      </c>
      <c r="H142" s="411">
        <v>244</v>
      </c>
      <c r="I142" s="411">
        <v>225</v>
      </c>
      <c r="J142" s="412" t="s">
        <v>184</v>
      </c>
      <c r="K142" s="412" t="s">
        <v>185</v>
      </c>
      <c r="L142" s="413" t="s">
        <v>186</v>
      </c>
      <c r="M142" s="412" t="s">
        <v>229</v>
      </c>
      <c r="N142" s="412" t="s">
        <v>230</v>
      </c>
      <c r="O142" s="412">
        <v>7525773</v>
      </c>
      <c r="P142" s="412">
        <v>917622</v>
      </c>
      <c r="Q142" s="412">
        <f>O142-P142</f>
        <v>6608151</v>
      </c>
      <c r="R142" s="412">
        <f>O142</f>
        <v>7525773</v>
      </c>
      <c r="S142" s="435" t="s">
        <v>430</v>
      </c>
      <c r="T142" s="415">
        <f>O142</f>
        <v>7525773</v>
      </c>
      <c r="U142" s="416">
        <f>O142-T142</f>
        <v>0</v>
      </c>
      <c r="V142" s="432">
        <v>7525773</v>
      </c>
      <c r="W142" s="310">
        <f>U142</f>
        <v>0</v>
      </c>
      <c r="X142" s="412">
        <v>7607200</v>
      </c>
      <c r="Y142" s="412">
        <v>7987600</v>
      </c>
    </row>
    <row r="143" spans="4:26" ht="50.4" customHeight="1">
      <c r="D143" s="353">
        <v>656450011</v>
      </c>
      <c r="E143" s="353" t="s">
        <v>272</v>
      </c>
      <c r="F143" s="411">
        <v>656</v>
      </c>
      <c r="G143" s="412" t="s">
        <v>63</v>
      </c>
      <c r="H143" s="411">
        <v>244</v>
      </c>
      <c r="I143" s="411">
        <v>225</v>
      </c>
      <c r="J143" s="412" t="s">
        <v>184</v>
      </c>
      <c r="K143" s="412" t="s">
        <v>185</v>
      </c>
      <c r="L143" s="413" t="s">
        <v>273</v>
      </c>
      <c r="M143" s="412" t="s">
        <v>229</v>
      </c>
      <c r="N143" s="412" t="s">
        <v>230</v>
      </c>
      <c r="O143" s="412">
        <v>2141940</v>
      </c>
      <c r="P143" s="412">
        <v>63934</v>
      </c>
      <c r="Q143" s="412">
        <f>O143-P143</f>
        <v>2078006</v>
      </c>
      <c r="R143" s="436">
        <f>1806634+112000</f>
        <v>1918634</v>
      </c>
      <c r="S143" s="435" t="s">
        <v>431</v>
      </c>
      <c r="T143" s="415">
        <f>O143</f>
        <v>2141940</v>
      </c>
      <c r="U143" s="416">
        <f>O143-T143</f>
        <v>0</v>
      </c>
      <c r="V143" s="432">
        <v>2141940</v>
      </c>
      <c r="W143" s="310">
        <f>U143</f>
        <v>0</v>
      </c>
      <c r="X143" s="412">
        <v>1991800</v>
      </c>
      <c r="Y143" s="412">
        <v>2091400</v>
      </c>
    </row>
    <row r="144" spans="4:26" ht="17.399999999999999" customHeight="1">
      <c r="D144" s="353">
        <v>656450011</v>
      </c>
      <c r="E144" s="353" t="s">
        <v>272</v>
      </c>
      <c r="F144" s="411">
        <v>656</v>
      </c>
      <c r="G144" s="412" t="s">
        <v>63</v>
      </c>
      <c r="H144" s="411">
        <v>244</v>
      </c>
      <c r="I144" s="411">
        <v>226</v>
      </c>
      <c r="J144" s="412" t="s">
        <v>184</v>
      </c>
      <c r="K144" s="412"/>
      <c r="L144" s="413"/>
      <c r="M144" s="412"/>
      <c r="N144" s="412"/>
      <c r="O144" s="412"/>
      <c r="P144" s="412"/>
      <c r="Q144" s="412"/>
      <c r="R144" s="436"/>
      <c r="S144" s="435"/>
      <c r="T144" s="415"/>
      <c r="U144" s="416"/>
      <c r="V144" s="432"/>
      <c r="W144" s="310">
        <f>U144</f>
        <v>0</v>
      </c>
      <c r="X144" s="412"/>
      <c r="Y144" s="412"/>
      <c r="Z144" s="320">
        <v>9422738</v>
      </c>
    </row>
    <row r="145" spans="4:26" ht="17.399999999999999" customHeight="1">
      <c r="D145" s="353"/>
      <c r="E145" s="353"/>
      <c r="F145" s="411"/>
      <c r="G145" s="412">
        <f>SUM(O142:O143)</f>
        <v>9667713</v>
      </c>
      <c r="H145" s="411"/>
      <c r="I145" s="411"/>
      <c r="J145" s="412"/>
      <c r="K145" s="412"/>
      <c r="L145" s="412">
        <f>SUM(X142:X143)</f>
        <v>9599000</v>
      </c>
      <c r="M145" s="412">
        <f>SUM(Y142:Y143)</f>
        <v>10079000</v>
      </c>
      <c r="N145" s="412"/>
      <c r="O145" s="412"/>
      <c r="P145" s="412"/>
      <c r="Q145" s="412"/>
      <c r="R145" s="436"/>
      <c r="S145" s="435"/>
      <c r="T145" s="415"/>
      <c r="U145" s="416"/>
      <c r="V145" s="432"/>
      <c r="W145" s="310"/>
      <c r="X145" s="412"/>
      <c r="Y145" s="412"/>
    </row>
    <row r="146" spans="4:26" ht="17.399999999999999" customHeight="1">
      <c r="D146" s="353">
        <v>656460011</v>
      </c>
      <c r="E146" s="353" t="s">
        <v>249</v>
      </c>
      <c r="F146" s="411">
        <v>656</v>
      </c>
      <c r="G146" s="412" t="s">
        <v>65</v>
      </c>
      <c r="H146" s="411">
        <v>244</v>
      </c>
      <c r="I146" s="411">
        <v>226</v>
      </c>
      <c r="J146" s="412" t="s">
        <v>184</v>
      </c>
      <c r="K146" s="412" t="s">
        <v>185</v>
      </c>
      <c r="L146" s="412" t="s">
        <v>186</v>
      </c>
      <c r="M146" s="412" t="s">
        <v>229</v>
      </c>
      <c r="N146" s="412" t="s">
        <v>230</v>
      </c>
      <c r="O146" s="412">
        <v>265730</v>
      </c>
      <c r="P146" s="412"/>
      <c r="Q146" s="412"/>
      <c r="R146" s="436"/>
      <c r="S146" s="435"/>
      <c r="T146" s="415"/>
      <c r="U146" s="416"/>
      <c r="V146" s="432">
        <v>265730</v>
      </c>
      <c r="W146" s="310"/>
      <c r="X146" s="412"/>
      <c r="Y146" s="412"/>
    </row>
    <row r="147" spans="4:26" ht="31.95" customHeight="1">
      <c r="D147" s="353">
        <v>656460011</v>
      </c>
      <c r="E147" s="353" t="s">
        <v>249</v>
      </c>
      <c r="F147" s="411">
        <v>656</v>
      </c>
      <c r="G147" s="412" t="s">
        <v>65</v>
      </c>
      <c r="H147" s="411">
        <v>244</v>
      </c>
      <c r="I147" s="411">
        <v>227</v>
      </c>
      <c r="J147" s="412" t="s">
        <v>184</v>
      </c>
      <c r="K147" s="412" t="s">
        <v>185</v>
      </c>
      <c r="L147" s="413" t="s">
        <v>186</v>
      </c>
      <c r="M147" s="412" t="s">
        <v>229</v>
      </c>
      <c r="N147" s="412" t="s">
        <v>230</v>
      </c>
      <c r="O147" s="412">
        <v>334270</v>
      </c>
      <c r="P147" s="412">
        <v>0</v>
      </c>
      <c r="Q147" s="412">
        <f>O147-P147</f>
        <v>334270</v>
      </c>
      <c r="R147" s="436">
        <f>P147</f>
        <v>0</v>
      </c>
      <c r="S147" s="414" t="s">
        <v>432</v>
      </c>
      <c r="T147" s="415">
        <f>P147</f>
        <v>0</v>
      </c>
      <c r="U147" s="416">
        <f>O147-T147</f>
        <v>334270</v>
      </c>
      <c r="V147" s="432">
        <v>334270</v>
      </c>
      <c r="W147" s="310">
        <v>0</v>
      </c>
      <c r="X147" s="412"/>
      <c r="Y147" s="412"/>
    </row>
    <row r="148" spans="4:26" ht="21" customHeight="1">
      <c r="D148" s="353"/>
      <c r="E148" s="353"/>
      <c r="F148" s="411"/>
      <c r="G148" s="412"/>
      <c r="H148" s="411"/>
      <c r="I148" s="411"/>
      <c r="J148" s="412"/>
      <c r="K148" s="412"/>
      <c r="L148" s="413"/>
      <c r="M148" s="412"/>
      <c r="N148" s="412"/>
      <c r="O148" s="412"/>
      <c r="P148" s="412"/>
      <c r="Q148" s="412"/>
      <c r="R148" s="436"/>
      <c r="S148" s="414"/>
      <c r="T148" s="415"/>
      <c r="U148" s="416"/>
      <c r="V148" s="432"/>
      <c r="W148" s="310"/>
      <c r="X148" s="412"/>
      <c r="Y148" s="412"/>
    </row>
    <row r="149" spans="4:26" ht="56.4" customHeight="1">
      <c r="D149" s="353">
        <v>656460012</v>
      </c>
      <c r="E149" s="353" t="s">
        <v>245</v>
      </c>
      <c r="F149" s="411">
        <v>656</v>
      </c>
      <c r="G149" s="412" t="s">
        <v>65</v>
      </c>
      <c r="H149" s="411">
        <v>244</v>
      </c>
      <c r="I149" s="411">
        <v>223</v>
      </c>
      <c r="J149" s="412" t="s">
        <v>184</v>
      </c>
      <c r="K149" s="412" t="s">
        <v>185</v>
      </c>
      <c r="L149" s="413" t="s">
        <v>186</v>
      </c>
      <c r="M149" s="412" t="s">
        <v>229</v>
      </c>
      <c r="N149" s="412" t="s">
        <v>230</v>
      </c>
      <c r="O149" s="412">
        <v>15000</v>
      </c>
      <c r="P149" s="412">
        <v>0</v>
      </c>
      <c r="Q149" s="412">
        <f>O149-P149</f>
        <v>15000</v>
      </c>
      <c r="R149" s="436">
        <f>3011.74+25.65</f>
        <v>3037.39</v>
      </c>
      <c r="S149" s="437" t="s">
        <v>433</v>
      </c>
      <c r="T149" s="415">
        <f>R149+9816.85</f>
        <v>12854.24</v>
      </c>
      <c r="U149" s="416">
        <f>O149-T149</f>
        <v>2145.7600000000002</v>
      </c>
      <c r="V149" s="432">
        <v>15000</v>
      </c>
      <c r="W149" s="310">
        <v>0</v>
      </c>
      <c r="X149" s="412"/>
      <c r="Y149" s="412"/>
      <c r="Z149" s="320" t="s">
        <v>315</v>
      </c>
    </row>
    <row r="150" spans="4:26" ht="33" customHeight="1">
      <c r="D150" s="353">
        <v>656460012</v>
      </c>
      <c r="E150" s="353" t="s">
        <v>245</v>
      </c>
      <c r="F150" s="411">
        <v>656</v>
      </c>
      <c r="G150" s="412" t="s">
        <v>65</v>
      </c>
      <c r="H150" s="411">
        <v>244</v>
      </c>
      <c r="I150" s="411">
        <v>225</v>
      </c>
      <c r="J150" s="412" t="s">
        <v>184</v>
      </c>
      <c r="K150" s="412" t="s">
        <v>185</v>
      </c>
      <c r="L150" s="413" t="s">
        <v>186</v>
      </c>
      <c r="M150" s="412" t="s">
        <v>229</v>
      </c>
      <c r="N150" s="412" t="s">
        <v>230</v>
      </c>
      <c r="O150" s="412">
        <v>15000</v>
      </c>
      <c r="P150" s="412">
        <v>0</v>
      </c>
      <c r="Q150" s="412">
        <f>O150-P150</f>
        <v>15000</v>
      </c>
      <c r="R150" s="438">
        <f>1432.67+878.09</f>
        <v>2310.7600000000002</v>
      </c>
      <c r="S150" s="414" t="s">
        <v>434</v>
      </c>
      <c r="T150" s="415">
        <f>R150+595000+2446.24+115567</f>
        <v>715324</v>
      </c>
      <c r="U150" s="416">
        <f>O150-T150</f>
        <v>-700324</v>
      </c>
      <c r="V150" s="432">
        <v>15000</v>
      </c>
      <c r="W150" s="310">
        <v>0</v>
      </c>
      <c r="X150" s="412"/>
      <c r="Y150" s="412"/>
    </row>
    <row r="151" spans="4:26" ht="57" customHeight="1">
      <c r="D151" s="353">
        <v>656460012</v>
      </c>
      <c r="E151" s="353" t="s">
        <v>245</v>
      </c>
      <c r="F151" s="411">
        <v>656</v>
      </c>
      <c r="G151" s="412" t="s">
        <v>65</v>
      </c>
      <c r="H151" s="411">
        <v>244</v>
      </c>
      <c r="I151" s="411">
        <v>226</v>
      </c>
      <c r="J151" s="412" t="s">
        <v>184</v>
      </c>
      <c r="K151" s="439">
        <v>30206</v>
      </c>
      <c r="L151" s="439">
        <v>10100</v>
      </c>
      <c r="M151" s="439" t="s">
        <v>187</v>
      </c>
      <c r="N151" s="440" t="s">
        <v>31</v>
      </c>
      <c r="O151" s="412">
        <v>168700</v>
      </c>
      <c r="P151" s="412">
        <v>32000</v>
      </c>
      <c r="Q151" s="412">
        <f>O151-P151</f>
        <v>136700</v>
      </c>
      <c r="R151" s="414">
        <f>6000+4000+80000</f>
        <v>90000</v>
      </c>
      <c r="S151" s="414" t="s">
        <v>435</v>
      </c>
      <c r="T151" s="432">
        <f>R151+100000+20243+37400+60000</f>
        <v>307643</v>
      </c>
      <c r="U151" s="416">
        <f>O151-T151</f>
        <v>-138943</v>
      </c>
      <c r="V151" s="432">
        <v>168700</v>
      </c>
      <c r="W151" s="310">
        <v>0</v>
      </c>
      <c r="X151" s="412"/>
      <c r="Y151" s="412"/>
    </row>
    <row r="152" spans="4:26" ht="52.8" customHeight="1">
      <c r="D152" s="353">
        <v>656460012</v>
      </c>
      <c r="E152" s="353" t="s">
        <v>245</v>
      </c>
      <c r="F152" s="411">
        <v>656</v>
      </c>
      <c r="G152" s="412" t="s">
        <v>65</v>
      </c>
      <c r="H152" s="411">
        <v>247</v>
      </c>
      <c r="I152" s="411">
        <v>223</v>
      </c>
      <c r="J152" s="412" t="s">
        <v>184</v>
      </c>
      <c r="K152" s="439">
        <v>30206</v>
      </c>
      <c r="L152" s="439">
        <v>10100</v>
      </c>
      <c r="M152" s="439" t="s">
        <v>187</v>
      </c>
      <c r="N152" s="440" t="s">
        <v>31</v>
      </c>
      <c r="O152" s="412">
        <v>10000</v>
      </c>
      <c r="P152" s="412">
        <v>695.99</v>
      </c>
      <c r="Q152" s="412">
        <f>O152-P152</f>
        <v>9304.01</v>
      </c>
      <c r="R152" s="414">
        <f>2145.76</f>
        <v>2145.7600000000002</v>
      </c>
      <c r="S152" s="414" t="s">
        <v>436</v>
      </c>
      <c r="T152" s="432">
        <f>R152</f>
        <v>2145.7600000000002</v>
      </c>
      <c r="U152" s="416">
        <f>O152-T152</f>
        <v>7854.24</v>
      </c>
      <c r="V152" s="432">
        <v>10000</v>
      </c>
      <c r="W152" s="310">
        <v>0</v>
      </c>
      <c r="X152" s="412"/>
      <c r="Y152" s="412"/>
    </row>
    <row r="153" spans="4:26" ht="22.95" customHeight="1">
      <c r="D153" s="353"/>
      <c r="E153" s="353"/>
      <c r="F153" s="411"/>
      <c r="G153" s="412">
        <f>SUM(O149:O152)</f>
        <v>208700</v>
      </c>
      <c r="H153" s="411"/>
      <c r="I153" s="411"/>
      <c r="J153" s="412"/>
      <c r="K153" s="439"/>
      <c r="L153" s="412">
        <f>SUM(X149:X152)</f>
        <v>0</v>
      </c>
      <c r="M153" s="412">
        <f>SUM(Y149:Y152)</f>
        <v>0</v>
      </c>
      <c r="N153" s="440"/>
      <c r="O153" s="412"/>
      <c r="P153" s="412"/>
      <c r="Q153" s="412"/>
      <c r="R153" s="414"/>
      <c r="S153" s="414"/>
      <c r="T153" s="432"/>
      <c r="U153" s="416"/>
      <c r="V153" s="432"/>
      <c r="W153" s="310"/>
      <c r="X153" s="412"/>
      <c r="Y153" s="412"/>
    </row>
    <row r="154" spans="4:26" ht="39.6" customHeight="1">
      <c r="D154" s="441">
        <v>656460012</v>
      </c>
      <c r="E154" s="441" t="s">
        <v>274</v>
      </c>
      <c r="F154" s="442">
        <v>656</v>
      </c>
      <c r="G154" s="443" t="s">
        <v>65</v>
      </c>
      <c r="H154" s="442">
        <v>244</v>
      </c>
      <c r="I154" s="442">
        <v>225</v>
      </c>
      <c r="J154" s="443" t="s">
        <v>184</v>
      </c>
      <c r="K154" s="444">
        <v>30206</v>
      </c>
      <c r="L154" s="444">
        <v>10100</v>
      </c>
      <c r="M154" s="444" t="s">
        <v>187</v>
      </c>
      <c r="N154" s="445" t="s">
        <v>31</v>
      </c>
      <c r="O154" s="443">
        <v>123000</v>
      </c>
      <c r="P154" s="443">
        <v>0</v>
      </c>
      <c r="Q154" s="396">
        <f>O154-P154</f>
        <v>123000</v>
      </c>
      <c r="R154" s="446">
        <f>46228+36722.05</f>
        <v>82950.05</v>
      </c>
      <c r="S154" s="446" t="s">
        <v>437</v>
      </c>
      <c r="T154" s="447">
        <f>R154+56000+49087</f>
        <v>188037.05</v>
      </c>
      <c r="U154" s="416">
        <f>O154-T154</f>
        <v>-65037.049999999988</v>
      </c>
      <c r="V154" s="398">
        <v>123000</v>
      </c>
      <c r="W154" s="310">
        <v>0</v>
      </c>
      <c r="X154" s="443"/>
      <c r="Y154" s="443"/>
    </row>
    <row r="155" spans="4:26" ht="21" customHeight="1">
      <c r="D155" s="353" t="s">
        <v>306</v>
      </c>
      <c r="E155" s="441"/>
      <c r="F155" s="442"/>
      <c r="G155" s="412">
        <f>SUM(O147:O154)</f>
        <v>665970</v>
      </c>
      <c r="H155" s="442"/>
      <c r="I155" s="442"/>
      <c r="J155" s="443"/>
      <c r="K155" s="444"/>
      <c r="L155" s="412">
        <f>SUM(X147:X154)</f>
        <v>0</v>
      </c>
      <c r="M155" s="412">
        <f>SUM(Y147:Y154)</f>
        <v>0</v>
      </c>
      <c r="N155" s="445"/>
      <c r="O155" s="443"/>
      <c r="P155" s="443"/>
      <c r="Q155" s="396"/>
      <c r="R155" s="446"/>
      <c r="S155" s="446"/>
      <c r="T155" s="447"/>
      <c r="U155" s="416"/>
      <c r="V155" s="398"/>
      <c r="W155" s="310"/>
      <c r="X155" s="443"/>
      <c r="Y155" s="443"/>
    </row>
    <row r="156" spans="4:26" ht="11.4" customHeight="1">
      <c r="D156" s="353"/>
      <c r="E156" s="353"/>
      <c r="F156" s="411"/>
      <c r="G156" s="412"/>
      <c r="H156" s="411"/>
      <c r="I156" s="411"/>
      <c r="J156" s="412"/>
      <c r="K156" s="439"/>
      <c r="L156" s="412"/>
      <c r="M156" s="412"/>
      <c r="N156" s="440"/>
      <c r="O156" s="412"/>
      <c r="P156" s="412"/>
      <c r="Q156" s="412"/>
      <c r="R156" s="414"/>
      <c r="S156" s="414"/>
      <c r="T156" s="432"/>
      <c r="U156" s="416"/>
      <c r="V156" s="432"/>
      <c r="W156" s="310"/>
      <c r="X156" s="412"/>
      <c r="Y156" s="412"/>
    </row>
    <row r="157" spans="4:26" ht="23.4" customHeight="1">
      <c r="D157" s="353">
        <v>656470011</v>
      </c>
      <c r="E157" s="353" t="s">
        <v>274</v>
      </c>
      <c r="F157" s="411">
        <v>656</v>
      </c>
      <c r="G157" s="412" t="s">
        <v>342</v>
      </c>
      <c r="H157" s="411">
        <v>244</v>
      </c>
      <c r="I157" s="411">
        <v>226</v>
      </c>
      <c r="J157" s="412" t="s">
        <v>184</v>
      </c>
      <c r="K157" s="439">
        <v>30206</v>
      </c>
      <c r="L157" s="448">
        <v>11200</v>
      </c>
      <c r="M157" s="439" t="s">
        <v>275</v>
      </c>
      <c r="N157" s="440">
        <v>0</v>
      </c>
      <c r="O157" s="449">
        <v>227075</v>
      </c>
      <c r="P157" s="412">
        <v>0</v>
      </c>
      <c r="Q157" s="412">
        <f>O157-P157</f>
        <v>227075</v>
      </c>
      <c r="R157" s="440">
        <v>0</v>
      </c>
      <c r="S157" s="450" t="s">
        <v>339</v>
      </c>
      <c r="T157" s="451">
        <f>Q157</f>
        <v>227075</v>
      </c>
      <c r="U157" s="416">
        <f>O157-T157</f>
        <v>0</v>
      </c>
      <c r="V157" s="415">
        <v>227075</v>
      </c>
      <c r="W157" s="310">
        <f>U157</f>
        <v>0</v>
      </c>
      <c r="X157" s="452"/>
      <c r="Y157" s="452"/>
    </row>
    <row r="158" spans="4:26" ht="23.4" customHeight="1">
      <c r="D158" s="353">
        <v>656470011</v>
      </c>
      <c r="E158" s="353" t="s">
        <v>274</v>
      </c>
      <c r="F158" s="411">
        <v>656</v>
      </c>
      <c r="G158" s="412" t="s">
        <v>343</v>
      </c>
      <c r="H158" s="411">
        <v>244</v>
      </c>
      <c r="I158" s="411">
        <v>226</v>
      </c>
      <c r="J158" s="412" t="s">
        <v>184</v>
      </c>
      <c r="K158" s="439">
        <v>30206</v>
      </c>
      <c r="L158" s="439">
        <v>10100</v>
      </c>
      <c r="M158" s="439">
        <v>550000</v>
      </c>
      <c r="N158" s="440">
        <v>0</v>
      </c>
      <c r="O158" s="453">
        <v>11951.3</v>
      </c>
      <c r="P158" s="453">
        <v>0</v>
      </c>
      <c r="Q158" s="412">
        <f>O158-P158</f>
        <v>11951.3</v>
      </c>
      <c r="R158" s="453">
        <v>0</v>
      </c>
      <c r="S158" s="454"/>
      <c r="T158" s="449">
        <f>O158</f>
        <v>11951.3</v>
      </c>
      <c r="U158" s="416">
        <f>O158-T158</f>
        <v>0</v>
      </c>
      <c r="V158" s="415">
        <v>11951.3</v>
      </c>
      <c r="W158" s="310">
        <f>U158</f>
        <v>0</v>
      </c>
      <c r="X158" s="453"/>
      <c r="Y158" s="453"/>
    </row>
    <row r="159" spans="4:26" ht="19.95" customHeight="1">
      <c r="D159" s="353"/>
      <c r="E159" s="353"/>
      <c r="F159" s="411"/>
      <c r="G159" s="453">
        <f>SUM(O157:O158)</f>
        <v>239026.3</v>
      </c>
      <c r="H159" s="411"/>
      <c r="I159" s="411"/>
      <c r="J159" s="412"/>
      <c r="K159" s="439"/>
      <c r="L159" s="453">
        <f>SUM(X157:X158)</f>
        <v>0</v>
      </c>
      <c r="M159" s="453">
        <f>SUM(Y157:Y158)</f>
        <v>0</v>
      </c>
      <c r="N159" s="440"/>
      <c r="O159" s="453"/>
      <c r="P159" s="453"/>
      <c r="Q159" s="412"/>
      <c r="R159" s="453"/>
      <c r="S159" s="455"/>
      <c r="T159" s="449"/>
      <c r="U159" s="416"/>
      <c r="V159" s="415"/>
      <c r="W159" s="310"/>
      <c r="X159" s="453"/>
      <c r="Y159" s="453"/>
    </row>
    <row r="160" spans="4:26" ht="23.4" customHeight="1">
      <c r="D160" s="353">
        <v>656470012</v>
      </c>
      <c r="E160" s="353" t="s">
        <v>274</v>
      </c>
      <c r="F160" s="411">
        <v>656</v>
      </c>
      <c r="G160" s="412" t="s">
        <v>179</v>
      </c>
      <c r="H160" s="411">
        <v>244</v>
      </c>
      <c r="I160" s="411">
        <v>226</v>
      </c>
      <c r="J160" s="412" t="s">
        <v>184</v>
      </c>
      <c r="K160" s="439">
        <v>30206</v>
      </c>
      <c r="L160" s="448">
        <v>11200</v>
      </c>
      <c r="M160" s="439" t="s">
        <v>275</v>
      </c>
      <c r="N160" s="440">
        <v>0</v>
      </c>
      <c r="O160" s="449">
        <v>0</v>
      </c>
      <c r="P160" s="412">
        <v>0</v>
      </c>
      <c r="Q160" s="412">
        <v>0</v>
      </c>
      <c r="R160" s="440">
        <v>0</v>
      </c>
      <c r="S160" s="450" t="s">
        <v>340</v>
      </c>
      <c r="T160" s="451">
        <f>Q160</f>
        <v>0</v>
      </c>
      <c r="U160" s="416">
        <f>O160-T160</f>
        <v>0</v>
      </c>
      <c r="V160" s="415"/>
      <c r="W160" s="310">
        <f>U160</f>
        <v>0</v>
      </c>
      <c r="X160" s="452"/>
      <c r="Y160" s="452"/>
    </row>
    <row r="161" spans="4:25" ht="23.4" customHeight="1">
      <c r="D161" s="353">
        <v>656470012</v>
      </c>
      <c r="E161" s="353" t="s">
        <v>274</v>
      </c>
      <c r="F161" s="411">
        <v>656</v>
      </c>
      <c r="G161" s="412" t="s">
        <v>179</v>
      </c>
      <c r="H161" s="411">
        <v>244</v>
      </c>
      <c r="I161" s="411">
        <v>226</v>
      </c>
      <c r="J161" s="412" t="s">
        <v>184</v>
      </c>
      <c r="K161" s="439">
        <v>30206</v>
      </c>
      <c r="L161" s="439">
        <v>10100</v>
      </c>
      <c r="M161" s="439">
        <v>550000</v>
      </c>
      <c r="N161" s="440">
        <v>0</v>
      </c>
      <c r="O161" s="453">
        <v>0</v>
      </c>
      <c r="P161" s="453">
        <v>0</v>
      </c>
      <c r="Q161" s="412">
        <f>O161-P161</f>
        <v>0</v>
      </c>
      <c r="R161" s="453">
        <v>0</v>
      </c>
      <c r="S161" s="454"/>
      <c r="T161" s="449">
        <f>O161</f>
        <v>0</v>
      </c>
      <c r="U161" s="416">
        <f>O161-T161</f>
        <v>0</v>
      </c>
      <c r="V161" s="415">
        <v>5000</v>
      </c>
      <c r="W161" s="310">
        <v>0</v>
      </c>
      <c r="X161" s="453"/>
      <c r="Y161" s="453"/>
    </row>
    <row r="162" spans="4:25" ht="19.95" customHeight="1">
      <c r="D162" s="353"/>
      <c r="E162" s="353"/>
      <c r="F162" s="411"/>
      <c r="G162" s="453">
        <f>SUM(O160:O161)</f>
        <v>0</v>
      </c>
      <c r="H162" s="411"/>
      <c r="I162" s="411"/>
      <c r="J162" s="412"/>
      <c r="K162" s="439"/>
      <c r="L162" s="453">
        <f>SUM(X160:X161)</f>
        <v>0</v>
      </c>
      <c r="M162" s="453">
        <f>SUM(Y160:Y161)</f>
        <v>0</v>
      </c>
      <c r="N162" s="440"/>
      <c r="O162" s="453"/>
      <c r="P162" s="453"/>
      <c r="Q162" s="412"/>
      <c r="R162" s="453"/>
      <c r="S162" s="455"/>
      <c r="T162" s="449"/>
      <c r="U162" s="416"/>
      <c r="V162" s="415"/>
      <c r="W162" s="310"/>
      <c r="X162" s="453"/>
      <c r="Y162" s="453"/>
    </row>
    <row r="163" spans="4:25" ht="31.95" customHeight="1">
      <c r="D163" s="456">
        <v>656470031</v>
      </c>
      <c r="E163" s="353" t="s">
        <v>274</v>
      </c>
      <c r="F163" s="411">
        <v>656</v>
      </c>
      <c r="G163" s="457" t="s">
        <v>132</v>
      </c>
      <c r="H163" s="411">
        <v>244</v>
      </c>
      <c r="I163" s="411">
        <v>225</v>
      </c>
      <c r="J163" s="458" t="s">
        <v>184</v>
      </c>
      <c r="K163" s="439">
        <v>30206</v>
      </c>
      <c r="L163" s="439">
        <v>10101</v>
      </c>
      <c r="M163" s="439">
        <v>0</v>
      </c>
      <c r="N163" s="440">
        <v>0</v>
      </c>
      <c r="O163" s="453">
        <v>150000</v>
      </c>
      <c r="P163" s="453">
        <v>0</v>
      </c>
      <c r="Q163" s="412">
        <f>O163-P163</f>
        <v>150000</v>
      </c>
      <c r="R163" s="453">
        <v>99000</v>
      </c>
      <c r="S163" s="414" t="s">
        <v>438</v>
      </c>
      <c r="T163" s="449">
        <f>99000+99000</f>
        <v>198000</v>
      </c>
      <c r="U163" s="416">
        <f>O163-T163</f>
        <v>-48000</v>
      </c>
      <c r="V163" s="432">
        <v>150000</v>
      </c>
      <c r="W163" s="310"/>
      <c r="X163" s="453"/>
      <c r="Y163" s="453"/>
    </row>
    <row r="164" spans="4:25" ht="40.5" customHeight="1">
      <c r="D164" s="456">
        <v>656470031</v>
      </c>
      <c r="E164" s="353" t="s">
        <v>274</v>
      </c>
      <c r="F164" s="411">
        <v>656</v>
      </c>
      <c r="G164" s="457" t="s">
        <v>132</v>
      </c>
      <c r="H164" s="411">
        <v>247</v>
      </c>
      <c r="I164" s="411">
        <v>223</v>
      </c>
      <c r="J164" s="458" t="s">
        <v>184</v>
      </c>
      <c r="K164" s="439">
        <v>30206</v>
      </c>
      <c r="L164" s="439">
        <v>10101</v>
      </c>
      <c r="M164" s="439">
        <v>0</v>
      </c>
      <c r="N164" s="440">
        <v>0</v>
      </c>
      <c r="O164" s="453">
        <v>700000</v>
      </c>
      <c r="P164" s="459">
        <v>43019.35</v>
      </c>
      <c r="Q164" s="412">
        <f>O164-P164</f>
        <v>656980.65</v>
      </c>
      <c r="R164" s="460">
        <v>613972.22</v>
      </c>
      <c r="S164" s="414" t="s">
        <v>439</v>
      </c>
      <c r="T164" s="432">
        <f>R164</f>
        <v>613972.22</v>
      </c>
      <c r="U164" s="416"/>
      <c r="V164" s="415">
        <v>700000</v>
      </c>
      <c r="W164" s="310">
        <f>U164</f>
        <v>0</v>
      </c>
      <c r="X164" s="453">
        <v>700000</v>
      </c>
      <c r="Y164" s="453">
        <v>700000</v>
      </c>
    </row>
    <row r="165" spans="4:25" ht="38.4" customHeight="1">
      <c r="D165" s="456">
        <v>656470031</v>
      </c>
      <c r="E165" s="353" t="s">
        <v>274</v>
      </c>
      <c r="F165" s="411">
        <v>656</v>
      </c>
      <c r="G165" s="457" t="s">
        <v>132</v>
      </c>
      <c r="H165" s="411">
        <v>244</v>
      </c>
      <c r="I165" s="411">
        <v>310</v>
      </c>
      <c r="J165" s="458" t="s">
        <v>184</v>
      </c>
      <c r="K165" s="439">
        <v>30206</v>
      </c>
      <c r="L165" s="439">
        <v>10101</v>
      </c>
      <c r="M165" s="439">
        <v>0</v>
      </c>
      <c r="N165" s="440">
        <v>0</v>
      </c>
      <c r="O165" s="453">
        <v>100000</v>
      </c>
      <c r="P165" s="453">
        <v>96900</v>
      </c>
      <c r="Q165" s="412">
        <v>0</v>
      </c>
      <c r="R165" s="453">
        <v>0</v>
      </c>
      <c r="S165" s="414" t="s">
        <v>316</v>
      </c>
      <c r="T165" s="449">
        <v>120000</v>
      </c>
      <c r="U165" s="416">
        <f>O165-T165</f>
        <v>-20000</v>
      </c>
      <c r="V165" s="432">
        <v>100000</v>
      </c>
      <c r="W165" s="310"/>
      <c r="X165" s="453">
        <v>130000</v>
      </c>
      <c r="Y165" s="453">
        <v>130000</v>
      </c>
    </row>
    <row r="166" spans="4:25" ht="17.399999999999999" customHeight="1">
      <c r="D166" s="456"/>
      <c r="E166" s="353"/>
      <c r="F166" s="411"/>
      <c r="G166" s="453">
        <f>SUM(O163:O165)</f>
        <v>950000</v>
      </c>
      <c r="H166" s="411"/>
      <c r="I166" s="411"/>
      <c r="J166" s="458"/>
      <c r="K166" s="439"/>
      <c r="L166" s="453">
        <f>SUM(X163:X165)</f>
        <v>830000</v>
      </c>
      <c r="M166" s="453">
        <f>SUM(Y163:Y165)</f>
        <v>830000</v>
      </c>
      <c r="N166" s="440"/>
      <c r="O166" s="453"/>
      <c r="P166" s="453"/>
      <c r="Q166" s="412"/>
      <c r="R166" s="453"/>
      <c r="S166" s="414"/>
      <c r="T166" s="449"/>
      <c r="U166" s="416"/>
      <c r="V166" s="432"/>
      <c r="W166" s="310"/>
      <c r="X166" s="453"/>
      <c r="Y166" s="453"/>
    </row>
    <row r="167" spans="4:25" ht="29.4" customHeight="1">
      <c r="D167" s="456">
        <v>656470021</v>
      </c>
      <c r="E167" s="353" t="s">
        <v>245</v>
      </c>
      <c r="F167" s="411">
        <v>656</v>
      </c>
      <c r="G167" s="457" t="s">
        <v>131</v>
      </c>
      <c r="H167" s="411">
        <v>811</v>
      </c>
      <c r="I167" s="411">
        <v>249</v>
      </c>
      <c r="J167" s="458">
        <v>0</v>
      </c>
      <c r="K167" s="439">
        <v>30206</v>
      </c>
      <c r="L167" s="439">
        <v>10101</v>
      </c>
      <c r="M167" s="439">
        <v>0</v>
      </c>
      <c r="N167" s="440">
        <v>0</v>
      </c>
      <c r="O167" s="453">
        <v>3308510</v>
      </c>
      <c r="P167" s="459">
        <v>247923.9</v>
      </c>
      <c r="Q167" s="412">
        <f>O167-P167</f>
        <v>3060586.1</v>
      </c>
      <c r="R167" s="460">
        <v>872223.88</v>
      </c>
      <c r="S167" s="414" t="s">
        <v>440</v>
      </c>
      <c r="T167" s="432">
        <f>O167</f>
        <v>3308510</v>
      </c>
      <c r="U167" s="416">
        <f>O167-T167</f>
        <v>0</v>
      </c>
      <c r="V167" s="432">
        <v>3308510</v>
      </c>
      <c r="W167" s="310">
        <f>U167</f>
        <v>0</v>
      </c>
      <c r="X167" s="453">
        <v>3440850</v>
      </c>
      <c r="Y167" s="453">
        <v>3578480</v>
      </c>
    </row>
    <row r="168" spans="4:25" ht="17.399999999999999" customHeight="1">
      <c r="D168" s="456"/>
      <c r="E168" s="353"/>
      <c r="F168" s="411"/>
      <c r="G168" s="453">
        <f>SUM(O167)</f>
        <v>3308510</v>
      </c>
      <c r="H168" s="411"/>
      <c r="I168" s="411"/>
      <c r="J168" s="458"/>
      <c r="K168" s="439"/>
      <c r="L168" s="453">
        <f>SUM(X167)</f>
        <v>3440850</v>
      </c>
      <c r="M168" s="453">
        <f>SUM(Y167)</f>
        <v>3578480</v>
      </c>
      <c r="N168" s="440"/>
      <c r="O168" s="453"/>
      <c r="P168" s="459"/>
      <c r="Q168" s="412"/>
      <c r="R168" s="460"/>
      <c r="S168" s="461"/>
      <c r="T168" s="432"/>
      <c r="U168" s="416"/>
      <c r="V168" s="415"/>
      <c r="W168" s="310"/>
      <c r="X168" s="453"/>
      <c r="Y168" s="453"/>
    </row>
    <row r="169" spans="4:25" ht="30.6" customHeight="1">
      <c r="D169" s="456">
        <v>656470032</v>
      </c>
      <c r="E169" s="353" t="s">
        <v>276</v>
      </c>
      <c r="F169" s="411">
        <v>656</v>
      </c>
      <c r="G169" s="457" t="s">
        <v>314</v>
      </c>
      <c r="H169" s="411">
        <v>244</v>
      </c>
      <c r="I169" s="411">
        <v>226</v>
      </c>
      <c r="J169" s="458" t="s">
        <v>184</v>
      </c>
      <c r="K169" s="439">
        <v>30206</v>
      </c>
      <c r="L169" s="439">
        <v>10300</v>
      </c>
      <c r="M169" s="439" t="s">
        <v>187</v>
      </c>
      <c r="N169" s="440">
        <v>18</v>
      </c>
      <c r="O169" s="453">
        <v>100000</v>
      </c>
      <c r="P169" s="459">
        <v>0</v>
      </c>
      <c r="Q169" s="412">
        <f>O169-P169</f>
        <v>100000</v>
      </c>
      <c r="R169" s="460">
        <v>100000</v>
      </c>
      <c r="S169" s="414" t="s">
        <v>441</v>
      </c>
      <c r="T169" s="432">
        <f>O169</f>
        <v>100000</v>
      </c>
      <c r="U169" s="416">
        <f>O169-T169</f>
        <v>0</v>
      </c>
      <c r="V169" s="415">
        <v>100000</v>
      </c>
      <c r="W169" s="310">
        <f>U169</f>
        <v>0</v>
      </c>
      <c r="X169" s="453">
        <v>100000</v>
      </c>
      <c r="Y169" s="453">
        <v>100000</v>
      </c>
    </row>
    <row r="170" spans="4:25" ht="16.2" customHeight="1">
      <c r="D170" s="456"/>
      <c r="E170" s="353"/>
      <c r="F170" s="411"/>
      <c r="G170" s="453">
        <f>O169</f>
        <v>100000</v>
      </c>
      <c r="H170" s="411"/>
      <c r="I170" s="411"/>
      <c r="J170" s="458"/>
      <c r="K170" s="439"/>
      <c r="L170" s="453">
        <f>X169</f>
        <v>100000</v>
      </c>
      <c r="M170" s="453">
        <f>Y169</f>
        <v>100000</v>
      </c>
      <c r="N170" s="440"/>
      <c r="O170" s="453"/>
      <c r="P170" s="459"/>
      <c r="Q170" s="412"/>
      <c r="R170" s="460"/>
      <c r="S170" s="414"/>
      <c r="T170" s="432"/>
      <c r="U170" s="416"/>
      <c r="V170" s="415"/>
      <c r="W170" s="310"/>
      <c r="X170" s="453"/>
      <c r="Y170" s="453"/>
    </row>
    <row r="171" spans="4:25" ht="121.8" customHeight="1">
      <c r="D171" s="456">
        <v>656470033</v>
      </c>
      <c r="E171" s="353" t="s">
        <v>274</v>
      </c>
      <c r="F171" s="411">
        <v>656</v>
      </c>
      <c r="G171" s="457" t="s">
        <v>132</v>
      </c>
      <c r="H171" s="411">
        <v>244</v>
      </c>
      <c r="I171" s="411">
        <v>225</v>
      </c>
      <c r="J171" s="458">
        <v>0</v>
      </c>
      <c r="K171" s="439">
        <v>30206</v>
      </c>
      <c r="L171" s="439">
        <v>10100</v>
      </c>
      <c r="M171" s="439">
        <v>0</v>
      </c>
      <c r="N171" s="440">
        <v>0</v>
      </c>
      <c r="O171" s="453">
        <f>191000/2</f>
        <v>95500</v>
      </c>
      <c r="P171" s="453">
        <v>0</v>
      </c>
      <c r="Q171" s="412">
        <v>0</v>
      </c>
      <c r="R171" s="453">
        <v>0</v>
      </c>
      <c r="S171" s="414" t="s">
        <v>348</v>
      </c>
      <c r="T171" s="449">
        <f>P171+89563.19+20000</f>
        <v>109563.19</v>
      </c>
      <c r="U171" s="416">
        <f>O171-T171</f>
        <v>-14063.190000000002</v>
      </c>
      <c r="V171" s="432">
        <f>95500+17700+14554.24+302000</f>
        <v>429754.24</v>
      </c>
      <c r="W171" s="310">
        <f>O171-V171</f>
        <v>-334254.24</v>
      </c>
      <c r="X171" s="453"/>
      <c r="Y171" s="453"/>
    </row>
    <row r="172" spans="4:25" ht="14.4" customHeight="1">
      <c r="D172" s="462"/>
      <c r="E172" s="463" t="s">
        <v>274</v>
      </c>
      <c r="F172" s="464">
        <v>656</v>
      </c>
      <c r="G172" s="465" t="s">
        <v>132</v>
      </c>
      <c r="H172" s="464">
        <v>244</v>
      </c>
      <c r="I172" s="464">
        <v>226</v>
      </c>
      <c r="J172" s="466">
        <v>0</v>
      </c>
      <c r="K172" s="467">
        <v>30206</v>
      </c>
      <c r="L172" s="467">
        <v>11200</v>
      </c>
      <c r="M172" s="467">
        <v>0</v>
      </c>
      <c r="N172" s="468">
        <v>0</v>
      </c>
      <c r="O172" s="469">
        <v>1762580</v>
      </c>
      <c r="P172" s="470">
        <v>0</v>
      </c>
      <c r="Q172" s="396">
        <f>O172-P172</f>
        <v>1762580</v>
      </c>
      <c r="R172" s="471">
        <v>0</v>
      </c>
      <c r="S172" s="472" t="s">
        <v>344</v>
      </c>
      <c r="T172" s="473">
        <v>0</v>
      </c>
      <c r="U172" s="474"/>
      <c r="V172" s="398">
        <v>1762580</v>
      </c>
      <c r="W172" s="310">
        <f>U172</f>
        <v>0</v>
      </c>
      <c r="X172" s="469"/>
      <c r="Y172" s="469"/>
    </row>
    <row r="173" spans="4:25" ht="14.4" customHeight="1">
      <c r="D173" s="456"/>
      <c r="E173" s="353"/>
      <c r="F173" s="411">
        <v>656</v>
      </c>
      <c r="G173" s="457"/>
      <c r="H173" s="411"/>
      <c r="I173" s="411"/>
      <c r="J173" s="458"/>
      <c r="K173" s="439">
        <v>30206</v>
      </c>
      <c r="L173" s="439"/>
      <c r="M173" s="439"/>
      <c r="N173" s="440"/>
      <c r="O173" s="449"/>
      <c r="P173" s="449"/>
      <c r="Q173" s="412"/>
      <c r="R173" s="460"/>
      <c r="S173" s="414"/>
      <c r="T173" s="432">
        <v>1918122</v>
      </c>
      <c r="U173" s="416">
        <f>O173-T173</f>
        <v>-1918122</v>
      </c>
      <c r="V173" s="415"/>
      <c r="W173" s="310"/>
      <c r="X173" s="449"/>
      <c r="Y173" s="449"/>
    </row>
    <row r="174" spans="4:25" ht="14.4" hidden="1" customHeight="1" thickBot="1">
      <c r="D174" s="456"/>
      <c r="E174" s="353"/>
      <c r="F174" s="411"/>
      <c r="G174" s="457"/>
      <c r="H174" s="411"/>
      <c r="I174" s="411"/>
      <c r="J174" s="458"/>
      <c r="K174" s="439"/>
      <c r="L174" s="439"/>
      <c r="M174" s="439"/>
      <c r="N174" s="440"/>
      <c r="O174" s="453"/>
      <c r="P174" s="459"/>
      <c r="Q174" s="412"/>
      <c r="R174" s="460"/>
      <c r="S174" s="414"/>
      <c r="T174" s="432"/>
      <c r="U174" s="416"/>
      <c r="V174" s="415"/>
      <c r="W174" s="310"/>
      <c r="X174" s="453"/>
      <c r="Y174" s="453"/>
    </row>
    <row r="175" spans="4:25" ht="14.4" hidden="1" customHeight="1" thickBot="1">
      <c r="D175" s="456"/>
      <c r="E175" s="353"/>
      <c r="F175" s="411"/>
      <c r="G175" s="457"/>
      <c r="H175" s="411"/>
      <c r="I175" s="411"/>
      <c r="J175" s="458"/>
      <c r="K175" s="439"/>
      <c r="L175" s="439"/>
      <c r="M175" s="439"/>
      <c r="N175" s="440"/>
      <c r="O175" s="449"/>
      <c r="P175" s="449"/>
      <c r="Q175" s="412"/>
      <c r="R175" s="460"/>
      <c r="S175" s="414"/>
      <c r="T175" s="432"/>
      <c r="U175" s="416"/>
      <c r="V175" s="415"/>
      <c r="W175" s="310"/>
      <c r="X175" s="449"/>
      <c r="Y175" s="449"/>
    </row>
    <row r="176" spans="4:25" ht="14.4" customHeight="1">
      <c r="D176" s="456"/>
      <c r="E176" s="353"/>
      <c r="F176" s="411"/>
      <c r="G176" s="453">
        <f>SUM(O171:O173)</f>
        <v>1858080</v>
      </c>
      <c r="H176" s="411"/>
      <c r="I176" s="411"/>
      <c r="J176" s="458"/>
      <c r="K176" s="439"/>
      <c r="L176" s="453">
        <f>SUM(X171:X173)</f>
        <v>0</v>
      </c>
      <c r="M176" s="453">
        <f>SUM(Y171:Y173)</f>
        <v>0</v>
      </c>
      <c r="N176" s="440"/>
      <c r="O176" s="449"/>
      <c r="P176" s="449"/>
      <c r="Q176" s="412"/>
      <c r="R176" s="460"/>
      <c r="S176" s="414"/>
      <c r="T176" s="432"/>
      <c r="U176" s="416"/>
      <c r="V176" s="415"/>
      <c r="W176" s="310"/>
      <c r="X176" s="449"/>
      <c r="Y176" s="449"/>
    </row>
    <row r="177" spans="1:27" ht="21" customHeight="1">
      <c r="D177" s="353" t="s">
        <v>307</v>
      </c>
      <c r="E177" s="441"/>
      <c r="F177" s="442"/>
      <c r="G177" s="412">
        <f>G176+G170+G166+G159+G168</f>
        <v>6455616.2999999998</v>
      </c>
      <c r="H177" s="442"/>
      <c r="I177" s="442"/>
      <c r="J177" s="443"/>
      <c r="K177" s="444"/>
      <c r="L177" s="412">
        <f>L176+L170+L166+L159+L168</f>
        <v>4370850</v>
      </c>
      <c r="M177" s="412">
        <f>M176+M170+M166+M159+M168</f>
        <v>4508480</v>
      </c>
      <c r="N177" s="445"/>
      <c r="O177" s="443"/>
      <c r="P177" s="443"/>
      <c r="Q177" s="396"/>
      <c r="R177" s="446"/>
      <c r="S177" s="446"/>
      <c r="T177" s="447"/>
      <c r="U177" s="416"/>
      <c r="V177" s="398"/>
      <c r="W177" s="310"/>
      <c r="X177" s="443"/>
      <c r="Y177" s="443"/>
    </row>
    <row r="178" spans="1:27">
      <c r="D178" s="475" t="s">
        <v>87</v>
      </c>
      <c r="E178" s="476"/>
      <c r="F178" s="476"/>
      <c r="G178" s="476"/>
      <c r="H178" s="476"/>
      <c r="I178" s="476"/>
      <c r="J178" s="476"/>
      <c r="K178" s="476"/>
      <c r="L178" s="476"/>
      <c r="M178" s="476"/>
      <c r="N178" s="476"/>
      <c r="O178" s="476">
        <f>SUM(O75:O175)</f>
        <v>86748524.525000006</v>
      </c>
      <c r="P178" s="476">
        <f>SUM(P75:P175)</f>
        <v>7343213.1899999985</v>
      </c>
      <c r="Q178" s="476">
        <f>SUM(Q75:Q175)</f>
        <v>78507251.335000008</v>
      </c>
      <c r="R178" s="476">
        <f>SUM(R75:R175)</f>
        <v>19756804.465000004</v>
      </c>
      <c r="S178" s="476"/>
      <c r="T178" s="476">
        <f ca="1">SUM(T75:T175)</f>
        <v>86582837.730050012</v>
      </c>
      <c r="U178" s="476">
        <f ca="1">SUM(U75:U175)</f>
        <v>-2527380.9890000001</v>
      </c>
      <c r="V178" s="476">
        <f>SUM(V75:V175)</f>
        <v>87364806.745000005</v>
      </c>
      <c r="W178" s="476">
        <f>SUM(W75:W175)</f>
        <v>-1218490.8599999999</v>
      </c>
      <c r="X178" s="476">
        <v>30603351.718850002</v>
      </c>
      <c r="Y178" s="476">
        <v>32729981.718850002</v>
      </c>
      <c r="Z178" s="476">
        <v>30603351.718850002</v>
      </c>
      <c r="AA178" s="476">
        <v>32729981.718849998</v>
      </c>
    </row>
    <row r="179" spans="1:27">
      <c r="U179" s="477" t="s">
        <v>79</v>
      </c>
      <c r="W179" s="477" t="s">
        <v>79</v>
      </c>
    </row>
    <row r="180" spans="1:27">
      <c r="D180" s="477" t="s">
        <v>277</v>
      </c>
      <c r="O180" s="312">
        <f>O178+O67+O39</f>
        <v>105584997.95300001</v>
      </c>
      <c r="P180" s="478">
        <f>P178+P67+P39</f>
        <v>8796871.6399999987</v>
      </c>
      <c r="Q180" s="478">
        <f>Q178+Q67+Q39</f>
        <v>95870566.315000013</v>
      </c>
      <c r="R180" s="478">
        <f>R178+R67+R39</f>
        <v>23018364.655000005</v>
      </c>
      <c r="S180" s="373"/>
      <c r="T180" s="478">
        <f t="shared" ref="T180:Y180" ca="1" si="4">T178+T67+T39</f>
        <v>105415872.17005001</v>
      </c>
      <c r="U180" s="478">
        <f t="shared" ca="1" si="4"/>
        <v>-2523942.0010000002</v>
      </c>
      <c r="V180" s="478">
        <f t="shared" si="4"/>
        <v>107444089.245</v>
      </c>
      <c r="W180" s="478">
        <f>W178+W67+W39</f>
        <v>-2268077.0919999992</v>
      </c>
      <c r="X180" s="478">
        <f>X178+X67+X39</f>
        <v>48438199.999209985</v>
      </c>
      <c r="Y180" s="478">
        <f t="shared" si="4"/>
        <v>49810699.999209985</v>
      </c>
    </row>
    <row r="181" spans="1:27">
      <c r="O181" s="479">
        <v>105584997.95999999</v>
      </c>
      <c r="W181" s="480">
        <v>2268077.09</v>
      </c>
      <c r="X181" s="372">
        <f>12724000+35710300+3900</f>
        <v>48438200</v>
      </c>
      <c r="Y181" s="372">
        <f>13124000+36682800+3900</f>
        <v>49810700</v>
      </c>
    </row>
    <row r="182" spans="1:27">
      <c r="D182" s="481"/>
      <c r="E182" s="481"/>
      <c r="F182" s="482"/>
      <c r="G182" s="482"/>
      <c r="L182" s="477"/>
      <c r="O182" s="479">
        <f>O180-O181</f>
        <v>-6.9999843835830688E-3</v>
      </c>
      <c r="P182" s="480">
        <v>54262.18</v>
      </c>
      <c r="S182" s="477"/>
      <c r="T182" s="372">
        <f>U15+U102+U110+U113</f>
        <v>6330.0010000000475</v>
      </c>
      <c r="W182" s="483">
        <f>W180+W181</f>
        <v>-1.9999993965029716E-3</v>
      </c>
      <c r="X182" s="483">
        <f>X180-X181</f>
        <v>-7.9001486301422119E-4</v>
      </c>
      <c r="Y182" s="483">
        <f>Y180-Y181</f>
        <v>-7.9001486301422119E-4</v>
      </c>
    </row>
    <row r="183" spans="1:27">
      <c r="D183" s="484"/>
      <c r="E183" s="484"/>
      <c r="F183" s="484"/>
      <c r="G183" s="484"/>
      <c r="L183" s="477"/>
      <c r="M183" s="485" t="s">
        <v>322</v>
      </c>
      <c r="O183" s="479">
        <f>O181+O184+O185</f>
        <v>107853075.05</v>
      </c>
      <c r="P183" s="480"/>
      <c r="T183" s="372">
        <f>W178</f>
        <v>-1218490.8599999999</v>
      </c>
      <c r="X183" s="372">
        <f>X78+X80+X115</f>
        <v>4693420</v>
      </c>
      <c r="Y183" s="372">
        <f>Y78+Y80+Y115</f>
        <v>4693420</v>
      </c>
    </row>
    <row r="184" spans="1:27">
      <c r="D184" s="481"/>
      <c r="E184" s="481"/>
      <c r="F184" s="481"/>
      <c r="G184" s="481"/>
      <c r="M184" s="485" t="s">
        <v>323</v>
      </c>
      <c r="O184" s="312">
        <v>2268077.09</v>
      </c>
      <c r="P184" s="480"/>
      <c r="T184" s="372">
        <f>T182+T183</f>
        <v>-1212160.8589999997</v>
      </c>
      <c r="X184" s="486">
        <f>X181-X183</f>
        <v>43744780</v>
      </c>
      <c r="Y184" s="486">
        <f>Y181-Y183</f>
        <v>45117280</v>
      </c>
    </row>
    <row r="185" spans="1:27">
      <c r="D185" s="484"/>
      <c r="E185" s="484"/>
      <c r="F185" s="484"/>
      <c r="G185" s="484"/>
      <c r="M185" s="485" t="s">
        <v>320</v>
      </c>
      <c r="O185" s="312"/>
      <c r="P185" s="480"/>
      <c r="X185" s="477">
        <f>2500000/X184</f>
        <v>5.7149675915617815E-2</v>
      </c>
      <c r="Y185" s="477">
        <f>5000000/Y184</f>
        <v>0.11082228361284191</v>
      </c>
    </row>
    <row r="186" spans="1:27">
      <c r="D186" s="481"/>
      <c r="E186" s="481"/>
      <c r="F186" s="481"/>
      <c r="G186" s="481"/>
      <c r="O186" s="372">
        <f>O184+O185</f>
        <v>2268077.09</v>
      </c>
      <c r="V186" s="320">
        <v>0</v>
      </c>
    </row>
    <row r="187" spans="1:27">
      <c r="A187" s="487"/>
      <c r="B187" s="487"/>
      <c r="C187" s="487"/>
      <c r="D187" s="488"/>
      <c r="E187" s="488"/>
      <c r="F187" s="488"/>
      <c r="G187" s="488"/>
      <c r="H187" s="487"/>
      <c r="I187" s="487"/>
      <c r="J187" s="487"/>
      <c r="K187" s="487"/>
      <c r="L187" s="487"/>
      <c r="M187" s="487"/>
      <c r="N187" s="487"/>
      <c r="O187" s="487"/>
      <c r="P187" s="487"/>
      <c r="Q187" s="487"/>
      <c r="R187" s="487"/>
      <c r="S187" s="487"/>
      <c r="T187" s="487"/>
      <c r="U187" s="487"/>
      <c r="V187" s="487"/>
      <c r="W187" s="487"/>
      <c r="X187" s="487"/>
      <c r="Y187" s="487"/>
    </row>
    <row r="188" spans="1:27">
      <c r="D188" s="489"/>
      <c r="E188" s="489"/>
      <c r="F188" s="489"/>
      <c r="G188" s="489"/>
      <c r="H188" s="477"/>
      <c r="M188" s="320" t="s">
        <v>345</v>
      </c>
      <c r="O188" s="372">
        <v>9301759.1199999992</v>
      </c>
    </row>
    <row r="189" spans="1:27">
      <c r="D189" s="490"/>
      <c r="E189" s="491"/>
      <c r="F189" s="491"/>
      <c r="G189" s="491"/>
      <c r="H189" s="477"/>
      <c r="M189" s="320" t="s">
        <v>346</v>
      </c>
      <c r="O189" s="372">
        <v>9534714.3100000005</v>
      </c>
    </row>
    <row r="190" spans="1:27">
      <c r="H190" s="477"/>
      <c r="O190" s="372">
        <f>O181+W181</f>
        <v>107853075.05</v>
      </c>
    </row>
  </sheetData>
  <mergeCells count="17">
    <mergeCell ref="T5:T6"/>
    <mergeCell ref="D8:V8"/>
    <mergeCell ref="S31:S35"/>
    <mergeCell ref="A38:N38"/>
    <mergeCell ref="M43:M44"/>
    <mergeCell ref="D2:E2"/>
    <mergeCell ref="D3:E3"/>
    <mergeCell ref="S157:S158"/>
    <mergeCell ref="D183:G183"/>
    <mergeCell ref="D185:G185"/>
    <mergeCell ref="N43:N44"/>
    <mergeCell ref="S160:S161"/>
    <mergeCell ref="V43:V44"/>
    <mergeCell ref="D187:G187"/>
    <mergeCell ref="D188:G188"/>
    <mergeCell ref="T71:T72"/>
    <mergeCell ref="A46:P46"/>
  </mergeCells>
  <pageMargins left="0.25" right="0.25" top="0.75" bottom="0.75" header="0.3" footer="0.3"/>
  <pageSetup paperSize="9" fitToHeight="0" orientation="landscape" r:id="rId1"/>
  <rowBreaks count="3" manualBreakCount="3">
    <brk id="20" min="2" max="26" man="1"/>
    <brk id="23" min="2" max="26" man="1"/>
    <brk id="164" min="2" max="26" man="1"/>
  </rowBreaks>
  <colBreaks count="1" manualBreakCount="1">
    <brk id="19" min="4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Прил.2</vt:lpstr>
      <vt:lpstr>Прил.3</vt:lpstr>
      <vt:lpstr>Прил.4</vt:lpstr>
      <vt:lpstr>0</vt:lpstr>
      <vt:lpstr>'0'!Область_печати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ттттт</dc:creator>
  <cp:lastModifiedBy>Elena</cp:lastModifiedBy>
  <cp:lastPrinted>2022-03-05T13:25:03Z</cp:lastPrinted>
  <dcterms:created xsi:type="dcterms:W3CDTF">2010-11-01T11:35:27Z</dcterms:created>
  <dcterms:modified xsi:type="dcterms:W3CDTF">2022-03-20T11:47:10Z</dcterms:modified>
</cp:coreProperties>
</file>