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6" yWindow="108" windowWidth="7440" windowHeight="6288" tabRatio="601" activeTab="0"/>
  </bookViews>
  <sheets>
    <sheet name="Лист1" sheetId="1" r:id="rId1"/>
    <sheet name="Лист2" sheetId="2" r:id="rId2"/>
    <sheet name="Лист3" sheetId="3" state="hidden" r:id="rId3"/>
    <sheet name="для бюдж." sheetId="4" state="hidden" r:id="rId4"/>
    <sheet name="черн" sheetId="5" state="hidden" r:id="rId5"/>
    <sheet name="д-ды для Е.А. Мажоровой" sheetId="6" r:id="rId6"/>
    <sheet name="429 стр-нехв.ден.ср." sheetId="7" r:id="rId7"/>
  </sheets>
  <externalReferences>
    <externalReference r:id="rId10"/>
  </externalReferences>
  <definedNames>
    <definedName name="_xlnm.Print_Area" localSheetId="1">'Лист2'!$A$1:$F$246</definedName>
  </definedNames>
  <calcPr fullCalcOnLoad="1"/>
</workbook>
</file>

<file path=xl/comments7.xml><?xml version="1.0" encoding="utf-8"?>
<comments xmlns="http://schemas.openxmlformats.org/spreadsheetml/2006/main">
  <authors>
    <author>Elena</author>
  </authors>
  <commentList>
    <comment ref="W13" authorId="0">
      <text>
        <r>
          <rPr>
            <b/>
            <sz val="9"/>
            <rFont val="Tahoma"/>
            <family val="2"/>
          </rPr>
          <t>Elena:</t>
        </r>
        <r>
          <rPr>
            <sz val="9"/>
            <rFont val="Tahoma"/>
            <family val="2"/>
          </rPr>
          <t xml:space="preserve">
</t>
        </r>
      </text>
    </comment>
  </commentList>
</comments>
</file>

<file path=xl/sharedStrings.xml><?xml version="1.0" encoding="utf-8"?>
<sst xmlns="http://schemas.openxmlformats.org/spreadsheetml/2006/main" count="2448" uniqueCount="997">
  <si>
    <t>656 2 19 60010 10 0000 151</t>
  </si>
  <si>
    <t>182 1 06 01030 10 2100 110</t>
  </si>
  <si>
    <t>383</t>
  </si>
  <si>
    <t xml:space="preserve">Единица измерения:  руб </t>
  </si>
  <si>
    <t>4</t>
  </si>
  <si>
    <t>5</t>
  </si>
  <si>
    <t>Неисполненные</t>
  </si>
  <si>
    <t>назначения</t>
  </si>
  <si>
    <t>КОДЫ</t>
  </si>
  <si>
    <t xml:space="preserve"> Наименование показателя</t>
  </si>
  <si>
    <t>в том числе:</t>
  </si>
  <si>
    <t>Код дохода по КД</t>
  </si>
  <si>
    <t xml:space="preserve">         Исполнено</t>
  </si>
  <si>
    <t>через</t>
  </si>
  <si>
    <t>банковские</t>
  </si>
  <si>
    <t>счета</t>
  </si>
  <si>
    <t>некассовые</t>
  </si>
  <si>
    <t>операции</t>
  </si>
  <si>
    <t>итого</t>
  </si>
  <si>
    <t>6</t>
  </si>
  <si>
    <t>7</t>
  </si>
  <si>
    <t>8</t>
  </si>
  <si>
    <t>9</t>
  </si>
  <si>
    <t>Код источника</t>
  </si>
  <si>
    <t>финансирования</t>
  </si>
  <si>
    <t>по КИВФ, КИВнФ</t>
  </si>
  <si>
    <t>Доходы бюджета - всего</t>
  </si>
  <si>
    <t>Код</t>
  </si>
  <si>
    <t>стро-</t>
  </si>
  <si>
    <t>ки</t>
  </si>
  <si>
    <t>Источники финансирования дефицита бюджетов - всего</t>
  </si>
  <si>
    <t xml:space="preserve">             по ОКПО</t>
  </si>
  <si>
    <t xml:space="preserve">             по ОКЕИ</t>
  </si>
  <si>
    <t xml:space="preserve">                   Дата</t>
  </si>
  <si>
    <t>Руководитель финансово-</t>
  </si>
  <si>
    <t>экономической службы        ____________________   ______________________</t>
  </si>
  <si>
    <t xml:space="preserve">  Форма по ОКУД</t>
  </si>
  <si>
    <t xml:space="preserve">                        (подпись)                     (расшифровка подписи)</t>
  </si>
  <si>
    <t>010</t>
  </si>
  <si>
    <t>500</t>
  </si>
  <si>
    <t>700</t>
  </si>
  <si>
    <t xml:space="preserve">       из них:</t>
  </si>
  <si>
    <t xml:space="preserve">      в том числе:</t>
  </si>
  <si>
    <t>520</t>
  </si>
  <si>
    <t>620</t>
  </si>
  <si>
    <t xml:space="preserve">                                 1. Доходы бюджета</t>
  </si>
  <si>
    <t>710</t>
  </si>
  <si>
    <t>720</t>
  </si>
  <si>
    <t xml:space="preserve">                    3. Источники финансирования дефицитов бюджетов</t>
  </si>
  <si>
    <t>800</t>
  </si>
  <si>
    <t>810</t>
  </si>
  <si>
    <t>811</t>
  </si>
  <si>
    <t>812</t>
  </si>
  <si>
    <t>820</t>
  </si>
  <si>
    <t>821</t>
  </si>
  <si>
    <t>822</t>
  </si>
  <si>
    <t>Изменение остатков средств</t>
  </si>
  <si>
    <t>х</t>
  </si>
  <si>
    <t>увеличение остатков средств</t>
  </si>
  <si>
    <t>уменьшение остатков средств</t>
  </si>
  <si>
    <t xml:space="preserve"> </t>
  </si>
  <si>
    <t>Форма 0503127  с.3</t>
  </si>
  <si>
    <t>исполнение</t>
  </si>
  <si>
    <t>бюджета</t>
  </si>
  <si>
    <t>источники внутреннего финансирования бюджетов</t>
  </si>
  <si>
    <t>источники внешнего финансирования бюджетов</t>
  </si>
  <si>
    <t>0503127</t>
  </si>
  <si>
    <t xml:space="preserve">                           Форма 0503127  с.4</t>
  </si>
  <si>
    <t xml:space="preserve">             по ОКАТО</t>
  </si>
  <si>
    <t>увеличение счетов расчетов (дебетовый остаток счета 121002000)</t>
  </si>
  <si>
    <t>уменьшение счетов расчетов (кредитовый остаток счета 130405000)</t>
  </si>
  <si>
    <t>через органы,</t>
  </si>
  <si>
    <t>организующие</t>
  </si>
  <si>
    <t>изменение остатков по расчетам с органами, организующими исполнение бюджетов       (стр.811 + 812)</t>
  </si>
  <si>
    <t>Изменение остатков по расчетам                       (стр.810 + 820)</t>
  </si>
  <si>
    <t>Изменение остатков по внутренним расчетам (стр.821 + стр. 822)</t>
  </si>
  <si>
    <t>Периодичность:     месячная</t>
  </si>
  <si>
    <t xml:space="preserve">Код расхода </t>
  </si>
  <si>
    <t>бюджетных</t>
  </si>
  <si>
    <t>по</t>
  </si>
  <si>
    <t>обязательств</t>
  </si>
  <si>
    <t>лимитам</t>
  </si>
  <si>
    <t>11</t>
  </si>
  <si>
    <t>Расходы бюджета - всего</t>
  </si>
  <si>
    <t>200</t>
  </si>
  <si>
    <t>Результат исполнения бюджета (дефицит / профицит)</t>
  </si>
  <si>
    <t xml:space="preserve">        Форма 0503127  с.2</t>
  </si>
  <si>
    <t xml:space="preserve">Утвержденные </t>
  </si>
  <si>
    <t xml:space="preserve">бюджетные </t>
  </si>
  <si>
    <t>получатель, администратор поступлений   ________________________________________________________________________________________________</t>
  </si>
  <si>
    <t xml:space="preserve">Главный распорядитель (распорядитель),     </t>
  </si>
  <si>
    <t xml:space="preserve">                                                ГЛАВНОГО РАСПОРЯДИТЕЛЯ (РАСПОРЯДИТЕЛЯ), ПОЛУЧАТЕЛЯ СРЕДСТВ БЮДЖЕТА</t>
  </si>
  <si>
    <t xml:space="preserve">                        ОТЧЕТ  ОБ  ИСПОЛНЕНИИ БЮДЖЕТА</t>
  </si>
  <si>
    <t xml:space="preserve">увеличение остатков по внутренним расчетам </t>
  </si>
  <si>
    <t xml:space="preserve">уменьшение остатков по внутренним расчетам </t>
  </si>
  <si>
    <t>Администрация сельского поселения Зайцева Речка</t>
  </si>
  <si>
    <t>71119912001</t>
  </si>
  <si>
    <t>79556692</t>
  </si>
  <si>
    <t>Налоговые и неналоговые доходы</t>
  </si>
  <si>
    <t>Налог на имущество физических лиц</t>
  </si>
  <si>
    <t>Арендная плата за земельные участки</t>
  </si>
  <si>
    <t>Дотации бюджетам поселений на выравнивание бюджетной обеспеченности</t>
  </si>
  <si>
    <t>Субвенции бюджетам поселений на осуществление первичного воинского учета</t>
  </si>
  <si>
    <t>211</t>
  </si>
  <si>
    <t>Заработная плата</t>
  </si>
  <si>
    <t>212</t>
  </si>
  <si>
    <t>Прочие выплаты</t>
  </si>
  <si>
    <t>213</t>
  </si>
  <si>
    <t>Начисления на з/плату</t>
  </si>
  <si>
    <t>226</t>
  </si>
  <si>
    <t>Прочие услуги</t>
  </si>
  <si>
    <t>221</t>
  </si>
  <si>
    <t>Услуги связи</t>
  </si>
  <si>
    <t>Транспортные услуги</t>
  </si>
  <si>
    <t>222</t>
  </si>
  <si>
    <t>Коммунальные услуги</t>
  </si>
  <si>
    <t>223</t>
  </si>
  <si>
    <t>Услуги  по содержанию имущества</t>
  </si>
  <si>
    <t>225</t>
  </si>
  <si>
    <t>210</t>
  </si>
  <si>
    <t>ИТОГО по 220 коду</t>
  </si>
  <si>
    <t>220</t>
  </si>
  <si>
    <t>ИТОГО по 210 коду</t>
  </si>
  <si>
    <t>241</t>
  </si>
  <si>
    <t>242</t>
  </si>
  <si>
    <t>240</t>
  </si>
  <si>
    <t>Безвозмездные и безвозратные перечисления государственным и муниципальным организациям</t>
  </si>
  <si>
    <t>Прочие расходы</t>
  </si>
  <si>
    <t>300</t>
  </si>
  <si>
    <t>Услги по содержанию имущества</t>
  </si>
  <si>
    <t>Увеличение стои-сти материалов</t>
  </si>
  <si>
    <t>Земельный налог ст.394 п.1 подп.1</t>
  </si>
  <si>
    <t>Земельный налог ст.394 п.1 подп.2</t>
  </si>
  <si>
    <t>Поступление денежных средств</t>
  </si>
  <si>
    <t>Выбытие денежных средств</t>
  </si>
  <si>
    <t>251</t>
  </si>
  <si>
    <t>Межбюджетные трансферты</t>
  </si>
  <si>
    <t>182 1 06 06013 10 2000 110</t>
  </si>
  <si>
    <t>182 1 06 06013 10 1000 110</t>
  </si>
  <si>
    <t>182 1 06 06023 10 1000 110</t>
  </si>
  <si>
    <t>182 1 06 06023 10 2000 110</t>
  </si>
  <si>
    <t>182 1 06 01030 10 1000 110</t>
  </si>
  <si>
    <t>182 1 06 01030 10 2000 110</t>
  </si>
  <si>
    <t>182 1 11 05010 10 0000 120</t>
  </si>
  <si>
    <t>Единый сельскохозяйственный налог</t>
  </si>
  <si>
    <t>Доплаты к пенсии муниц.служ.</t>
  </si>
  <si>
    <t>263</t>
  </si>
  <si>
    <t>182 1 06 06013 10 4000 110</t>
  </si>
  <si>
    <t>Безвозмездные поступления в том числе:</t>
  </si>
  <si>
    <t>292</t>
  </si>
  <si>
    <t>Субвенции бюджетам поселений на осуществление полномочий по ЗАГСУ</t>
  </si>
  <si>
    <t>Услуги по содержанию имущества</t>
  </si>
  <si>
    <t>344</t>
  </si>
  <si>
    <t xml:space="preserve">Прочие межбюджетные трансферты, передаваемые бюджетам поселения </t>
  </si>
  <si>
    <t>Доходы от продажи   земельных  участков</t>
  </si>
  <si>
    <t>343</t>
  </si>
  <si>
    <t>Госпошлина</t>
  </si>
  <si>
    <t>Аренда зданий, имущества</t>
  </si>
  <si>
    <t>Дотации бюджетам поселений на сбалансированность бюджетной обеспеченности</t>
  </si>
  <si>
    <t>Наименование бюджета      МО сельское поселение Зайцева Речка________________________________________________________________________________________________________________________</t>
  </si>
  <si>
    <t>Налог на доходы физических лиц</t>
  </si>
  <si>
    <t>Налог на доходы физических лиц ст.224 п.1</t>
  </si>
  <si>
    <t>Доходы от реализации иного имущества</t>
  </si>
  <si>
    <t>182 1 01 02021 01 4000 110</t>
  </si>
  <si>
    <t>182 1 01 02040 01 1000 110</t>
  </si>
  <si>
    <t xml:space="preserve">Налог на доходы физических лиц </t>
  </si>
  <si>
    <t>182 1 01 02022 01 1000 110</t>
  </si>
  <si>
    <t>182 1 01 02022 01 2000 110</t>
  </si>
  <si>
    <t>656 1 11 05035 10 0000 120</t>
  </si>
  <si>
    <t>656 1 08 04020 01 1000 110</t>
  </si>
  <si>
    <t>656 1 08 04020 01 4000 110</t>
  </si>
  <si>
    <t>Компенсация выпадающих доходов организациям, предоставляющим,населению жилищные вопросы</t>
  </si>
  <si>
    <t>656.01.05.0201.10.0000.510</t>
  </si>
  <si>
    <t>656.01.05.0201.10.0000.610</t>
  </si>
  <si>
    <t>Прочие поступления от использ, имущ</t>
  </si>
  <si>
    <t>656 1 11 09045 10 0000 120</t>
  </si>
  <si>
    <t>656 2 02 01001 10 0000 151</t>
  </si>
  <si>
    <t>656 2 02 01003 10 0000 151</t>
  </si>
  <si>
    <t>656 2 02 03003 10 0000 151</t>
  </si>
  <si>
    <t>656 2 02 04999 10 0000 151</t>
  </si>
  <si>
    <t>656 2 02 03015 10 0000 151</t>
  </si>
  <si>
    <t>656 2 07 05000 10 0000 180</t>
  </si>
  <si>
    <t>Прочие безвозмездные поступления в бюджеты поселения</t>
  </si>
  <si>
    <t>Перечисления из бюджетов поселений "в бюджеты поселений) для осуществления возврата излишне уплаченных изи излишне взысканных сумм налогов, сборов и иных платежей, а также сумм процентов за несвоевременное осуществление такого возраста и процентов, начисленных на излишне взысканные суммы</t>
  </si>
  <si>
    <t>656 2 08 05000 10 0000 180</t>
  </si>
  <si>
    <t xml:space="preserve">                                                 (подпись)                                      (расшифровка подписи)</t>
  </si>
  <si>
    <t>656 1 17 01050 10 0000 180</t>
  </si>
  <si>
    <t xml:space="preserve">                                                  (подпись)                (расшифровка подписи)</t>
  </si>
  <si>
    <t>Глава поселения   __________________</t>
  </si>
  <si>
    <t>С.В. Субботина</t>
  </si>
  <si>
    <r>
      <t>Главный бухгалтер ________________             __</t>
    </r>
    <r>
      <rPr>
        <u val="single"/>
        <sz val="8"/>
        <rFont val="Arial Cyr"/>
        <family val="0"/>
      </rPr>
      <t>Е.В. Бельская____</t>
    </r>
    <r>
      <rPr>
        <sz val="8"/>
        <rFont val="Arial Cyr"/>
        <family val="2"/>
      </rPr>
      <t>_</t>
    </r>
  </si>
  <si>
    <t>656 3 03 99050 10 0000 180</t>
  </si>
  <si>
    <t>Прочие безвозмездные поступления учреждениям, находящимся в ведении органов местного самоуправления поселений</t>
  </si>
  <si>
    <t>Доходы от оказания услуг учреждениями, находящимися в ведении органов местного самоуправления поселений</t>
  </si>
  <si>
    <t>Невыясненные поступления, зачисляемые в бюджет поселений</t>
  </si>
  <si>
    <t>656 3 02 01050 10 0000 130</t>
  </si>
  <si>
    <t>040 1 11 05013 10 0000 120</t>
  </si>
  <si>
    <t>182 1 01 02010 01 1000 110</t>
  </si>
  <si>
    <t>182 1 01 02010 01 2000 110</t>
  </si>
  <si>
    <t>182 1 01 02030 01 2000 110</t>
  </si>
  <si>
    <t>182 1 05 03020 01 1000 110</t>
  </si>
  <si>
    <t>182 1 05 03020 01 2000 110</t>
  </si>
  <si>
    <t xml:space="preserve">Прочие доходы от оказания плат.услуг </t>
  </si>
  <si>
    <t>182 1 01 02030 01 1000 110</t>
  </si>
  <si>
    <t>Налог на доходы физических лиц ст.228 п.1</t>
  </si>
  <si>
    <t>182 1 01 02030 01 3000 110</t>
  </si>
  <si>
    <t>182 1 05 03010 01 1000 110</t>
  </si>
  <si>
    <t>Прочие доходы от компенсации затрат бюджетов поселения</t>
  </si>
  <si>
    <t>656 1 13 01995 10 0000 130</t>
  </si>
  <si>
    <t>656 1 14 06014 10 0000 430</t>
  </si>
  <si>
    <t>656 1 14 06013 10 0000 430</t>
  </si>
  <si>
    <t>Денежные взыскания (штрафы) за нарушение законодательсва РФ</t>
  </si>
  <si>
    <t>Возврат остатков субсидий, субвенций и иных межбюджетных трансфетров</t>
  </si>
  <si>
    <t>656 2 19 05000 10 0000 151</t>
  </si>
  <si>
    <t>182 1 01 02020 01 2000 110</t>
  </si>
  <si>
    <t>182 1 01 02020 01 3000 110</t>
  </si>
  <si>
    <t>Доходы от продажи   квартир</t>
  </si>
  <si>
    <t>656 1 14 01050 10 0000 410</t>
  </si>
  <si>
    <t>01.09.12г</t>
  </si>
  <si>
    <r>
      <t>_01</t>
    </r>
    <r>
      <rPr>
        <sz val="8"/>
        <rFont val="Arial Cyr"/>
        <family val="2"/>
      </rPr>
      <t xml:space="preserve"> </t>
    </r>
    <r>
      <rPr>
        <u val="single"/>
        <sz val="8"/>
        <rFont val="Arial Cyr"/>
        <family val="0"/>
      </rPr>
      <t>_сентября</t>
    </r>
    <r>
      <rPr>
        <sz val="8"/>
        <rFont val="Arial Cyr"/>
        <family val="2"/>
      </rPr>
      <t xml:space="preserve">__ </t>
    </r>
    <r>
      <rPr>
        <u val="single"/>
        <sz val="8"/>
        <rFont val="Arial Cyr"/>
        <family val="0"/>
      </rPr>
      <t xml:space="preserve"> 2012 г</t>
    </r>
    <r>
      <rPr>
        <sz val="8"/>
        <rFont val="Arial Cyr"/>
        <family val="2"/>
      </rPr>
      <t>.</t>
    </r>
  </si>
  <si>
    <t>656 1 14 02053 10 0000 410</t>
  </si>
  <si>
    <t>Доходы от возмещения ущерба при возникновении страховых случаев</t>
  </si>
  <si>
    <t>656 1 16 23051 10 0000 140</t>
  </si>
  <si>
    <t>342</t>
  </si>
  <si>
    <t xml:space="preserve">                                                                        на  1 отября 2012 г.</t>
  </si>
  <si>
    <t>161 1 16 33050 10 6000 140</t>
  </si>
  <si>
    <t>182 1 01 02020 01 1000 110</t>
  </si>
  <si>
    <t>656 1 13 02995 10 0000 130</t>
  </si>
  <si>
    <t>*</t>
  </si>
  <si>
    <t>Возврат остатков субсидий, субвенций и иных межбюджетных трансфетров, имеющих целевое назначение, прошлых лет из бюджетов поселений</t>
  </si>
  <si>
    <t>ОТЧЕТ ОБ ИСПОЛНЕНИИ БЮДЖЕТА</t>
  </si>
  <si>
    <t>Форма по ОКУД</t>
  </si>
  <si>
    <t>0503117</t>
  </si>
  <si>
    <t>Дата</t>
  </si>
  <si>
    <t>Наименование</t>
  </si>
  <si>
    <t>по ОКПО</t>
  </si>
  <si>
    <t>финансового органа</t>
  </si>
  <si>
    <t>Глава по БК</t>
  </si>
  <si>
    <t>по ОКАТО</t>
  </si>
  <si>
    <t>Периодичность:  месячная</t>
  </si>
  <si>
    <t xml:space="preserve">Единица измерения:  руб. </t>
  </si>
  <si>
    <t xml:space="preserve"> 2. Расходы бюджета</t>
  </si>
  <si>
    <t xml:space="preserve"> 1. Доходы бюджета</t>
  </si>
  <si>
    <t>3. Источники финансирования дефицитов бюджетов</t>
  </si>
  <si>
    <t>Наименование публично-правового образования     МО сельского поселения Зайцева Речка</t>
  </si>
  <si>
    <t>250</t>
  </si>
  <si>
    <t>260</t>
  </si>
  <si>
    <t>290</t>
  </si>
  <si>
    <t>656 1 08 04020 01 0000 110</t>
  </si>
  <si>
    <t>182 1 06 06000 00 0000 110</t>
  </si>
  <si>
    <t>182 1 06 01030 10 0000 110</t>
  </si>
  <si>
    <t>ВСЕГО ПО ПОСЕЛЕНИЮ</t>
  </si>
  <si>
    <t>ИТОГО по 240 коду</t>
  </si>
  <si>
    <t>ИТОГО по 250 коду (межбюджетные трансферты)</t>
  </si>
  <si>
    <t>ИТОГО по 260 коду (Допл. к пенсии муниц.служ.)</t>
  </si>
  <si>
    <t>ИТОГО по 250 коду (Прочие расходы)</t>
  </si>
  <si>
    <t>ИТОГО по 300 коду(Увеличение стои-сти нефин.актив.)</t>
  </si>
  <si>
    <t>ИТОГО по 800 коду</t>
  </si>
  <si>
    <t>Коммунальные услуи</t>
  </si>
  <si>
    <t>182 1 05 00000 00 0000 110</t>
  </si>
  <si>
    <t>Неисполненные  назначения</t>
  </si>
  <si>
    <t xml:space="preserve"> Исполнено</t>
  </si>
  <si>
    <t>Утвержденные бюджетные назначения</t>
  </si>
  <si>
    <t>340</t>
  </si>
  <si>
    <t>182 1 01 02030 01 2100 110</t>
  </si>
  <si>
    <t xml:space="preserve">источники внешнего финансирования </t>
  </si>
  <si>
    <t xml:space="preserve">источники внутреннего финансирования </t>
  </si>
  <si>
    <t>Изменение остатков финансирования             (стр. 710+стр. 720)</t>
  </si>
  <si>
    <t>Увеличение прочих остатков денежных средств бюджета населения</t>
  </si>
  <si>
    <t>Увеличение остатков средств, всего</t>
  </si>
  <si>
    <t>Уменьшение остатков средств, всего</t>
  </si>
  <si>
    <t>Изменение остатков по внутренним расчетам                       (стр.825 + 826)</t>
  </si>
  <si>
    <t>увеличение остатков по внутренним расчетам  (030800000,030900000)</t>
  </si>
  <si>
    <t>уменьшение остатков по внутренним расчетам (02110000,021200000)</t>
  </si>
  <si>
    <t>825</t>
  </si>
  <si>
    <t>826</t>
  </si>
  <si>
    <t>182 1 01 02000 01 0000 110</t>
  </si>
  <si>
    <t>Начисления на оплату труда</t>
  </si>
  <si>
    <t>182 1 06 06033 10 1000 110</t>
  </si>
  <si>
    <t>Прочие поступления (штрафы)</t>
  </si>
  <si>
    <t>141 1 16 90050 10 6000 140</t>
  </si>
  <si>
    <t>224</t>
  </si>
  <si>
    <t>Аренда</t>
  </si>
  <si>
    <t xml:space="preserve">Главный бухгалтер                               </t>
  </si>
  <si>
    <t>Прочие поступления от денежных взысканий (штрафов) и иных сумм в возмещение ущерба, зачисляемые в бюджеты муниципальных районов</t>
  </si>
  <si>
    <t>656 1 16 90050 10 6000 140</t>
  </si>
  <si>
    <t>2</t>
  </si>
  <si>
    <t>3</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</si>
  <si>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</si>
  <si>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</si>
  <si>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</si>
  <si>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</si>
  <si>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зачисляемые в консолидированные бюджеты субъектов Российской Федерации</t>
  </si>
  <si>
    <t>000 1 03 02000 01 0000 110</t>
  </si>
  <si>
    <t>100 1 03 02230 01 0000 110</t>
  </si>
  <si>
    <t>100 1 03 02240 01 0000 110</t>
  </si>
  <si>
    <t>100 1 03 02250 01 0000 110</t>
  </si>
  <si>
    <t>100 1 03 02260 01 0000 110</t>
  </si>
  <si>
    <t xml:space="preserve">Земельный налог </t>
  </si>
  <si>
    <t xml:space="preserve">Земельный налог с организаций, обладающих земельным участком, расположенным в границах сельских поселений
</t>
  </si>
  <si>
    <t xml:space="preserve">Земельный налог с физических лиц, обладающих земельным участком, расположенным в границах сельских поселений
</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</si>
  <si>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</si>
  <si>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t>
  </si>
  <si>
    <t>Доходы от использования имущества находящегося в государственной и муниципальной собственности</t>
  </si>
  <si>
    <t xml:space="preserve">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</si>
  <si>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656 1 11 05000 00 0000 120</t>
  </si>
  <si>
    <t xml:space="preserve">Доходы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 в том числе казенных) </t>
  </si>
  <si>
    <t>656 1 11 09040 00 0000 120</t>
  </si>
  <si>
    <t xml:space="preserve">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 в том числе казенных) </t>
  </si>
  <si>
    <t>Доходы от продажи нематериальных активов</t>
  </si>
  <si>
    <t>Доходы от продажи квартир,находящихся в собственности  поселений</t>
  </si>
  <si>
    <t xml:space="preserve">Прочие доходы от оказания платных услуг </t>
  </si>
  <si>
    <t xml:space="preserve">Прочие доходы от оказания платных услуг (работ) получателями средств бюджетов поселений </t>
  </si>
  <si>
    <t>Безвозмездные поступления от других бюджетов бюджетной системы Российской Федерации в том числе:</t>
  </si>
  <si>
    <t>656 2 02 15001 10 0000 151</t>
  </si>
  <si>
    <t>656 2 02 15002 10 0000 151</t>
  </si>
  <si>
    <t>656 2 02 35118 10 0000 151</t>
  </si>
  <si>
    <t>656 1 11 00000 00 0000 120</t>
  </si>
  <si>
    <t>656 1 13 00000 00 0000 130</t>
  </si>
  <si>
    <t>656 1 14 00000 00 0000 410</t>
  </si>
  <si>
    <t>656 1 08 00000 00 0000 110</t>
  </si>
  <si>
    <t>656 2 02 00000 00 0000 151</t>
  </si>
  <si>
    <t>182 1 06 06033 10 2100 110</t>
  </si>
  <si>
    <t>182 1 06 06043 10 2100 110</t>
  </si>
  <si>
    <t xml:space="preserve">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 </t>
  </si>
  <si>
    <t>656 1 14 02052 10 0000 410</t>
  </si>
  <si>
    <t>04094000199990244.225</t>
  </si>
  <si>
    <t>04094000199990244.000</t>
  </si>
  <si>
    <t>031441001S2300244.000</t>
  </si>
  <si>
    <t>01025000002030121.211</t>
  </si>
  <si>
    <t>01025000002030121.000</t>
  </si>
  <si>
    <t>01025000002030129.213</t>
  </si>
  <si>
    <t>03144100182300244.000</t>
  </si>
  <si>
    <t>01045000002040121.000</t>
  </si>
  <si>
    <t>01045000002040121.211</t>
  </si>
  <si>
    <t>01045000002040129.213</t>
  </si>
  <si>
    <t>01135000002040122.000</t>
  </si>
  <si>
    <t>01135000002400244.226</t>
  </si>
  <si>
    <t>01135000002400244.000</t>
  </si>
  <si>
    <t>02035000051180121.211</t>
  </si>
  <si>
    <t>030450000D9300244.000</t>
  </si>
  <si>
    <t>10015000099990321.000</t>
  </si>
  <si>
    <t>01135200000590111.000</t>
  </si>
  <si>
    <t>01135200000590111.211</t>
  </si>
  <si>
    <t>01135200000590119.213</t>
  </si>
  <si>
    <t>01135200000590112.000</t>
  </si>
  <si>
    <t>01135200000590112.212</t>
  </si>
  <si>
    <t>01135200000590244.223</t>
  </si>
  <si>
    <t>01135200000590244.225</t>
  </si>
  <si>
    <t>01135200000590244.226</t>
  </si>
  <si>
    <t>08015300000590111.211</t>
  </si>
  <si>
    <t>08015300082440111.211</t>
  </si>
  <si>
    <t>080153000S2440111.211</t>
  </si>
  <si>
    <t>08015300000590112.212</t>
  </si>
  <si>
    <t>08015300000590112.000</t>
  </si>
  <si>
    <t>08015300000590242.221</t>
  </si>
  <si>
    <t>08015300000590244.223</t>
  </si>
  <si>
    <t>08015300000590244.225</t>
  </si>
  <si>
    <t>08015300000590244.226</t>
  </si>
  <si>
    <t>08025300000590111.211</t>
  </si>
  <si>
    <t>08025300000590119.213</t>
  </si>
  <si>
    <t>11015400000590111.211</t>
  </si>
  <si>
    <t>11015400000590119.213</t>
  </si>
  <si>
    <t>11015400000590112.212</t>
  </si>
  <si>
    <t>11015400000590112.000</t>
  </si>
  <si>
    <t>11015400000590244.000</t>
  </si>
  <si>
    <t>03095500099990244.226</t>
  </si>
  <si>
    <t>03095500099990244.000</t>
  </si>
  <si>
    <t>04105600020600810.000</t>
  </si>
  <si>
    <t>04105600020600814.242</t>
  </si>
  <si>
    <t>05015600020601814.241</t>
  </si>
  <si>
    <t>05015600020601814.000</t>
  </si>
  <si>
    <t>05035600020602244.000</t>
  </si>
  <si>
    <t>05035600020602244.223</t>
  </si>
  <si>
    <t>05035600020602244.225</t>
  </si>
  <si>
    <t>05035600020603244.000</t>
  </si>
  <si>
    <t>05035600020603244.225</t>
  </si>
  <si>
    <t>05035600020604244.000</t>
  </si>
  <si>
    <t>05035600020604244.225</t>
  </si>
  <si>
    <t>05035600020605244.223</t>
  </si>
  <si>
    <t>05035600020605244.225</t>
  </si>
  <si>
    <t>05035600020605244.340</t>
  </si>
  <si>
    <t>01045700089240540.251</t>
  </si>
  <si>
    <t>01045700089240540.000</t>
  </si>
  <si>
    <t>05015700089090540.000</t>
  </si>
  <si>
    <t>05025700089020540.251</t>
  </si>
  <si>
    <t>03105800099990244.000</t>
  </si>
  <si>
    <t>04125700089090540.251</t>
  </si>
  <si>
    <t>03105800099990244.226</t>
  </si>
  <si>
    <t>05015800099991244.000</t>
  </si>
  <si>
    <t>05015800099991244.226</t>
  </si>
  <si>
    <t>05035900020020244.000</t>
  </si>
  <si>
    <t>05035900020020244.225</t>
  </si>
  <si>
    <t>04017000085060111.211</t>
  </si>
  <si>
    <t>04017000085060119.213</t>
  </si>
  <si>
    <t>01134200102400244.000</t>
  </si>
  <si>
    <t>01134200102400244.226</t>
  </si>
  <si>
    <t>02035000051180244.226</t>
  </si>
  <si>
    <t xml:space="preserve">                                                      (подпись)                                                  (расшифровка подписи)</t>
  </si>
  <si>
    <t xml:space="preserve">                                                      (подпись)                                                    (расшифровка подписи)</t>
  </si>
  <si>
    <t>04094100182300244.000</t>
  </si>
  <si>
    <t>656.43.001.1 разд.0503 Расходы на муниципальную программу «Формирование комфортной городской среды в с.п. Зайцева Речка на 2017-2020 годы"</t>
  </si>
  <si>
    <t>050343000L5550244.000</t>
  </si>
  <si>
    <t>050343000L5550244.226</t>
  </si>
  <si>
    <t>050343000R555F244.226</t>
  </si>
  <si>
    <t>656.40.001.1 разд.0409 Расходы на реализ.основного мероприятия "Содержание муниц.внутрипол.автом.дорог "МП "Развитие транспорт системысп Зайцева Речка на 2014-2020ггоды"(Прочая закупка товаров,работ и услуг для госуд.(муниц.)нужд)</t>
  </si>
  <si>
    <t>656.40.001.2 разд.0409 Муниципальная программа "Развитие транспортной системы сельского поселения Зайцева Речка на 2014-2020г." Закупка товаров, работ и услуг для обеспечения государственных (муниципальных) нужд</t>
  </si>
  <si>
    <t>656.41.001.2 разд.0314 Создание условий для деятельностинародных дружин в рамеках МП "Профилактика правонарушений в сфере общественного порядкав сп Зайцева Речка на 2017-2019годы"</t>
  </si>
  <si>
    <t xml:space="preserve">656.52.007.2 разд.0113 МКУ «Содружество»расходы на выплату персоналу государственных (муниципальных) органов   </t>
  </si>
  <si>
    <t>656.52.007.3 разд.0113 МКУ "Содружество" (прочие выплат)</t>
  </si>
  <si>
    <t>656.52.007.5 разд.0113 МКУ "Содружество" (прочая закупка товаров, работ,услуг для муниципальных нужд)</t>
  </si>
  <si>
    <t xml:space="preserve">656.53.001.3 разд.0801 МКУ «СДК» п. Зайцева Речка. Закупка товаров, работ, услуг в сфере информационно-коммуникационных технологий в рамках ведомственной целевой программы «Развитие культуры сельского поселения Зайцева Речка на на 2017-2019гг» </t>
  </si>
  <si>
    <t xml:space="preserve">656.54.001.2 разд.1101 МКУ «СДК» п. Зайцева Речка. Иные выплаты персоналу казенных учреждений, за исключением фонда оплаты труда) в рамках ведомственной целевой программы "Организация и обеспечение мероприятий в области физической культуры и спорта </t>
  </si>
  <si>
    <t xml:space="preserve">656.54.001.3 разд.1101 МКУ «СДК» п. Зайцева Речка. Мероприятие в области физической культуры и спорта(Прочая закупка товаров, работ и услуг для мун. нужд) </t>
  </si>
  <si>
    <t>656.70.001.1 разд.0401 Расходы на реализацию мероприятий по содействию трудоустроцства граждан в рамках программы "Содействие трудоустроцству граждан" в рамках государственной программы "Содействие занятости населения в ХМАО-Югре на2014-2020гг.БТИ (ФОТ)</t>
  </si>
  <si>
    <t>656.52.007.4 разд.0113 МКУ "Содружество" (закупка товаров, работ,услуг в сфере информационно-коммуникационных технологий)</t>
  </si>
  <si>
    <t>01135200000590242.221</t>
  </si>
  <si>
    <t>01135200000590244.221</t>
  </si>
  <si>
    <t>01135200000590240.000</t>
  </si>
  <si>
    <t>08015300000590110.000</t>
  </si>
  <si>
    <t>08015300000590244.221</t>
  </si>
  <si>
    <t>08015300000590240.000</t>
  </si>
  <si>
    <t>08015300000590000.000</t>
  </si>
  <si>
    <t>08025300000590110.000</t>
  </si>
  <si>
    <t>11015400000590110.000</t>
  </si>
  <si>
    <t>03095500099990244.225</t>
  </si>
  <si>
    <t>05035600020605244.224</t>
  </si>
  <si>
    <t>05025700089020540.000</t>
  </si>
  <si>
    <t>08015700089090540.251</t>
  </si>
  <si>
    <t>05015800099991244.225</t>
  </si>
  <si>
    <t>04017000085060110.000</t>
  </si>
  <si>
    <t>00000000000000000.000</t>
  </si>
  <si>
    <t>Увеличение стои-сти основных средств</t>
  </si>
  <si>
    <t>182 1 06 06043 10 1000 110</t>
  </si>
  <si>
    <t>03144100182300244.226</t>
  </si>
  <si>
    <t>01135000002400851.290</t>
  </si>
  <si>
    <t>01135000002400853.290</t>
  </si>
  <si>
    <t>02035000051180000.000</t>
  </si>
  <si>
    <t>02035000051180244.310</t>
  </si>
  <si>
    <t>02035000051180244.340</t>
  </si>
  <si>
    <t>030450000D9300244.290</t>
  </si>
  <si>
    <t>030450000D9300244.340</t>
  </si>
  <si>
    <t>01135200000590244.310</t>
  </si>
  <si>
    <t>01135200000590244.340</t>
  </si>
  <si>
    <t>01135200000590851.290</t>
  </si>
  <si>
    <t>05035600020605244.222</t>
  </si>
  <si>
    <t>05035600020605244.226</t>
  </si>
  <si>
    <t>05015800099991244.310</t>
  </si>
  <si>
    <t>05035900020020244.310</t>
  </si>
  <si>
    <t>04094000199990244.310</t>
  </si>
  <si>
    <t>01135000002400244.340</t>
  </si>
  <si>
    <t>01135200000590853.290</t>
  </si>
  <si>
    <t>01135200000590852.290</t>
  </si>
  <si>
    <t>08015300000590244.290</t>
  </si>
  <si>
    <t>08015300000590244.310</t>
  </si>
  <si>
    <t>08015300000590244.340</t>
  </si>
  <si>
    <t>08015300000590851.290</t>
  </si>
  <si>
    <t>08015300000590853.290</t>
  </si>
  <si>
    <t>11015400000590244.290</t>
  </si>
  <si>
    <t>11015400000590244.340</t>
  </si>
  <si>
    <t>03095500099990244.340</t>
  </si>
  <si>
    <t>310</t>
  </si>
  <si>
    <t>04094000199990244.226</t>
  </si>
  <si>
    <t>04094000182390244.225</t>
  </si>
  <si>
    <t>040940001S2390244.225</t>
  </si>
  <si>
    <t>03144100182300000.000</t>
  </si>
  <si>
    <t>01135000002400122.212</t>
  </si>
  <si>
    <t>030450000D9300000.000</t>
  </si>
  <si>
    <t>08015300000590119.213</t>
  </si>
  <si>
    <t>08015300082440000.000</t>
  </si>
  <si>
    <t>04017000085060000.000</t>
  </si>
  <si>
    <t>02035000051180129.213</t>
  </si>
  <si>
    <t>05015700089090540.251</t>
  </si>
  <si>
    <t>04017000099990111.211</t>
  </si>
  <si>
    <t>0401700009990119.213</t>
  </si>
  <si>
    <t>656 2 02 49999 10 0000 151</t>
  </si>
  <si>
    <t xml:space="preserve">656 2 02 35930 10 0000 151 </t>
  </si>
  <si>
    <t>656 2 02 19999 10 0000 151</t>
  </si>
  <si>
    <t>10015000099990321.263</t>
  </si>
  <si>
    <t>Межбюджентные трансферты, передоваемые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</si>
  <si>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656 2 02 40014 10 0000 151</t>
  </si>
  <si>
    <t>11015400000590244.310</t>
  </si>
  <si>
    <t>05025700089090540.251</t>
  </si>
  <si>
    <t>06055700089130540.251</t>
  </si>
  <si>
    <t>03095800099990244.226</t>
  </si>
  <si>
    <t>05035600020605244.290</t>
  </si>
  <si>
    <t>05035900020020244.226</t>
  </si>
  <si>
    <t>182 1 01 02010 01 1001 110</t>
  </si>
  <si>
    <t>182 1 01 02010 01 3000 110</t>
  </si>
  <si>
    <t>182 1 01 02010 01 2101 110</t>
  </si>
  <si>
    <t>Прочие доходы от компенсации затрат  бюджетов сельских поселений</t>
  </si>
  <si>
    <t>182.</t>
  </si>
  <si>
    <t xml:space="preserve">Глава поселения                              </t>
  </si>
  <si>
    <r>
      <t>________</t>
    </r>
    <r>
      <rPr>
        <u val="single"/>
        <sz val="8"/>
        <rFont val="Times New Roman"/>
        <family val="1"/>
      </rPr>
      <t>С.В. Субботина</t>
    </r>
    <r>
      <rPr>
        <sz val="8"/>
        <rFont val="Times New Roman"/>
        <family val="1"/>
      </rPr>
      <t>______</t>
    </r>
  </si>
  <si>
    <r>
      <t>________</t>
    </r>
    <r>
      <rPr>
        <u val="single"/>
        <sz val="8"/>
        <rFont val="Times New Roman"/>
        <family val="1"/>
      </rPr>
      <t>Е.В. Бельская</t>
    </r>
    <r>
      <rPr>
        <sz val="8"/>
        <rFont val="Times New Roman"/>
        <family val="1"/>
      </rPr>
      <t>______</t>
    </r>
  </si>
  <si>
    <t>01.02.2018</t>
  </si>
  <si>
    <t>656.41.001.1 разд.0314 Софинансирование для создания условий для деятельности народных дружин в рамках МП "Профилактика правонарушений в сфере общественного порядка в сп Зайцева Речка на 2018-2020г"(бюджет поселения)</t>
  </si>
  <si>
    <t>031441001S2300244.340</t>
  </si>
  <si>
    <t>03144100182300244.340</t>
  </si>
  <si>
    <t>656.42.001.1 разд.0113 МП "Развитие муниципальной службы в с.п. Зайцева Речка на 2018-2020 годы"</t>
  </si>
  <si>
    <t>656.50.001.1 разд. 0102 ФОТ,взносы по об соц стр по сод-ю главы муниц. об-я в рамках ВЦП"Обесп-е реал-ии отд-х полн-й адм спЗайц Р на 2019-2020гг. Функционирование законодательных органов(представительныхорганов) государс.власти и местного самоуправления</t>
  </si>
  <si>
    <t>656.50.003.1 разд.0104 Фонд оплаты труда, взносы по об соц стр-ю для об-я функций органов мест самоупр-я в рамках ВЦП "Об-е реал отд-х полн-й адм спЗайцева Речка на 2018-2020ггФОТ,взносы по об.соц.стр для обесп-я функций органов мест самоупр в рамках ВЦП "Об-е реал-ии отд-х полномочий адм спЗайц Речка на 2018-2020гг</t>
  </si>
  <si>
    <t>656.50.004.1 разд.0113.Льгот проезд,ком расх органов мест самоупр-я в рамках ВЦП "Об-е реал-и отд-х полн-й адм спЗайц Речка на 2018-2020гг"</t>
  </si>
  <si>
    <t>656.50.004.2 разд.0113 Прочие мероприятия органов местного самоуправления в рамках ВЦП "Обеспечение реализации отдельных  полномочий администрации с.п. Зайцева Речка на  2018-2020 гг"  (Прочая закупка товаров, работ и услуг для обеспечения государственных (муниципальных) нужд)</t>
  </si>
  <si>
    <t>656.50.005.1 разд.0203 ФОТ. взносы по об соц стр. по субвенциям на осущ-е первич. воин. учета на тер-хюгде отс-т воен ком-ты(фед бюд) в рамках ВЦП"Об-е реал-и отд-х полн-й адм спЗайц речка на 2018-2020гг (ВУС)</t>
  </si>
  <si>
    <t>656.50.004.3 разд.0113 Уплата прочих налогов, сборов и иных платежей органов местного самоуправления в рамках ВЦП "Обеспечение реализации отдельных  полномочий администрации с.п. Зайцева Речка на  2018-2020 гг"</t>
  </si>
  <si>
    <t>02035000051180244.000</t>
  </si>
  <si>
    <t>656.50.005.2 разд.0203 Прочая закупка товаров,работ и услуг по субвенциям на осущ.перв.воинского учета на территор.,где отсутствуют военные комисс.,(фед.бюджет)в рамках ВЦП"Обеспеч.реал.отдельн.полн.админ.с.п.Зайцева речка 2018-2020гг"</t>
  </si>
  <si>
    <t>656.50.006.1 разд.0304 Осущ-е переданных органам гос вл субъектов РФ в соот с п1 ст4 ФЗ "Об актах граж сост" пол-й Рф на гос рег актов граж сост-я за счет ср.окр бюд. в рам ВЦП"Об-е реал-и отд полн-й адм спЗайц Р на 2019-2020гг(загс)</t>
  </si>
  <si>
    <t>656.50.007.1 разд.1001 Расходы на выплату пенсий за выслугу лет в рамках ВЦП"Обеспечение реализации отдельных полномочий администрации сельского поселения Зайцева Речка на 2018-2020гг"</t>
  </si>
  <si>
    <t>656.51.001.1 разд.0111Резерв.фонд поселения в рамках ВЦП "Орг-я бюдж процесса в адм Зайц Реч на 2018-2020гг</t>
  </si>
  <si>
    <t>656.50.008.1 разд.0107 Прочие мероприятия по обеспечению проведения выборов и реализации отдельных полномочий администрации сельского поселения Зайцева Речка на 2018-2020гг"</t>
  </si>
  <si>
    <t>01075000002040244.000</t>
  </si>
  <si>
    <t>01075000002040244.226</t>
  </si>
  <si>
    <t>656.53.001.1 разд.0801 МКУ «СДК» п. Зайцева Речка. Фонд оплаты труда казенных учреждений в рамках ведомственной целевой программы «Развитие культуры сельского поселения Зайцева Речка на на 2018-2020гг г»МКУ «СДК» п. Зайцева Речка. Взносы по обязательному социальному страхованию</t>
  </si>
  <si>
    <t>656.53.001.4 разд.0801 МКУ «СДК» п. Зайцева Речка .Иные закупки товаров, работ и услуг для обеспечения государственных (муниципальных) нужд в рамках ведомственной целевой программы «Развитие культуры сельского поселения Зайцева Речка на на 2018-2020гг»</t>
  </si>
  <si>
    <t>656.53.001.2 разд.0801 МКУ «СДК» п. Зайцева Речка       Иные выплаты персоналу казенных учреждений, за исключением фонда оплаты труда в рамках ведомственной целевой программы «Развитие культуры сельского поселения Зайцева Речка на на 2018-2020 гг»</t>
  </si>
  <si>
    <t>656.53.002.1 разд.0802 МКУ «СДК» п. Зайцева Речка. Фонд оплаты труда казенных учреждений в рамках ведомственной целевой программы «Развитие культуры сельского поселения Зайцева Речка на на 2018-2020гг г»МКУ «СДК» п. Зайцева Речка  Взносы по обязательному социальному страхованию</t>
  </si>
  <si>
    <t>656.54.001.1 разд.1101 МКУ «СДК» п. Зайцева Речка (Фонд оплаты труда казенных учреждений) в рамках ведомственной целевой программы "Организация и обеспечение мероприятий в области физической культуры и спорта в сельском поселении Зайцева Речка на 2019-2020гг »</t>
  </si>
  <si>
    <t>11015400000590244.226</t>
  </si>
  <si>
    <t>656.55.001.1 разд.0309 Реал-я мер. программы в рам.ВЦП"Орг-я и об-е мер-й в сфере гражд.обор.,пожар безоп.зщиты нас и тер-й спЗайцРеч. от чрез сит на 2018-2020гг(проч закупка тов, работ и услуг длягос(мун) нужд)</t>
  </si>
  <si>
    <t>656.56.001.1 разд.0410 Расходы на реализацию мероприятий по еспечению деятельности учреждения(РРЛ)в рамках ВЦП"Мероприятия в области ЖКХв п. ЗайцеваРечка на 2018-2020гг" (ОАО Северсвязь)</t>
  </si>
  <si>
    <t>656.56.002.1 разд.0501 Расходы на реализацию мероприятий на компенс.выпадающих доходов рганизац. предосттавлющим населению жилищные услуги по тарифам, не обеспечивающим возмещение издержек в рамках ЦП"Мероприятие в области ЖКХ в спЗайцева Речка на 2018-2020гг"(МУП "СЖКХ)</t>
  </si>
  <si>
    <t>656.56.003.1 разд.0503 Расходы на реализацию мероприятий по уличному освещению в рамках ВЦП"Мероприятияв области жилищно-коммун.хоз-вав сельском поселении Зайцева Речкана 2018-2020гг"</t>
  </si>
  <si>
    <t>656.56.003.2 разд.0503 Расходы на реализацию мероприятий по уличному освещению в рамках ВЦП"Мероприятияв области жилищно-коммун.хоз-вав сельском поселении Зайцева Речкана 2018-2020гг"</t>
  </si>
  <si>
    <t>656.56.003.3 разд.0503 Реализация мероприятий расходов на отлов собак и дезинсекцию в рамках ведомственн.целевой программы "Мероприятия в областижилищно-коммун.хоз-ва в сельском поселении Зайцева Речка на 2018-2020гг"(Прочая закупка товаров, работ и услуг для госуд.(муниц.) нужд</t>
  </si>
  <si>
    <t>05035600020605244.000</t>
  </si>
  <si>
    <t>06055600084290244.226</t>
  </si>
  <si>
    <t>656.56.003.4 разд.0503 Реализация мероприятий на благоустройство, санитарной очистки территории населения в рамках ВЦП "Мероприятия в бласти жилищно-коммунального хозяйства в с.п. Зайцева Речка на 2018-2020гг.(ФОТ)</t>
  </si>
  <si>
    <t>656.57.001.1 разд.0104 Иные МБТ в соот-и с закл-и согл-ми в рамках ВЦП"Эффект использ-е МБТ перед-х из бюджета спЗайцева Речка в бюджет НВр-на на испол-е делегир-х полномочий в 2018-2020гг (сод-е раб-в ОМС р-на)</t>
  </si>
  <si>
    <t>656.57.003.1 разд.0502 Иные межбюд.трансферты на реализ.мероприят по подготовке объектов ЖКХ и соц.сферы к работе в ОЗП в рамках подпрограммы"Создание условий для обеспечения качествн.ком.услугами"МП района  
"Развитие ЖКХ и повышение энергетической эффетивности в Ниж-варт. районе на 2014-2020гг в рамках ВЦП "Эффект исп-е мбт передаваемых из бюджета спЗайцева речка в бюджет НВрна на исп-е делегир-х полномочий в 2018-2020гг</t>
  </si>
  <si>
    <t>656.57.003.3 разд.0501 Иные МБТ в соот-и с закл-и согл-ми в рамках ВЦП"Эффект использ-е МБТ перед-х из бюджета спЗайцева Речка в бюджет НВр-на на испол-е делегир-х полномочий в 2018-2020 гг (сод-е раб-в ОМС р-на)</t>
  </si>
  <si>
    <t>656.58.002.1 разд.0501 Прочая закупка товаров,работ и услуг для госуд.(муниц.)нужд.Подпрограмма"Развитие земельных и имущественныхотношений на территориисп Зайцева Речка" в рамках ВЦП "Управление муниц.имущест.на территории сп Зайцева Речка 2018-2020годы"(БТИ)</t>
  </si>
  <si>
    <t>656.58.001.1 разд.0310 Расходы на реализацию мероприятий по обеспечению страховой защиты имущества с.п. Зайцева Речка а рамках ВЦП "Управление муниципальным имуществом на территории с.п. Зайцева Речка на 2018-2020гг."</t>
  </si>
  <si>
    <t>656.59.001.1 разд.0503 Расходы на реализацию мероприятийв области энергосбережения и повышенния эн.эффективностив рамках ведомственной целевой программы "Эн.сбер. И повышение эн.эффект. В с.п. Зайцева Речкана 2018-2020гг."</t>
  </si>
  <si>
    <t>01115100020610244.290</t>
  </si>
  <si>
    <r>
      <t xml:space="preserve">_05 _февраля_  </t>
    </r>
    <r>
      <rPr>
        <u val="single"/>
        <sz val="10"/>
        <rFont val="Times New Roman"/>
        <family val="1"/>
      </rPr>
      <t>2018 г</t>
    </r>
    <r>
      <rPr>
        <sz val="10"/>
        <rFont val="Times New Roman"/>
        <family val="1"/>
      </rPr>
      <t>.</t>
    </r>
  </si>
  <si>
    <t>исполнение на 31.12.17г</t>
  </si>
  <si>
    <t>назначения на 2018г</t>
  </si>
  <si>
    <t>разница для уточнения</t>
  </si>
  <si>
    <t xml:space="preserve"> 1. Доходы бюджета на 01.02.2018г</t>
  </si>
  <si>
    <t>дох-ная часть</t>
  </si>
  <si>
    <t>2018-2020гг</t>
  </si>
  <si>
    <t>расх.часть</t>
  </si>
  <si>
    <t>Приложение №14</t>
  </si>
  <si>
    <t>в 2016гг</t>
  </si>
  <si>
    <t>в 2017гг</t>
  </si>
  <si>
    <t>в 2018гг</t>
  </si>
  <si>
    <t xml:space="preserve">в 2015г </t>
  </si>
  <si>
    <t>наши полномочия</t>
  </si>
  <si>
    <t>2019 год</t>
  </si>
  <si>
    <t>2020 год</t>
  </si>
  <si>
    <t xml:space="preserve">с этого листа автоматически заполняется </t>
  </si>
  <si>
    <t>из ЗР бюджета МБТ</t>
  </si>
  <si>
    <t>в 2016г</t>
  </si>
  <si>
    <t>по 191п ХМАО</t>
  </si>
  <si>
    <t>передаваемые полномочия в район</t>
  </si>
  <si>
    <t xml:space="preserve">7 приложение, а с 7 приложения формулы </t>
  </si>
  <si>
    <t>доходы наши</t>
  </si>
  <si>
    <t>норма</t>
  </si>
  <si>
    <t>из бюдж.р-на</t>
  </si>
  <si>
    <t>доходы</t>
  </si>
  <si>
    <t>всего расходов</t>
  </si>
  <si>
    <t>тянут в 4,5,6</t>
  </si>
  <si>
    <t>МБТ с р-на</t>
  </si>
  <si>
    <t>налог.и ненал.</t>
  </si>
  <si>
    <t>МБТ</t>
  </si>
  <si>
    <t>251ст</t>
  </si>
  <si>
    <t>дефициит</t>
  </si>
  <si>
    <t>ВУС</t>
  </si>
  <si>
    <t>итого расходов</t>
  </si>
  <si>
    <t>на нужды поселения</t>
  </si>
  <si>
    <t>наши р-ды</t>
  </si>
  <si>
    <t xml:space="preserve">остаток от нормы </t>
  </si>
  <si>
    <t>рубли</t>
  </si>
  <si>
    <t>Лицевой счет</t>
  </si>
  <si>
    <t>Бюджетная классификация</t>
  </si>
  <si>
    <t>Лимит</t>
  </si>
  <si>
    <t>Квартал 1</t>
  </si>
  <si>
    <t>Квартал 2</t>
  </si>
  <si>
    <t>Квартал 3</t>
  </si>
  <si>
    <t>Квартал 4</t>
  </si>
  <si>
    <t>1кв.2014</t>
  </si>
  <si>
    <t>2кв.2014</t>
  </si>
  <si>
    <t>3кв.2014</t>
  </si>
  <si>
    <t>4кв.2014</t>
  </si>
  <si>
    <t>значение оплаты</t>
  </si>
  <si>
    <t>нехватка</t>
  </si>
  <si>
    <t>Приход</t>
  </si>
  <si>
    <t>уменьшение прих</t>
  </si>
  <si>
    <t>Расход реестр</t>
  </si>
  <si>
    <t>Уменьш расход</t>
  </si>
  <si>
    <t>Неденежн</t>
  </si>
  <si>
    <t>%</t>
  </si>
  <si>
    <t/>
  </si>
  <si>
    <t>ФКР</t>
  </si>
  <si>
    <t>ППП</t>
  </si>
  <si>
    <t>КЦСР</t>
  </si>
  <si>
    <t>КВР</t>
  </si>
  <si>
    <t>ЭКР</t>
  </si>
  <si>
    <t>Суб КЭСР</t>
  </si>
  <si>
    <t>включая текущий месяц</t>
  </si>
  <si>
    <t>на 2018г</t>
  </si>
  <si>
    <t>за мес</t>
  </si>
  <si>
    <t>на нач мес</t>
  </si>
  <si>
    <t>расход за мес</t>
  </si>
  <si>
    <t>исполнения</t>
  </si>
  <si>
    <t>Ведомственная целевая программа "Обеспечение реализации отдельных полномочий администрации сельского поселения З.Р.на 2018-2020г."</t>
  </si>
  <si>
    <t>Общегосударственные вопросы 01 раздел</t>
  </si>
  <si>
    <t>Функционирование высшего должностного лица (разд.подр.0102) (фонд оплаты труда и страховые взносы) разд.подр.0102</t>
  </si>
  <si>
    <t>Функционирование высшего должностного лица (фонд оплаты труда и страховые взносы)</t>
  </si>
  <si>
    <t>121</t>
  </si>
  <si>
    <t>55лет (1фонд)+к пенсии (5фондов)+пенсия (3,5мес*25т.р.)</t>
  </si>
  <si>
    <t>Итого по организации</t>
  </si>
  <si>
    <t xml:space="preserve"> (разд.подр.0103) (ВЫБОРЫ)</t>
  </si>
  <si>
    <t>услуги по проведению выборов</t>
  </si>
  <si>
    <t>Функционирование исполнительных органов местного самоуправления (разд.подр.0104) (фонд оплаты труда и страховые взносы)</t>
  </si>
  <si>
    <t>Функционирование исполнительных органов местного самоуправления (фонд оплаты труда и страховые взносы)</t>
  </si>
  <si>
    <t>5 мун.служ. и 2 работника</t>
  </si>
  <si>
    <t>для выплат до 1,5 лет</t>
  </si>
  <si>
    <t>Функционирование исполнительных органов местного самоуправления (прочая закупка товаров, работ и услуг для государственных нужд)</t>
  </si>
  <si>
    <t>Центральнный аппарат</t>
  </si>
  <si>
    <t>122</t>
  </si>
  <si>
    <t>суточн.,ком.р-ды,</t>
  </si>
  <si>
    <t>224квр</t>
  </si>
  <si>
    <t>244</t>
  </si>
  <si>
    <t>тр.усл</t>
  </si>
  <si>
    <t>кн.сир.Северсв.</t>
  </si>
  <si>
    <t>опл.налога на имущ.</t>
  </si>
  <si>
    <t>вз.ассоц.образ.(15), штр</t>
  </si>
  <si>
    <t>Ведомственная целевая программа "Эффективное использование межбюджетных трансфертов, передаваемых из бюджета сельского поселения Зайцева Речка в бюджет Нижневартовского района, на исполнение делегированных полномочий в 2016 - 2018 годах."</t>
  </si>
  <si>
    <t>Иные межбюджетные трансферты на содержание работников ОМС района</t>
  </si>
  <si>
    <t>540</t>
  </si>
  <si>
    <t>Резервный фонд в рамках ведомственной целевой программы «Организация бюджетного процесса в администрации с.п. Зайцева Речка на 2016-2018гг.».</t>
  </si>
  <si>
    <t>разд.подр. 0111 Резерв. Фонды</t>
  </si>
  <si>
    <t>Резервные фонды</t>
  </si>
  <si>
    <t>870</t>
  </si>
  <si>
    <t>Ведомственная целевая программа "Обеспечение реализации отдельных полномочий администрации сельского поселения З.Р.на 2016-2018г."</t>
  </si>
  <si>
    <t>разд.подр.0113 Другие общегосударственные вопросы</t>
  </si>
  <si>
    <t>Расходы на оплату дополнительных гарантий и компенсаций</t>
  </si>
  <si>
    <t>консультант плюс</t>
  </si>
  <si>
    <t>медкомиссия</t>
  </si>
  <si>
    <t>льг.проезд,суточные</t>
  </si>
  <si>
    <t xml:space="preserve">Муниципальная программа «Развитие муниципальной службы в сельском поселении Зайцева Речка  на 2017–2021 годы» </t>
  </si>
  <si>
    <t>обучение, курсы</t>
  </si>
  <si>
    <t>Ведомственная целевая программа "Осуществление материально-технического обеспечения деятельности органов местного самоуправления Зайцева Речка на 2016-2018г."</t>
  </si>
  <si>
    <t>МКУ "Содружество" (иные выплаты персоналу)</t>
  </si>
  <si>
    <t>112</t>
  </si>
  <si>
    <t>льготный проезд</t>
  </si>
  <si>
    <t>Воробъев 40,0+Немцева 40,0+Щетко 23,0+богд 55,0</t>
  </si>
  <si>
    <t>2016г</t>
  </si>
  <si>
    <t>МКУ "Содружество" (фонд оплаты труда и страховые взносы)</t>
  </si>
  <si>
    <t>111</t>
  </si>
  <si>
    <t>з/пл 3 сторожей</t>
  </si>
  <si>
    <t>ГФОТ сторожей</t>
  </si>
  <si>
    <t>МКУ "Содружество" (закупка товаров, работ, услуг в сфере ИКТ)</t>
  </si>
  <si>
    <t xml:space="preserve">абоненская </t>
  </si>
  <si>
    <t xml:space="preserve">интернет  </t>
  </si>
  <si>
    <t xml:space="preserve">межгород  </t>
  </si>
  <si>
    <t xml:space="preserve">внутризоновая  </t>
  </si>
  <si>
    <t xml:space="preserve">открытки </t>
  </si>
  <si>
    <t>МКУ "Содружество" (прочая закупка товаров, работ и услуг для муниципальных нужд)</t>
  </si>
  <si>
    <t xml:space="preserve">суточные </t>
  </si>
  <si>
    <t xml:space="preserve">теплоснабжение  </t>
  </si>
  <si>
    <t xml:space="preserve">водоснабжение </t>
  </si>
  <si>
    <t xml:space="preserve">жбо </t>
  </si>
  <si>
    <t>электроэнергия</t>
  </si>
  <si>
    <t>по 223ст</t>
  </si>
  <si>
    <t>опрессовка 40,0</t>
  </si>
  <si>
    <t xml:space="preserve">тбо </t>
  </si>
  <si>
    <t>обслуживание то</t>
  </si>
  <si>
    <t>запр.картриджей полгода 17,5</t>
  </si>
  <si>
    <t>обслуж. электр.</t>
  </si>
  <si>
    <t>обслуж. пож.сис.</t>
  </si>
  <si>
    <t xml:space="preserve">обслуж.видеонаб.полгода </t>
  </si>
  <si>
    <t>обслуживание машины</t>
  </si>
  <si>
    <t>по 225ст</t>
  </si>
  <si>
    <t>усл.програмиста+1С (2кв)</t>
  </si>
  <si>
    <t>Консультант плюс</t>
  </si>
  <si>
    <t>публик.док-ов 1 кв</t>
  </si>
  <si>
    <t>пред.мед.осмотр</t>
  </si>
  <si>
    <t>эцп</t>
  </si>
  <si>
    <t>Снопик 1 кв.</t>
  </si>
  <si>
    <t>обслуж.программы пох.учет</t>
  </si>
  <si>
    <t>усл.гостиницы</t>
  </si>
  <si>
    <t>контур</t>
  </si>
  <si>
    <t>обслуж. Сайта</t>
  </si>
  <si>
    <t>устан.видео камер Зверевым</t>
  </si>
  <si>
    <t>по 226ст</t>
  </si>
  <si>
    <t>пени, штрафы</t>
  </si>
  <si>
    <t>налог на имущ</t>
  </si>
  <si>
    <t>новог.подарки</t>
  </si>
  <si>
    <t>по 290ст</t>
  </si>
  <si>
    <t>рамки на выборы</t>
  </si>
  <si>
    <t>огнетуш.1шт.,аптечки 2шт</t>
  </si>
  <si>
    <t>потрачено 77,2</t>
  </si>
  <si>
    <t>бензин, запчасти полгода (всего114тр в 15г)</t>
  </si>
  <si>
    <t>бумага+канцел</t>
  </si>
  <si>
    <t>хоз.товары</t>
  </si>
  <si>
    <t>материалы</t>
  </si>
  <si>
    <t>по 340ст.</t>
  </si>
  <si>
    <t>остаток 114,0</t>
  </si>
  <si>
    <t>ИТОГО по 244</t>
  </si>
  <si>
    <t>ИТОГО по 800</t>
  </si>
  <si>
    <t>Условно утвержденные расходы</t>
  </si>
  <si>
    <t>Ведомственная целевая программа "Обеспечение реализации отдельных полномочий администрации сельского поселения Зайцева Речка на 2016-2018г."</t>
  </si>
  <si>
    <t>Мобилизационная и вневойсковая подготовка (разд.подр. 0203)</t>
  </si>
  <si>
    <t>Осуществление первичного воинского учета на территориях, где отсутствуют военные комиссариаты (фонд оплаты труда и страховые взносы)</t>
  </si>
  <si>
    <t>зар.пл.</t>
  </si>
  <si>
    <t>налоги</t>
  </si>
  <si>
    <t>Осуществление первичного воинского учета на территориях, где отсутствуют военные комиссариаты (прочая закупка товаров, работ и услуг для муниципальных нужд)</t>
  </si>
  <si>
    <t>0</t>
  </si>
  <si>
    <t>ремонт сист.бл.(5,0), ремонт МФУ(5,0), заправка катриджа (0,5)</t>
  </si>
  <si>
    <t>покупка основных, мебели</t>
  </si>
  <si>
    <t xml:space="preserve"> канц.товары</t>
  </si>
  <si>
    <t>Органы юстиции ( разд.подр.м 0304)</t>
  </si>
  <si>
    <t>Субвенции на осуществление федеральных полномочий по ЗАГС  (прочая закупка товаров, работ и услуг для муниципальных нужд)</t>
  </si>
  <si>
    <t>50000D9300</t>
  </si>
  <si>
    <t>матер. (т.с. 01.03.00 Окр.б.)</t>
  </si>
  <si>
    <t>матер. (т.с. 01.02.03 Фед.б)</t>
  </si>
  <si>
    <t>Ведомств. Прогр. (В.Е. Дорофеев) ЦП "Комплексные меры пожарной безопасности на территории сельского поселения Зайцева Речка на 2016-2018   (Защита населения и территории от последствий чрезвычайных ситуаций природного и техногенного характера, гражданская оборона (прочая зауупка товаров, работ и услуг для муниципальных нужд)</t>
  </si>
  <si>
    <t>Защита населения и территории от чрезвычайных ситуаций природного и техногенного характера, гражданская оборона (разд.подр. 0309)</t>
  </si>
  <si>
    <t>Защита населения и территории от последствий чрезвычайных ситуаций природного и техногенного характера, гражданская оборона (прочая зауупка товаров, работ и услуг для муниципальных нужд)</t>
  </si>
  <si>
    <t>ремонт печей 200,0</t>
  </si>
  <si>
    <t>минполосы Был.,Вамп.и З.Реч</t>
  </si>
  <si>
    <t>Установка пожар.извещателей</t>
  </si>
  <si>
    <t xml:space="preserve"> ГПХ 2 чел.на 1 мес</t>
  </si>
  <si>
    <t xml:space="preserve"> ГПХ 2 чел.на 3 мес</t>
  </si>
  <si>
    <t>Мат.тех.обеспечение</t>
  </si>
  <si>
    <t>ТО систем оповещения Б и В.по 4м-ца(3320,0*12*2)</t>
  </si>
  <si>
    <t>Содержание и ремонт пожарных водоемов</t>
  </si>
  <si>
    <t>аншлаги, таблички,обуч.продукция</t>
  </si>
  <si>
    <t>ЦП "Снижение рисков и последствий чрезвычайных ситуаций природного и техногенного харкктера на территории Нижневартовского района на 2012-2015 гг" (Прочая закупка товаров, работ и услуг для государственных (муниципальных) нужд)</t>
  </si>
  <si>
    <t>Программа ХМАО-Югры "Снижение рисков и последствий чрезвычайных ситуаций природного и техногенного характера в ХМАО-Югре 2012-2014 гг" (Прочая закупка товаров, работ и услуг для государственных (муниципальных) нужд)</t>
  </si>
  <si>
    <t>Субсидия в целях обеспечения страхования имущества в рамках государственной программы "Управление государственным имуществом ХМАО-Югры 2014-2020 гг"  (Бюджет округа)</t>
  </si>
  <si>
    <t>Субсидия в целях обеспечения страхования имущества в рамках государственной программы "Управление государственным имуществом ХМАО-Югры 2014-2020 гг" (бюджет поселения)</t>
  </si>
  <si>
    <t>58.0.00.99990</t>
  </si>
  <si>
    <t>факт страх.имущ.за 2017 год-400тр.</t>
  </si>
  <si>
    <t>631,0 Было в 2015г</t>
  </si>
  <si>
    <t>"Капитал " (предложение)</t>
  </si>
  <si>
    <t>ЦП "Комплексные меры пожарной безопасности на объектах социального значения и жилищного фонда в районе на 2013-2015гг" (Иные межбюджетные трансферты)</t>
  </si>
  <si>
    <t>ЦП ХМАО-Югры "Укрепление пожарной бехопасности в ХМАО-Югре в 2011-2013 и на период до 2015 г" (иные межбюджетные трансферты)</t>
  </si>
  <si>
    <t>ЦП "Комплексные меры пожарной безопасности на территории сельского поселения Зайцева Речка на 2013-2015</t>
  </si>
  <si>
    <t>311</t>
  </si>
  <si>
    <t>ЦП "Профилактика правонарушений и преступности в Нижневартовском районе на 2011-2013 годы"подпрограмма "Прафилактика правонарушений в плановом периоде 2013-2014гг. (Иные межбюджетные трансферты)</t>
  </si>
  <si>
    <t>Целевая программа "Профилактика правонарушений и преступности в Нижневартовском районе на 2011-2013 годы" (прочая закупка товаров, работ и услуг для муниципальных нужд)</t>
  </si>
  <si>
    <t>ЦП "Профилактика правонарушений и преступности в Нижн районе на 2011-2015 годы"Прафилактика правонарушений в плановом периоде 2013-2014ггпрочая закупка товаров, работ и услуг для муниципальных нужд).</t>
  </si>
  <si>
    <t>ЦП "Профилактика правонарушений и преступности в Нижневартовском районе на 2011-2015 годы"Прафилактика правонарушений в плановом периоде 2013-2014ггпрочая закупка товаров, работ и услуг для муниципальных нужд).</t>
  </si>
  <si>
    <t>Муниципальная  программа «Профилактика правонарушений в сфере общественного порядка в сельском поселении Зайцева Речка на 2014-2020 годы»</t>
  </si>
  <si>
    <t>Другие вопросы в области национальной безопасности и правоохранительной деятельности (разд.подр 0314)</t>
  </si>
  <si>
    <t>Субсидия в рамках государственной программы "Профилактика правонарушений в сфере общ.порядка,безопасн.дорож.движения,незаконного оборота и злоупотребления наркотиками в ХМАО-Югре на 2014-2020гг"(создание общественных формирований правоохранительной направленности) Бюджет поселения(30%).</t>
  </si>
  <si>
    <t>41001S2300</t>
  </si>
  <si>
    <t>охрана общ.порядка</t>
  </si>
  <si>
    <t>Субсидия в рамках государственной программы "Профилактика правонарушений в сфере общ.порядка,безопасн.дорож.движения,незаконного оборота и злоупотребления наркотиками в ХМАО-Югре на 2014-2020гг"(создание общественных формирований правоохранительной направленности). Бюджет автономного округа (70%)</t>
  </si>
  <si>
    <t>4100182300</t>
  </si>
  <si>
    <t>Проектирование строительств, капитальный ремонт, реконструкция объектов капитального строительства (инженерные сети, здания, строения, сооружения и иные) на территории поселения</t>
  </si>
  <si>
    <t>расходы в рамках подпрограммы"профилактика правонарушений" государственной программы "Обеспечение прав и законных интересов населения  ХМАО-Югры в отдельных сферах жизнедеятельности на 2014-2020 годах" в рамках муниципальной программы "Профилактика правонарушений в сфере общественного порядка в Нижневартовском районе на 2014-2016 годы", в том числе</t>
  </si>
  <si>
    <t>11.1.21.01</t>
  </si>
  <si>
    <t>11.1.54.41</t>
  </si>
  <si>
    <t>Софинансирование субсидии на содействие местному самоуправлению в развитиии исторических и иных местных традиций в рамках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ХМАО-Югры на 2014-2020гг" (1% бюджет поселения)</t>
  </si>
  <si>
    <t>Содержание и управление дорожным хозяйством (Иные межбюджетные трансферты)</t>
  </si>
  <si>
    <t>Муниципальная программа "Развитие транспортной системы сельского поселения Зайцева Речка на 2014-2020г."</t>
  </si>
  <si>
    <t>Дорожное хозяйство (дорожные фонды) (разд.подр. 0409)</t>
  </si>
  <si>
    <t>Содержание и управление дорожным хозяйством (Дорожный фонд)</t>
  </si>
  <si>
    <t>Содержание и управление дорожным хозяйством</t>
  </si>
  <si>
    <t>т.с. 01.12.00</t>
  </si>
  <si>
    <t>финансир.района</t>
  </si>
  <si>
    <t>т.с. 01.01.00</t>
  </si>
  <si>
    <t>финансир.поселения</t>
  </si>
  <si>
    <t>Связь и информатика (закупка товаров, работ, услуг в сфере ИКТ)</t>
  </si>
  <si>
    <t>Ремонт дорог (Дорожный фонд)</t>
  </si>
  <si>
    <t>40.0.01.82390</t>
  </si>
  <si>
    <t>Ведомственная целевая программа "Мероприятия в области жилищно- коммунального хозяйства в сельском поселении Зайцева Речка на 2016-2018 годы"</t>
  </si>
  <si>
    <t>Связь и информатика (разд.подр 0410)</t>
  </si>
  <si>
    <t>Связь и информатика (субсидии юридическим лицам (кроме государственных (муниципальных) учреждений) и физическим лицам - производителям товаров, работ, услуг)</t>
  </si>
  <si>
    <t>3 мес РРЛ</t>
  </si>
  <si>
    <t>81966,21*4=327864,84</t>
  </si>
  <si>
    <t>подпрограмма "Градостроительная деятельность" муниципальной программы "Обеспечение доступным и комфортным жильем жителей Нижневартовского района в 2014-2020гг" (иные межбюджетные трансферты)</t>
  </si>
  <si>
    <t>ЦП "Мероприятия в области градостроительной деятельности Нижневартовского района" на 2011-2012гг (иные межбюджетные трансферты)</t>
  </si>
  <si>
    <t>Жилищное хозяйство (разд.подр 0501)</t>
  </si>
  <si>
    <t>Жилищное хозяйство (субсидии юридическитм лицам (кроме государственных (муниципальных учреждений) и физическим лицам - производителям товаров, работ, услуг)</t>
  </si>
  <si>
    <t xml:space="preserve">Ведомственная целевая программа «Управление муниципальным имуществом на территории с.п. Зайцева Речка на 2016-2018 годы» </t>
  </si>
  <si>
    <t>Выполнение функций органами местного самоуправления (прочая закупка товаров, работ и услуг для муниципальных нужд)</t>
  </si>
  <si>
    <t>5800099991</t>
  </si>
  <si>
    <t>аренда машина Захаров</t>
  </si>
  <si>
    <t xml:space="preserve">разборка домов </t>
  </si>
  <si>
    <t>снос  домов (рзянин 152388,87)</t>
  </si>
  <si>
    <t>Работы по кладбищу (ислед.зем.уч.20,выбор зем.участка70, межевание30,)</t>
  </si>
  <si>
    <t>оценка(5уч7,5)+межев.зем.уч(5уч*8т.р)</t>
  </si>
  <si>
    <t>БТИ- 60т.р В.Е.Д</t>
  </si>
  <si>
    <t>оценка зданий</t>
  </si>
  <si>
    <t>иное</t>
  </si>
  <si>
    <t>стр-во забора Захаров Прол.14/3</t>
  </si>
  <si>
    <t>стр-во тротуара Захаров у Дудиной</t>
  </si>
  <si>
    <t>Целевая программа "Комплексная программа капитального строительства,реконструкции,капитального ремонта и подготовки обьектов жилищно-коммунального хозяйства к работе в ОЗП на территории нижневартовского района на 2009-2014 годы"</t>
  </si>
  <si>
    <t>Коммунальное хозяйство (разд.подр.0502)</t>
  </si>
  <si>
    <t>Мероприятия по подготовке объектов жилищно-коммунального хозяйства и социальной сферы к работе в осенне-зимний период в рамках подпрограммы"Создание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энергитической эффективности в Нижневартовском районе на 2014-2020гг" Иные межбюджетные трансферты</t>
  </si>
  <si>
    <t>Мероприятия по подготовке объектов жилищно-коммунального хозяйства и социальной сферы к работе в осенне-зимний период Иные межбюджетные трансферты</t>
  </si>
  <si>
    <t>5700089090</t>
  </si>
  <si>
    <t>МБТ субсидии на ОЗП</t>
  </si>
  <si>
    <t>5700089020</t>
  </si>
  <si>
    <t>Благоустройство (разд.подр.0503)</t>
  </si>
  <si>
    <t>отлов собак, дезикцидная обработка (прочая закупка товаров, работ и услуг для государственных нужд)</t>
  </si>
  <si>
    <t>Уличное освещение (прочая закупка товаров, работ и услуг для государственных нужд)</t>
  </si>
  <si>
    <t>оплата ком.усл.по Излуч</t>
  </si>
  <si>
    <t>отлов собак</t>
  </si>
  <si>
    <t>дезикцидная обработ</t>
  </si>
  <si>
    <t>Зима:ТБО Б(72258,24) и В(45485,57) Лето: Б(70),В(100)</t>
  </si>
  <si>
    <t>Ремонт памятников БиВ</t>
  </si>
  <si>
    <t>25,0 ремонт детс.площ.</t>
  </si>
  <si>
    <t xml:space="preserve">инициативное бюджетирование </t>
  </si>
  <si>
    <t>тс 01.12.</t>
  </si>
  <si>
    <t>бюджет района</t>
  </si>
  <si>
    <t>тс0103.напр018</t>
  </si>
  <si>
    <t>материал - целевые</t>
  </si>
  <si>
    <t>Муниципальная программа "Формирование комфортной городской среды в сельском поселении Зайцева Речка на 2018-2022 годы"</t>
  </si>
  <si>
    <t>бюджет поселка детс.площ.</t>
  </si>
  <si>
    <t>Ведомственная целевая программа "Мероприятия в области жилищно-коммунального хозяйства в сельском поселении Зайцева Речка на 2016-2018 годы"</t>
  </si>
  <si>
    <t>тех.обеспеч.пол. года</t>
  </si>
  <si>
    <t>Б(8,5*12)+В(8*12)+ЗР(60)</t>
  </si>
  <si>
    <t>взносы некомерческой организации Югорский фонд кап.ремонта общ.имущ. В многокварт.домов на терр.с.п. З.Р.( Пост наше №62 от 25.08.2014г)Прочие мероприятия по благоустройству поселений (прочая закупка товаров, работ и услуг для государственных нужд</t>
  </si>
  <si>
    <t>Прочие мероприятия по благоустройству поселений (прочая закупка товаров, работ и услуг для государственных нужд)</t>
  </si>
  <si>
    <t>капремонт 3мес.</t>
  </si>
  <si>
    <t>9 м-цев</t>
  </si>
  <si>
    <t>ВЦП "Энергосбережение и повышение энергической эффективности в с.п. Зайцева Речка на 2016-2018 годы"( Расходы на реализацию мероприятий в области энергосбережения и повышения энергетической эффективности в рамках  ведомственной целевой программы "Энергосбережение и повышение энергической эффективности в с.п. Зайцева Речка на  2016-2018 гг")</t>
  </si>
  <si>
    <t>ЦП "Энергосбережение и повышение энергической эффективности в с.п. Зайцева Речка на 2010-2014 годы"</t>
  </si>
  <si>
    <t>59.0.00.20020</t>
  </si>
  <si>
    <t>устан.электросчетч.(по кварталам 95+65+165+198)</t>
  </si>
  <si>
    <t>на 2018г.З.Р.+Б+В</t>
  </si>
  <si>
    <t>Ведомственная целевая программа "Развитие культуры сельского поселения Зайцева речка на 2016-2018гг"</t>
  </si>
  <si>
    <t>Культура (разд.подр.0801)</t>
  </si>
  <si>
    <t>МКУ СДК З-Речка (Культура (фонд оплаты труда и страховые  взносы)</t>
  </si>
  <si>
    <t>в 2018г</t>
  </si>
  <si>
    <t xml:space="preserve">в 2016 г </t>
  </si>
  <si>
    <t>85 процентов</t>
  </si>
  <si>
    <t>211 ст.3 111 653,0</t>
  </si>
  <si>
    <t xml:space="preserve">окруж.деньги - </t>
  </si>
  <si>
    <t>213ст. 939 720,0</t>
  </si>
  <si>
    <t>53000S2440</t>
  </si>
  <si>
    <t>5 процентов</t>
  </si>
  <si>
    <t>в 2017г</t>
  </si>
  <si>
    <t>МКУ СДК З-Речка (Культура (Иные выплаты персоналу,за исключением фонда оплаты труда)</t>
  </si>
  <si>
    <t>МКУ СДК З-Речка (Культура (закупка товаров,работ,услуг в сфере информационно-коммуникационных технологий)</t>
  </si>
  <si>
    <t>телефон</t>
  </si>
  <si>
    <t>интернет</t>
  </si>
  <si>
    <t>МКУ СДК З-Речка (Культура (прочая закупка товаров,работ и услуг для государственных (муниципальных) нужд)</t>
  </si>
  <si>
    <t>нех.на 2016г для табл 4,5,6,7</t>
  </si>
  <si>
    <t>свет, эл.энерг.</t>
  </si>
  <si>
    <t>по 0801квр244</t>
  </si>
  <si>
    <t xml:space="preserve">теплоэнергия </t>
  </si>
  <si>
    <t xml:space="preserve">ЖБО </t>
  </si>
  <si>
    <t>вода</t>
  </si>
  <si>
    <t xml:space="preserve">Северсв. трев.кн.и видеонабл - полгода. </t>
  </si>
  <si>
    <t>вывоз ТБО полгода</t>
  </si>
  <si>
    <t>Ютек обсл.электрос.</t>
  </si>
  <si>
    <t>заправка катриджей</t>
  </si>
  <si>
    <t>контур обоненс.обслуж.</t>
  </si>
  <si>
    <t>ремонт мотора занавеса</t>
  </si>
  <si>
    <t>Северсв.пож.сигнал полгода</t>
  </si>
  <si>
    <t>опресс.и ремонт</t>
  </si>
  <si>
    <t>Выгода авар.обсл.1 кв</t>
  </si>
  <si>
    <t>чаепитие старожилам</t>
  </si>
  <si>
    <t>Лапушка на день пос.</t>
  </si>
  <si>
    <t>антивирус</t>
  </si>
  <si>
    <t>обуч(5), Контур(5969,92)</t>
  </si>
  <si>
    <t>подарки старожилам (11668)+спорт.сорев.(6)+поощ.дет(5)+главе района (5)+грамоты,цветы(3)</t>
  </si>
  <si>
    <t>налоги, штрафы</t>
  </si>
  <si>
    <t>налог на имущество полгода</t>
  </si>
  <si>
    <t>пылесос,металлодетоктор</t>
  </si>
  <si>
    <t>хоз,мат;материалы полгода</t>
  </si>
  <si>
    <t>МКУ СДК З-Речка (Культура (прочая закупка товаров,работ и услуг для муниципальных нужд)</t>
  </si>
  <si>
    <t>Иные межбюджетные трансферты на содействие  развитию исторических и иных местных традиций в рамках гп «Создание условий для эффективности ответственного управления муниципальными финансами, повышение устойчивости местных бюджетов ХМАО-Югры на 2016-2020 гг» в рамках ВЦП "Организация и обеспечение мероприятий в сфере культуры и кинематографии с.п. З,Р, на 2018-2020 годы"</t>
  </si>
  <si>
    <t>МКУ СДК З-Речка (Кинематография (фонд оплаты труда и страховые взносы)</t>
  </si>
  <si>
    <t>53000S2420</t>
  </si>
  <si>
    <t>софинансирование 1%</t>
  </si>
  <si>
    <t>Кинематография (разд.подр.0802)</t>
  </si>
  <si>
    <t>МКУ СДК З-Речка (Кинематография (прочая закупка товаров,работ и услуг для государственных (муниципальных) нужд)</t>
  </si>
  <si>
    <t>Пенсионное обеспечение (разд.подр. 1001)</t>
  </si>
  <si>
    <t>Доплаты к пенсиям государственным и муниципальным служащим</t>
  </si>
  <si>
    <t>321</t>
  </si>
  <si>
    <t>3,5мес*25т.р. С.В. Субб.</t>
  </si>
  <si>
    <t>Ведомственная целевая программа "Организация и обеспечение мероприятий а области физической культуры и спорта в сельском поселении Зайцева Речка на 2016-2018 годы"</t>
  </si>
  <si>
    <t>Физическая культура (разд.подр. 1101)</t>
  </si>
  <si>
    <t>Физическая культура (фонд оплаты труда и страховые взносы)</t>
  </si>
  <si>
    <t>для уменьшения 211,213ст в 2019г</t>
  </si>
  <si>
    <t>до МРОТ 20875,80</t>
  </si>
  <si>
    <t>16,5*3=49,5</t>
  </si>
  <si>
    <t>МФОТ 3 сторожей</t>
  </si>
  <si>
    <t>Физическая культура (прочая закупка товаров, работ и услуг для государственных нужд)</t>
  </si>
  <si>
    <t>Мероприятия в области физической культуры (Прочая закупка товаров, работ и услуг для государственных нужд)</t>
  </si>
  <si>
    <t>з.плата,</t>
  </si>
  <si>
    <t>призы</t>
  </si>
  <si>
    <t>ЦЗН    Расходы на реализацию мероприятий по содействию трудоустройства граждан в рамках подпрограммы "Содействие трудоустройству граждан" в рамках государственной программы "Содействие занятости населения в ХМАО-Югре на 2014-2020 годы" с.п. Зайцева Речка</t>
  </si>
  <si>
    <t>Софинансирование</t>
  </si>
  <si>
    <t>от ЗР</t>
  </si>
  <si>
    <t>Итого по главному распорядителю</t>
  </si>
  <si>
    <t>Всего</t>
  </si>
  <si>
    <t>руб.</t>
  </si>
  <si>
    <t>общий объем условно утверждаемых (утвержденных) расходов в случае утверждения бюджета на очередной финансовый год и плановый период на первый год планового периода в объеме не менее 2,5 процента общего объема расходов бюджета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 на второй год планового периода в объеме не менее 5 процентов общего объема расходов бюджета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t>
  </si>
  <si>
    <t>211ст</t>
  </si>
  <si>
    <t>аренда</t>
  </si>
  <si>
    <t>д-ра мены</t>
  </si>
  <si>
    <t>уточнение доходов в июле 2016 года</t>
  </si>
  <si>
    <t>план по д-дам 160тр это пр-но</t>
  </si>
  <si>
    <t>( -300,0 Шаталова О(ОСТАТОК 40,0).+647 653,6 Хирова Н + 792,0 Лежневы+15,0 Самсон Г+ОСТАТОК 200,0)</t>
  </si>
  <si>
    <t>плат.усл СДК</t>
  </si>
  <si>
    <t>продажа машины Нивы</t>
  </si>
  <si>
    <t>ЕСН</t>
  </si>
  <si>
    <t>возвр.б.л. 15г</t>
  </si>
  <si>
    <t>41,0 должно вернуться на кбк этого года</t>
  </si>
  <si>
    <t>нет</t>
  </si>
  <si>
    <t>Итого по программам</t>
  </si>
  <si>
    <t>экономической классификации</t>
  </si>
  <si>
    <t>Квартал I</t>
  </si>
  <si>
    <t>Квартал II</t>
  </si>
  <si>
    <t>Квартал III</t>
  </si>
  <si>
    <t>Квартал IV</t>
  </si>
  <si>
    <t>2016 год</t>
  </si>
  <si>
    <t>к уточнению</t>
  </si>
  <si>
    <t>было по программам</t>
  </si>
  <si>
    <t>РСД от 24.03.16</t>
  </si>
  <si>
    <t>отклонение</t>
  </si>
  <si>
    <t>40.0.0000</t>
  </si>
  <si>
    <t xml:space="preserve">Муниципальная  программа «Профилактика правонарушений в сфере общественного порядка в сельском поселении Зайцева Речка на 2014-2020 годы»
</t>
  </si>
  <si>
    <t>41.0.0000</t>
  </si>
  <si>
    <t>50.</t>
  </si>
  <si>
    <t>50.0.0000</t>
  </si>
  <si>
    <t>Ведомственная целевая программа "Организация бюджетного процесса в сельском поселении Зайцева Речка на 2016-2018 годы"</t>
  </si>
  <si>
    <t>51.0.0700</t>
  </si>
  <si>
    <t>52.0.0000</t>
  </si>
  <si>
    <t>53.0.0000</t>
  </si>
  <si>
    <t>Ведомственная целевая программа "Организация и обеспечение мероприятий а области физической культуры и спорта в сельском поселении Зайцева Речка на 2016-2018годы"</t>
  </si>
  <si>
    <t>54.0.0000</t>
  </si>
  <si>
    <t>Ведомственная целевая программа "Комплексные меры пожарной безопасности на  территорий сельского поселения Зайцева Речка 2016-2018 годы"</t>
  </si>
  <si>
    <t>55.0.0000</t>
  </si>
  <si>
    <t xml:space="preserve">Ведомственная целевая программа "Мероприятия в области жилищно- коммунального хозяйства в сельском поселении Зайцева Речка на 2016-2018 годы" </t>
  </si>
  <si>
    <t>56.</t>
  </si>
  <si>
    <t>56.0.0000</t>
  </si>
  <si>
    <t>57.0.0000</t>
  </si>
  <si>
    <t>58.</t>
  </si>
  <si>
    <t>58.0.0000</t>
  </si>
  <si>
    <t>Ведомственная целевая программа "Энергосбережение и повышение энергической эффективности в с.п. Зайцева Речка на 2016-2018 годы"</t>
  </si>
  <si>
    <t>59.0.0000</t>
  </si>
  <si>
    <t>Ведомственная целевая программа "Профилактика экстремисткой и террористической деятельности, гармонизация этнических и межкультурных отношений на территории сельского поселния Зайцеа Речка на 2016 - 2018 годы</t>
  </si>
  <si>
    <t>61.0.0000</t>
  </si>
  <si>
    <t xml:space="preserve"> Расходы на реализацию мероприятий по содействию трудоустройства граждан в рамках подпрограммы "Содействие трудоустройству граждан" в рамках государственной программы "Содействие занятости населения в ХМАО-Югре на 2014-2020 годы" с.п. Зайцева Речка</t>
  </si>
  <si>
    <t>ИТОГО</t>
  </si>
  <si>
    <t>Итого:</t>
  </si>
  <si>
    <t>Рз</t>
  </si>
  <si>
    <t>ПР</t>
  </si>
  <si>
    <t>Плановый период</t>
  </si>
  <si>
    <t>2017 год</t>
  </si>
  <si>
    <t>Общегосударственные вопросы</t>
  </si>
  <si>
    <t>Функционирование высшего должностного лица субьекта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</si>
  <si>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</si>
  <si>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Федерации,высших исполнительных органов государственной власти субьектов Российской Федерации,местных администраций</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</si>
  <si>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</si>
  <si>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</si>
  <si>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</si>
  <si>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</si>
  <si>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</si>
  <si>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 xml:space="preserve">Защита населения и территории от чрезвычайных ситуаций природного и техногенного характера, гражданская оборона
</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</si>
  <si>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</si>
  <si>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</si>
  <si>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</si>
  <si>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общеэконмические вопросы</t>
  </si>
  <si>
    <t>Дорожное хозяйство (дорожные фрнды)</t>
  </si>
  <si>
    <t>Связь и информатика</t>
  </si>
  <si>
    <t>Другие вопросы в области национальной экономики</t>
  </si>
  <si>
    <t>Жилищно-коммунальное хозяйство</t>
  </si>
  <si>
    <t>Жилищное хозяйство</t>
  </si>
  <si>
    <t>Жилищное хозяйство(пониж.коэф.)</t>
  </si>
  <si>
    <t>Жилищное хозяйство (подвоз воды 241)</t>
  </si>
  <si>
    <t>Коммунальное хозяйство</t>
  </si>
  <si>
    <t>Благоустройство</t>
  </si>
  <si>
    <t>Благоустройство(ТБО и ЖБО)</t>
  </si>
  <si>
    <t>Благоустройство(улич.освещ)</t>
  </si>
  <si>
    <t>Другие вопросы в области жилищно-коммунального хозяйства(ДОР.деят)</t>
  </si>
  <si>
    <t>Культура,  кинематография</t>
  </si>
  <si>
    <t>Культура</t>
  </si>
  <si>
    <t>Кинематография</t>
  </si>
  <si>
    <t>Социальная политика</t>
  </si>
  <si>
    <t>10</t>
  </si>
  <si>
    <t>Пенсионное обеспечение</t>
  </si>
  <si>
    <t>01</t>
  </si>
  <si>
    <t>Физическая культура и спорт</t>
  </si>
  <si>
    <t>Физическая культура</t>
  </si>
  <si>
    <t>ВСЕГО</t>
  </si>
  <si>
    <t xml:space="preserve"> ожидаемое исполнение на 31.12.18</t>
  </si>
  <si>
    <t>ПК,МФУ,1Скадры</t>
  </si>
  <si>
    <t>эл.энерг. 2 мес Б,В, ЗР</t>
  </si>
  <si>
    <t>9 мес Б,В, ЗР</t>
  </si>
  <si>
    <t>акцизы</t>
  </si>
  <si>
    <t>налог на имущ.</t>
  </si>
  <si>
    <t>НДФЛ</t>
  </si>
  <si>
    <t>остатки с 2017г</t>
  </si>
  <si>
    <t>656 2 02 30024 10 0000 151</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</si>
</sst>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0.00;[Red]0.00"/>
    <numFmt numFmtId="174" formatCode="0.00_ ;\-0.00\ "/>
    <numFmt numFmtId="175" formatCode="#,##0.00_ ;[Red]\-#,##0.00\ "/>
    <numFmt numFmtId="176" formatCode="#,##0.0"/>
    <numFmt numFmtId="177" formatCode="#,##0.00;[Red]\-#,##0.00;0.00"/>
    <numFmt numFmtId="178" formatCode="#,##0.00;[Red]\-#,##0.00"/>
    <numFmt numFmtId="179" formatCode="000"/>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000"/>
    <numFmt numFmtId="185" formatCode="000\.00\.000\.0"/>
    <numFmt numFmtId="186" formatCode="0\.00"/>
    <numFmt numFmtId="187" formatCode="00\.00\.00"/>
    <numFmt numFmtId="188" formatCode="0\.00\.0"/>
    <numFmt numFmtId="189" formatCode="000\.00\.00"/>
    <numFmt numFmtId="190" formatCode="0000000000"/>
    <numFmt numFmtId="191" formatCode="0000"/>
    <numFmt numFmtId="192" formatCode="0000000"/>
    <numFmt numFmtId="193" formatCode="0.00000"/>
    <numFmt numFmtId="194" formatCode="0.0000"/>
    <numFmt numFmtId="195" formatCode="000000"/>
    <numFmt numFmtId="196" formatCode="00"/>
  </numFmts>
  <fonts count="92">
    <font>
      <sz val="10"/>
      <name val="Arial Cyr"/>
      <family val="0"/>
    </font>
    <font>
      <sz val="11"/>
      <color indexed="8"/>
      <name val="Calibri"/>
      <family val="2"/>
    </font>
    <font>
      <b/>
      <sz val="10"/>
      <name val="Arial Cyr"/>
      <family val="0"/>
    </font>
    <font>
      <sz val="8"/>
      <name val="Arial Cyr"/>
      <family val="2"/>
    </font>
    <font>
      <b/>
      <sz val="11"/>
      <name val="Arial Cyr"/>
      <family val="2"/>
    </font>
    <font>
      <b/>
      <sz val="9"/>
      <name val="Arial Cyr"/>
      <family val="2"/>
    </font>
    <font>
      <b/>
      <sz val="8"/>
      <name val="Arial Cyr"/>
      <family val="0"/>
    </font>
    <font>
      <u val="single"/>
      <sz val="8"/>
      <name val="Arial Cyr"/>
      <family val="0"/>
    </font>
    <font>
      <sz val="8"/>
      <name val="Arial"/>
      <family val="2"/>
    </font>
    <font>
      <sz val="8"/>
      <color indexed="8"/>
      <name val="Arial Cyr"/>
      <family val="2"/>
    </font>
    <font>
      <sz val="9"/>
      <name val="Times New Roman"/>
      <family val="1"/>
    </font>
    <font>
      <b/>
      <sz val="9"/>
      <name val="Times New Roman"/>
      <family val="1"/>
    </font>
    <font>
      <b/>
      <sz val="8"/>
      <color indexed="10"/>
      <name val="Arial Cyr"/>
      <family val="0"/>
    </font>
    <font>
      <b/>
      <sz val="10"/>
      <color indexed="10"/>
      <name val="Arial Cyr"/>
      <family val="0"/>
    </font>
    <font>
      <b/>
      <i/>
      <sz val="10"/>
      <name val="Arial Cyr"/>
      <family val="0"/>
    </font>
    <font>
      <sz val="10"/>
      <name val="Arial"/>
      <family val="2"/>
    </font>
    <font>
      <b/>
      <i/>
      <sz val="8"/>
      <name val="Arial"/>
      <family val="2"/>
    </font>
    <font>
      <b/>
      <sz val="8"/>
      <name val="Arial"/>
      <family val="2"/>
    </font>
    <font>
      <b/>
      <sz val="9"/>
      <name val="Arial"/>
      <family val="2"/>
    </font>
    <font>
      <sz val="6"/>
      <name val="Times New Roman"/>
      <family val="1"/>
    </font>
    <font>
      <sz val="8"/>
      <name val="Times New Roman"/>
      <family val="1"/>
    </font>
    <font>
      <b/>
      <sz val="10"/>
      <name val="Times New Roman"/>
      <family val="1"/>
    </font>
    <font>
      <sz val="10"/>
      <name val="Times New Roman"/>
      <family val="1"/>
    </font>
    <font>
      <b/>
      <sz val="11"/>
      <name val="Times New Roman"/>
      <family val="1"/>
    </font>
    <font>
      <b/>
      <sz val="8"/>
      <name val="Times New Roman"/>
      <family val="1"/>
    </font>
    <font>
      <b/>
      <i/>
      <sz val="8"/>
      <name val="Times New Roman"/>
      <family val="1"/>
    </font>
    <font>
      <u val="single"/>
      <sz val="8"/>
      <name val="Times New Roman"/>
      <family val="1"/>
    </font>
    <font>
      <sz val="9"/>
      <color indexed="8"/>
      <name val="Times New Roman"/>
      <family val="1"/>
    </font>
    <font>
      <sz val="8"/>
      <color indexed="8"/>
      <name val="Times New Roman"/>
      <family val="1"/>
    </font>
    <font>
      <b/>
      <sz val="14"/>
      <name val="Times New Roman"/>
      <family val="1"/>
    </font>
    <font>
      <sz val="14"/>
      <name val="Arial Cyr"/>
      <family val="0"/>
    </font>
    <font>
      <b/>
      <sz val="12"/>
      <name val="Times New Roman"/>
      <family val="1"/>
    </font>
    <font>
      <b/>
      <i/>
      <sz val="9"/>
      <name val="Times New Roman"/>
      <family val="1"/>
    </font>
    <font>
      <b/>
      <sz val="9"/>
      <color indexed="10"/>
      <name val="Times New Roman"/>
      <family val="1"/>
    </font>
    <font>
      <i/>
      <sz val="8"/>
      <name val="Arial"/>
      <family val="2"/>
    </font>
    <font>
      <b/>
      <i/>
      <sz val="8"/>
      <color indexed="10"/>
      <name val="Arial"/>
      <family val="2"/>
    </font>
    <font>
      <u val="single"/>
      <sz val="10"/>
      <name val="Times New Roman"/>
      <family val="1"/>
    </font>
    <font>
      <b/>
      <sz val="18"/>
      <name val="Arial"/>
      <family val="2"/>
    </font>
    <font>
      <sz val="18"/>
      <name val="Arial"/>
      <family val="2"/>
    </font>
    <font>
      <sz val="9"/>
      <name val="Arial"/>
      <family val="2"/>
    </font>
    <font>
      <b/>
      <sz val="7"/>
      <name val="Arial"/>
      <family val="2"/>
    </font>
    <font>
      <b/>
      <sz val="10"/>
      <name val="Arial"/>
      <family val="2"/>
    </font>
    <font>
      <b/>
      <sz val="9"/>
      <name val="Times New Roman Cyr"/>
      <family val="1"/>
    </font>
    <font>
      <sz val="9"/>
      <name val="Arial Cyr"/>
      <family val="0"/>
    </font>
    <font>
      <b/>
      <i/>
      <sz val="10"/>
      <name val="Arial"/>
      <family val="2"/>
    </font>
    <font>
      <b/>
      <sz val="12"/>
      <name val="Times New Roman CYR"/>
      <family val="0"/>
    </font>
    <font>
      <sz val="12"/>
      <name val="Times New Roman CYR"/>
      <family val="1"/>
    </font>
    <font>
      <b/>
      <sz val="10"/>
      <name val="Times New Roman Cyr"/>
      <family val="0"/>
    </font>
    <font>
      <b/>
      <sz val="9"/>
      <name val="Times New Roman CYR"/>
      <family val="0"/>
    </font>
    <font>
      <sz val="9"/>
      <name val="Times New Roman Cyr"/>
      <family val="1"/>
    </font>
    <font>
      <sz val="9"/>
      <name val="Times New Roman CYR"/>
      <family val="0"/>
    </font>
    <font>
      <i/>
      <sz val="9"/>
      <name val="Times New Roman Cyr"/>
      <family val="0"/>
    </font>
    <font>
      <b/>
      <sz val="9"/>
      <name val="Tahoma"/>
      <family val="2"/>
    </font>
    <font>
      <sz val="9"/>
      <name val="Tahoma"/>
      <family val="2"/>
    </font>
    <font>
      <sz val="11"/>
      <color indexed="9"/>
      <name val="Calibri"/>
      <family val="2"/>
    </font>
    <font>
      <sz val="11"/>
      <color indexed="62"/>
      <name val="Calibri"/>
      <family val="2"/>
    </font>
    <font>
      <b/>
      <sz val="11"/>
      <color indexed="63"/>
      <name val="Calibri"/>
      <family val="2"/>
    </font>
    <font>
      <b/>
      <sz val="11"/>
      <color indexed="10"/>
      <name val="Calibri"/>
      <family val="2"/>
    </font>
    <font>
      <u val="single"/>
      <sz val="10"/>
      <color indexed="12"/>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10"/>
      <color indexed="20"/>
      <name val="Arial Cyr"/>
      <family val="0"/>
    </font>
    <font>
      <sz val="11"/>
      <color indexed="20"/>
      <name val="Calibri"/>
      <family val="2"/>
    </font>
    <font>
      <i/>
      <sz val="11"/>
      <color indexed="23"/>
      <name val="Calibri"/>
      <family val="2"/>
    </font>
    <font>
      <sz val="11"/>
      <color indexed="10"/>
      <name val="Calibri"/>
      <family val="2"/>
    </font>
    <font>
      <sz val="11"/>
      <color indexed="17"/>
      <name val="Calibri"/>
      <family val="2"/>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indexed="42"/>
        <bgColor indexed="64"/>
      </patternFill>
    </fill>
    <fill>
      <patternFill patternType="solid">
        <fgColor indexed="45"/>
        <bgColor indexed="64"/>
      </patternFill>
    </fill>
    <fill>
      <patternFill patternType="solid">
        <fgColor rgb="FF92D050"/>
        <bgColor indexed="64"/>
      </patternFill>
    </fill>
    <fill>
      <patternFill patternType="solid">
        <fgColor rgb="FFFFC000"/>
        <bgColor indexed="64"/>
      </patternFill>
    </fill>
    <fill>
      <patternFill patternType="solid">
        <fgColor theme="2" tint="-0.09996999800205231"/>
        <bgColor indexed="64"/>
      </patternFill>
    </fill>
    <fill>
      <patternFill patternType="solid">
        <fgColor indexed="46"/>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rgb="FF00B0F0"/>
        <bgColor indexed="64"/>
      </patternFill>
    </fill>
    <fill>
      <patternFill patternType="solid">
        <fgColor theme="2" tint="-0.4999699890613556"/>
        <bgColor indexed="64"/>
      </patternFill>
    </fill>
    <fill>
      <patternFill patternType="solid">
        <fgColor theme="3" tint="0.7999799847602844"/>
        <bgColor indexed="64"/>
      </patternFill>
    </fill>
    <fill>
      <patternFill patternType="solid">
        <fgColor theme="2" tint="-0.8999800086021423"/>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style="thin"/>
      <top/>
      <bottom/>
    </border>
    <border>
      <left style="thin"/>
      <right style="thin"/>
      <top/>
      <bottom/>
    </border>
    <border>
      <left style="thin"/>
      <right/>
      <top/>
      <bottom/>
    </border>
    <border>
      <left/>
      <right style="thin"/>
      <top style="thin"/>
      <bottom/>
    </border>
    <border>
      <left style="thin"/>
      <right/>
      <top/>
      <bottom style="thin"/>
    </border>
    <border>
      <left style="thin"/>
      <right style="thin"/>
      <top style="thin"/>
      <bottom/>
    </border>
    <border>
      <left/>
      <right style="thin"/>
      <top style="thin"/>
      <bottom style="thin"/>
    </border>
    <border>
      <left style="thin"/>
      <right style="thin"/>
      <top style="thin"/>
      <bottom style="medium"/>
    </border>
    <border>
      <left/>
      <right style="thin"/>
      <top style="thin"/>
      <bottom style="medium"/>
    </border>
    <border>
      <left style="thin"/>
      <right/>
      <top style="thin"/>
      <bottom style="medium"/>
    </border>
    <border>
      <left style="medium"/>
      <right style="thin"/>
      <top style="medium"/>
      <bottom style="thin"/>
    </border>
    <border>
      <left/>
      <right style="thin"/>
      <top style="medium"/>
      <bottom style="thin"/>
    </border>
    <border>
      <left/>
      <right style="thin"/>
      <top/>
      <bottom style="thin"/>
    </border>
    <border>
      <left style="thin"/>
      <right style="thin"/>
      <top/>
      <bottom style="thin"/>
    </border>
    <border>
      <left/>
      <right style="medium"/>
      <top/>
      <bottom style="hair"/>
    </border>
    <border>
      <left style="medium"/>
      <right style="thin"/>
      <top style="thin"/>
      <bottom style="thin"/>
    </border>
    <border>
      <left style="medium"/>
      <right style="medium"/>
      <top style="medium"/>
      <bottom style="thin"/>
    </border>
    <border>
      <left style="medium"/>
      <right style="medium"/>
      <top/>
      <bottom style="thin"/>
    </border>
    <border>
      <left style="medium"/>
      <right style="medium"/>
      <top style="thin"/>
      <bottom style="medium"/>
    </border>
    <border>
      <left style="thin"/>
      <right/>
      <top style="thin"/>
      <bottom style="thin"/>
    </border>
    <border>
      <left/>
      <right/>
      <top style="thin"/>
      <bottom style="thin"/>
    </border>
    <border>
      <left style="thin"/>
      <right style="medium"/>
      <top style="medium"/>
      <bottom style="thin"/>
    </border>
    <border>
      <left style="thin"/>
      <right style="medium"/>
      <top/>
      <bottom/>
    </border>
    <border>
      <left/>
      <right/>
      <top/>
      <bottom style="hair"/>
    </border>
    <border>
      <left style="medium"/>
      <right style="thin"/>
      <top style="thin"/>
      <bottom/>
    </border>
    <border>
      <left style="medium"/>
      <right style="thin"/>
      <top/>
      <bottom style="thin"/>
    </border>
    <border>
      <left style="thin"/>
      <right style="medium"/>
      <top/>
      <bottom style="thin"/>
    </border>
    <border>
      <left style="thin"/>
      <right style="medium"/>
      <top style="thin"/>
      <bottom style="thin"/>
    </border>
    <border>
      <left style="thin"/>
      <right style="thin"/>
      <top style="thin"/>
      <bottom style="thin"/>
    </border>
    <border>
      <left/>
      <right style="medium"/>
      <top style="hair"/>
      <bottom style="hair"/>
    </border>
    <border>
      <left style="medium"/>
      <right style="thin"/>
      <top style="thin"/>
      <bottom style="medium"/>
    </border>
    <border>
      <left style="thin"/>
      <right style="medium"/>
      <top style="thin"/>
      <bottom style="medium"/>
    </border>
    <border>
      <left style="thin"/>
      <right style="medium"/>
      <top style="thin"/>
      <bottom/>
    </border>
    <border>
      <left/>
      <right style="medium"/>
      <top style="thin"/>
      <bottom style="hair"/>
    </border>
    <border>
      <left/>
      <right style="medium"/>
      <top/>
      <bottom>
        <color indexed="63"/>
      </bottom>
    </border>
    <border>
      <left>
        <color indexed="63"/>
      </left>
      <right/>
      <top style="thin"/>
      <bottom/>
    </border>
    <border>
      <left>
        <color indexed="63"/>
      </left>
      <right style="medium"/>
      <top/>
      <bottom style="thin"/>
    </border>
    <border>
      <left>
        <color indexed="63"/>
      </left>
      <right style="medium"/>
      <top/>
      <bottom style="medium"/>
    </border>
    <border>
      <left style="medium"/>
      <right style="medium"/>
      <top style="medium"/>
      <bottom style="medium"/>
    </border>
    <border>
      <left>
        <color indexed="63"/>
      </left>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n"/>
      <right/>
      <top style="thin"/>
      <bottom/>
    </border>
    <border>
      <left style="medium"/>
      <right>
        <color indexed="63"/>
      </right>
      <top style="medium"/>
      <bottom>
        <color indexed="63"/>
      </bottom>
    </border>
    <border>
      <left/>
      <right/>
      <top style="medium"/>
      <bottom style="medium"/>
    </border>
    <border>
      <left style="thin"/>
      <right style="thin"/>
      <top style="medium"/>
      <bottom/>
    </border>
    <border>
      <left style="medium"/>
      <right>
        <color indexed="63"/>
      </right>
      <top>
        <color indexed="63"/>
      </top>
      <bottom>
        <color indexed="63"/>
      </bottom>
    </border>
    <border>
      <left style="medium"/>
      <right>
        <color indexed="63"/>
      </right>
      <top>
        <color indexed="63"/>
      </top>
      <bottom style="medium"/>
    </border>
    <border>
      <left style="thin"/>
      <right style="thin"/>
      <top/>
      <bottom style="medium"/>
    </border>
    <border>
      <left style="medium"/>
      <right style="medium"/>
      <top style="thin"/>
      <bottom style="thin"/>
    </border>
    <border>
      <left style="medium"/>
      <right/>
      <top style="thin"/>
      <bottom style="thin"/>
    </border>
    <border>
      <left/>
      <right style="medium"/>
      <top style="thin"/>
      <bottom style="thin"/>
    </border>
    <border>
      <left style="thin"/>
      <right style="thin"/>
      <top style="medium"/>
      <bottom style="thin"/>
    </border>
    <border>
      <left style="thin"/>
      <right/>
      <top style="medium"/>
      <bottom style="thin"/>
    </border>
    <border>
      <left style="medium"/>
      <right/>
      <top/>
      <bottom style="thin"/>
    </border>
    <border>
      <left/>
      <right style="medium"/>
      <top style="thin"/>
      <bottom style="medium"/>
    </border>
    <border>
      <left style="medium"/>
      <right/>
      <top style="thin"/>
      <bottom style="medium"/>
    </border>
    <border>
      <left style="thin"/>
      <right/>
      <top/>
      <bottom style="medium"/>
    </border>
    <border>
      <left/>
      <right style="thin"/>
      <top/>
      <bottom style="medium"/>
    </border>
    <border>
      <left style="thin"/>
      <right style="thin"/>
      <top style="medium"/>
      <bottom style="medium"/>
    </border>
    <border>
      <left style="thin"/>
      <right/>
      <top style="medium"/>
      <bottom style="medium"/>
    </border>
    <border>
      <left style="thin"/>
      <right/>
      <top style="medium"/>
      <bottom/>
    </border>
    <border>
      <left/>
      <right style="thin"/>
      <top style="medium"/>
      <bottom style="medium"/>
    </border>
    <border>
      <left style="thin"/>
      <right style="medium"/>
      <top style="medium"/>
      <bottom style="medium"/>
    </border>
    <border>
      <left style="medium"/>
      <right style="thin"/>
      <top style="medium"/>
      <bottom style="medium"/>
    </border>
    <border>
      <left style="medium"/>
      <right/>
      <top style="thin"/>
      <bottom/>
    </border>
    <border>
      <left/>
      <right/>
      <top style="medium"/>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7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85"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0" fillId="32" borderId="0" applyNumberFormat="0" applyBorder="0" applyAlignment="0" applyProtection="0"/>
  </cellStyleXfs>
  <cellXfs count="1374">
    <xf numFmtId="0" fontId="0" fillId="0" borderId="0" xfId="0" applyAlignment="1">
      <alignment/>
    </xf>
    <xf numFmtId="0" fontId="0" fillId="0" borderId="0" xfId="0" applyFill="1" applyAlignment="1">
      <alignment/>
    </xf>
    <xf numFmtId="0" fontId="4" fillId="0" borderId="0" xfId="0" applyFont="1" applyFill="1" applyBorder="1" applyAlignment="1">
      <alignment/>
    </xf>
    <xf numFmtId="0" fontId="3" fillId="0" borderId="0" xfId="0" applyFont="1" applyFill="1" applyAlignment="1">
      <alignment horizontal="left"/>
    </xf>
    <xf numFmtId="49" fontId="3" fillId="0" borderId="0" xfId="0" applyNumberFormat="1" applyFont="1" applyFill="1" applyAlignment="1">
      <alignment/>
    </xf>
    <xf numFmtId="49" fontId="3" fillId="0" borderId="0" xfId="0" applyNumberFormat="1" applyFont="1" applyFill="1" applyBorder="1" applyAlignment="1">
      <alignment horizontal="centerContinuous"/>
    </xf>
    <xf numFmtId="0" fontId="0" fillId="0" borderId="10" xfId="0" applyFill="1" applyBorder="1" applyAlignment="1">
      <alignment horizontal="left"/>
    </xf>
    <xf numFmtId="0" fontId="0" fillId="0" borderId="10" xfId="0" applyFill="1" applyBorder="1" applyAlignment="1">
      <alignment/>
    </xf>
    <xf numFmtId="49" fontId="0" fillId="0" borderId="10" xfId="0" applyNumberFormat="1" applyFill="1" applyBorder="1" applyAlignment="1">
      <alignment/>
    </xf>
    <xf numFmtId="0" fontId="0" fillId="0" borderId="10" xfId="0" applyFill="1" applyBorder="1" applyAlignment="1">
      <alignment/>
    </xf>
    <xf numFmtId="0" fontId="3" fillId="0" borderId="11" xfId="0" applyFont="1" applyFill="1" applyBorder="1" applyAlignment="1">
      <alignment horizontal="left"/>
    </xf>
    <xf numFmtId="0" fontId="3" fillId="0" borderId="11" xfId="0" applyFont="1" applyFill="1" applyBorder="1" applyAlignment="1">
      <alignment horizont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0" fontId="3" fillId="0" borderId="12" xfId="0" applyFont="1" applyFill="1" applyBorder="1" applyAlignment="1">
      <alignment horizontal="center"/>
    </xf>
    <xf numFmtId="49" fontId="3" fillId="0" borderId="15"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6" xfId="0" applyNumberFormat="1" applyFont="1" applyFill="1" applyBorder="1" applyAlignment="1">
      <alignment horizontal="center"/>
    </xf>
    <xf numFmtId="49" fontId="3" fillId="0" borderId="11"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wrapText="1"/>
    </xf>
    <xf numFmtId="49" fontId="6" fillId="0" borderId="22" xfId="0" applyNumberFormat="1" applyFont="1" applyFill="1" applyBorder="1" applyAlignment="1">
      <alignment horizontal="center" wrapText="1"/>
    </xf>
    <xf numFmtId="4" fontId="6" fillId="0" borderId="23" xfId="0" applyNumberFormat="1" applyFont="1" applyFill="1" applyBorder="1" applyAlignment="1">
      <alignment horizontal="center"/>
    </xf>
    <xf numFmtId="4" fontId="6" fillId="0" borderId="24" xfId="0" applyNumberFormat="1" applyFont="1" applyFill="1" applyBorder="1" applyAlignment="1">
      <alignment horizontal="center"/>
    </xf>
    <xf numFmtId="0" fontId="2" fillId="0" borderId="0" xfId="0" applyFont="1" applyFill="1" applyAlignment="1">
      <alignment/>
    </xf>
    <xf numFmtId="0" fontId="3" fillId="0" borderId="25" xfId="0" applyFont="1" applyFill="1" applyBorder="1" applyAlignment="1">
      <alignment horizontal="left" wrapText="1" indent="2"/>
    </xf>
    <xf numFmtId="49" fontId="3" fillId="0" borderId="26" xfId="0" applyNumberFormat="1" applyFont="1" applyFill="1" applyBorder="1" applyAlignment="1">
      <alignment horizontal="center" wrapText="1"/>
    </xf>
    <xf numFmtId="49" fontId="3" fillId="0" borderId="17" xfId="0" applyNumberFormat="1" applyFont="1" applyFill="1" applyBorder="1" applyAlignment="1">
      <alignment horizontal="center" wrapText="1"/>
    </xf>
    <xf numFmtId="4" fontId="3" fillId="0" borderId="23" xfId="0" applyNumberFormat="1" applyFont="1" applyFill="1" applyBorder="1" applyAlignment="1">
      <alignment horizontal="center"/>
    </xf>
    <xf numFmtId="4" fontId="3" fillId="0" borderId="24" xfId="0" applyNumberFormat="1" applyFont="1" applyFill="1" applyBorder="1" applyAlignment="1">
      <alignment horizontal="center"/>
    </xf>
    <xf numFmtId="49" fontId="3" fillId="0" borderId="26" xfId="0" applyNumberFormat="1" applyFont="1" applyFill="1" applyBorder="1" applyAlignment="1">
      <alignment horizontal="left" wrapText="1"/>
    </xf>
    <xf numFmtId="0" fontId="0" fillId="0" borderId="0" xfId="0" applyFont="1" applyFill="1" applyAlignment="1">
      <alignment/>
    </xf>
    <xf numFmtId="49" fontId="3" fillId="0" borderId="23" xfId="0" applyNumberFormat="1" applyFont="1" applyFill="1" applyBorder="1" applyAlignment="1">
      <alignment horizontal="center"/>
    </xf>
    <xf numFmtId="0" fontId="2" fillId="0" borderId="0" xfId="0" applyFont="1" applyFill="1" applyAlignment="1">
      <alignment horizontal="centerContinuous"/>
    </xf>
    <xf numFmtId="0" fontId="4" fillId="0" borderId="0" xfId="0" applyFont="1" applyFill="1" applyAlignment="1">
      <alignment horizontal="centerContinuous"/>
    </xf>
    <xf numFmtId="0" fontId="5" fillId="0" borderId="0" xfId="0" applyFont="1" applyFill="1" applyAlignment="1">
      <alignment horizontal="centerContinuous"/>
    </xf>
    <xf numFmtId="0" fontId="3" fillId="0" borderId="18" xfId="0" applyFont="1" applyFill="1" applyBorder="1" applyAlignment="1">
      <alignment horizontal="center"/>
    </xf>
    <xf numFmtId="0" fontId="2" fillId="0" borderId="0" xfId="0" applyFont="1" applyFill="1" applyAlignment="1">
      <alignment/>
    </xf>
    <xf numFmtId="49" fontId="3" fillId="0" borderId="27" xfId="0" applyNumberFormat="1" applyFont="1" applyFill="1" applyBorder="1" applyAlignment="1">
      <alignment horizontal="centerContinuous"/>
    </xf>
    <xf numFmtId="0" fontId="3" fillId="0" borderId="0" xfId="0" applyFont="1" applyFill="1" applyAlignment="1">
      <alignment horizontal="centerContinuous"/>
    </xf>
    <xf numFmtId="49" fontId="3" fillId="0" borderId="28" xfId="0" applyNumberFormat="1" applyFont="1" applyFill="1" applyBorder="1" applyAlignment="1">
      <alignment horizontal="center"/>
    </xf>
    <xf numFmtId="0" fontId="6" fillId="0" borderId="0" xfId="0" applyFont="1" applyFill="1" applyAlignment="1">
      <alignment horizontal="left"/>
    </xf>
    <xf numFmtId="49" fontId="6" fillId="0" borderId="0" xfId="0" applyNumberFormat="1" applyFont="1" applyFill="1" applyAlignment="1">
      <alignment/>
    </xf>
    <xf numFmtId="49" fontId="3" fillId="0" borderId="28" xfId="0" applyNumberFormat="1" applyFont="1" applyFill="1" applyBorder="1" applyAlignment="1">
      <alignment/>
    </xf>
    <xf numFmtId="49" fontId="3" fillId="0" borderId="28" xfId="0" applyNumberFormat="1" applyFont="1" applyFill="1" applyBorder="1" applyAlignment="1">
      <alignment horizontal="centerContinuous"/>
    </xf>
    <xf numFmtId="49" fontId="3" fillId="0" borderId="29" xfId="0" applyNumberFormat="1" applyFont="1" applyFill="1" applyBorder="1" applyAlignment="1">
      <alignment horizontal="centerContinuous"/>
    </xf>
    <xf numFmtId="0" fontId="0" fillId="0" borderId="0" xfId="0" applyFill="1" applyAlignment="1">
      <alignment horizontal="left"/>
    </xf>
    <xf numFmtId="49" fontId="3" fillId="0" borderId="30" xfId="0" applyNumberFormat="1" applyFont="1" applyFill="1" applyBorder="1" applyAlignment="1">
      <alignment horizontal="center" vertical="center"/>
    </xf>
    <xf numFmtId="49" fontId="3" fillId="0" borderId="31" xfId="0" applyNumberFormat="1" applyFont="1" applyFill="1" applyBorder="1" applyAlignment="1">
      <alignment horizontal="center" vertical="top"/>
    </xf>
    <xf numFmtId="49" fontId="3" fillId="0" borderId="31"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 fontId="6" fillId="0" borderId="32" xfId="0" applyNumberFormat="1" applyFont="1" applyFill="1" applyBorder="1" applyAlignment="1">
      <alignment horizontal="center"/>
    </xf>
    <xf numFmtId="4" fontId="3" fillId="0" borderId="33" xfId="0" applyNumberFormat="1" applyFont="1" applyFill="1" applyBorder="1" applyAlignment="1">
      <alignment horizontal="center"/>
    </xf>
    <xf numFmtId="49" fontId="3" fillId="0" borderId="24" xfId="0" applyNumberFormat="1" applyFont="1" applyFill="1" applyBorder="1" applyAlignment="1">
      <alignment horizontal="center"/>
    </xf>
    <xf numFmtId="0" fontId="3" fillId="0" borderId="0" xfId="0" applyFont="1" applyFill="1" applyBorder="1" applyAlignment="1">
      <alignment horizontal="lef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xf>
    <xf numFmtId="49" fontId="3" fillId="0" borderId="0" xfId="0" applyNumberFormat="1" applyFont="1" applyFill="1" applyBorder="1" applyAlignment="1">
      <alignment horizontal="left"/>
    </xf>
    <xf numFmtId="0" fontId="3" fillId="0" borderId="0" xfId="0" applyFont="1" applyFill="1" applyBorder="1" applyAlignment="1">
      <alignment horizont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xf>
    <xf numFmtId="49" fontId="0" fillId="0" borderId="0" xfId="0" applyNumberFormat="1" applyFill="1" applyAlignment="1">
      <alignment/>
    </xf>
    <xf numFmtId="49" fontId="0" fillId="0" borderId="10" xfId="0" applyNumberFormat="1" applyFill="1" applyBorder="1" applyAlignment="1">
      <alignment horizontal="left"/>
    </xf>
    <xf numFmtId="0" fontId="0" fillId="0" borderId="11" xfId="0" applyFill="1" applyBorder="1" applyAlignment="1">
      <alignment horizontal="left"/>
    </xf>
    <xf numFmtId="0" fontId="6" fillId="0" borderId="34" xfId="0" applyFont="1" applyFill="1" applyBorder="1" applyAlignment="1">
      <alignment horizontal="left" wrapText="1"/>
    </xf>
    <xf numFmtId="2" fontId="6" fillId="0" borderId="24" xfId="0" applyNumberFormat="1" applyFont="1" applyFill="1" applyBorder="1" applyAlignment="1">
      <alignment horizontal="center"/>
    </xf>
    <xf numFmtId="2" fontId="6" fillId="0" borderId="32" xfId="0" applyNumberFormat="1" applyFont="1" applyFill="1" applyBorder="1" applyAlignment="1">
      <alignment horizontal="center"/>
    </xf>
    <xf numFmtId="49" fontId="3" fillId="0" borderId="35" xfId="0" applyNumberFormat="1" applyFont="1" applyFill="1" applyBorder="1" applyAlignment="1">
      <alignment horizontal="center" wrapText="1"/>
    </xf>
    <xf numFmtId="49" fontId="3" fillId="0" borderId="14" xfId="0" applyNumberFormat="1" applyFont="1" applyFill="1" applyBorder="1" applyAlignment="1">
      <alignment horizontal="center" wrapText="1"/>
    </xf>
    <xf numFmtId="49" fontId="3" fillId="0" borderId="11" xfId="0" applyNumberFormat="1" applyFont="1" applyFill="1" applyBorder="1" applyAlignment="1">
      <alignment horizontal="center"/>
    </xf>
    <xf numFmtId="2" fontId="3" fillId="0" borderId="12" xfId="0" applyNumberFormat="1" applyFont="1" applyFill="1" applyBorder="1" applyAlignment="1">
      <alignment horizontal="center"/>
    </xf>
    <xf numFmtId="2" fontId="3" fillId="0" borderId="33" xfId="0" applyNumberFormat="1" applyFont="1" applyFill="1" applyBorder="1" applyAlignment="1">
      <alignment horizontal="center"/>
    </xf>
    <xf numFmtId="0" fontId="3" fillId="0" borderId="34" xfId="0" applyFont="1" applyFill="1" applyBorder="1" applyAlignment="1">
      <alignment horizontal="left" wrapText="1"/>
    </xf>
    <xf numFmtId="49" fontId="3" fillId="0" borderId="36" xfId="0" applyNumberFormat="1" applyFont="1" applyFill="1" applyBorder="1" applyAlignment="1">
      <alignment horizontal="center" wrapText="1"/>
    </xf>
    <xf numFmtId="2" fontId="3" fillId="0" borderId="23" xfId="0" applyNumberFormat="1" applyFont="1" applyFill="1" applyBorder="1" applyAlignment="1">
      <alignment horizontal="center"/>
    </xf>
    <xf numFmtId="2" fontId="3" fillId="0" borderId="24" xfId="0" applyNumberFormat="1" applyFont="1" applyFill="1" applyBorder="1" applyAlignment="1">
      <alignment horizontal="center"/>
    </xf>
    <xf numFmtId="2" fontId="3" fillId="0" borderId="37" xfId="0" applyNumberFormat="1" applyFont="1" applyFill="1" applyBorder="1" applyAlignment="1">
      <alignment horizontal="center"/>
    </xf>
    <xf numFmtId="49" fontId="3" fillId="0" borderId="12" xfId="0" applyNumberFormat="1" applyFont="1" applyFill="1" applyBorder="1" applyAlignment="1">
      <alignment horizontal="center"/>
    </xf>
    <xf numFmtId="49" fontId="3" fillId="0" borderId="33" xfId="0" applyNumberFormat="1" applyFont="1" applyFill="1" applyBorder="1" applyAlignment="1">
      <alignment horizontal="center"/>
    </xf>
    <xf numFmtId="49" fontId="3" fillId="0" borderId="36" xfId="0" applyNumberFormat="1" applyFont="1" applyFill="1" applyBorder="1" applyAlignment="1">
      <alignment horizontal="left" wrapText="1"/>
    </xf>
    <xf numFmtId="49" fontId="3" fillId="0" borderId="37" xfId="0" applyNumberFormat="1" applyFont="1" applyFill="1" applyBorder="1" applyAlignment="1">
      <alignment horizontal="center"/>
    </xf>
    <xf numFmtId="49" fontId="3" fillId="0" borderId="38" xfId="0" applyNumberFormat="1" applyFont="1" applyFill="1" applyBorder="1" applyAlignment="1">
      <alignment horizontal="center"/>
    </xf>
    <xf numFmtId="2" fontId="3" fillId="0" borderId="11" xfId="0" applyNumberFormat="1" applyFont="1" applyFill="1" applyBorder="1" applyAlignment="1">
      <alignment horizontal="center"/>
    </xf>
    <xf numFmtId="49" fontId="3" fillId="0" borderId="39" xfId="0" applyNumberFormat="1" applyFont="1" applyFill="1" applyBorder="1" applyAlignment="1">
      <alignment horizontal="center"/>
    </xf>
    <xf numFmtId="2" fontId="3" fillId="0" borderId="17" xfId="0" applyNumberFormat="1" applyFont="1" applyFill="1" applyBorder="1" applyAlignment="1">
      <alignment horizontal="center"/>
    </xf>
    <xf numFmtId="2" fontId="3" fillId="0" borderId="39" xfId="0" applyNumberFormat="1" applyFont="1" applyFill="1" applyBorder="1" applyAlignment="1">
      <alignment horizontal="center"/>
    </xf>
    <xf numFmtId="0" fontId="3" fillId="0" borderId="40" xfId="0" applyFont="1" applyFill="1" applyBorder="1" applyAlignment="1">
      <alignment horizontal="left" wrapText="1"/>
    </xf>
    <xf numFmtId="49" fontId="3" fillId="0" borderId="41" xfId="0" applyNumberFormat="1" applyFont="1" applyFill="1" applyBorder="1" applyAlignment="1">
      <alignment horizontal="center" wrapText="1"/>
    </xf>
    <xf numFmtId="49" fontId="3" fillId="0" borderId="18" xfId="0" applyNumberFormat="1" applyFont="1" applyFill="1" applyBorder="1" applyAlignment="1">
      <alignment horizontal="center"/>
    </xf>
    <xf numFmtId="49" fontId="3" fillId="0" borderId="19" xfId="0" applyNumberFormat="1" applyFont="1" applyFill="1" applyBorder="1" applyAlignment="1">
      <alignment horizontal="center"/>
    </xf>
    <xf numFmtId="2" fontId="3" fillId="0" borderId="19" xfId="0" applyNumberFormat="1" applyFont="1" applyFill="1" applyBorder="1" applyAlignment="1">
      <alignment horizontal="center"/>
    </xf>
    <xf numFmtId="2" fontId="3" fillId="0" borderId="18" xfId="0" applyNumberFormat="1" applyFont="1" applyFill="1" applyBorder="1" applyAlignment="1">
      <alignment horizontal="center"/>
    </xf>
    <xf numFmtId="49" fontId="3" fillId="0" borderId="42" xfId="0" applyNumberFormat="1" applyFont="1" applyFill="1" applyBorder="1" applyAlignment="1">
      <alignment horizontal="center"/>
    </xf>
    <xf numFmtId="49" fontId="3" fillId="0" borderId="0" xfId="0" applyNumberFormat="1" applyFont="1" applyFill="1" applyBorder="1" applyAlignment="1">
      <alignment horizontal="center" wrapText="1"/>
    </xf>
    <xf numFmtId="2" fontId="3" fillId="0" borderId="0" xfId="0" applyNumberFormat="1" applyFont="1" applyFill="1" applyBorder="1" applyAlignment="1">
      <alignment horizontal="center"/>
    </xf>
    <xf numFmtId="0" fontId="3" fillId="0" borderId="10" xfId="0" applyFont="1" applyFill="1" applyBorder="1" applyAlignment="1">
      <alignment horizontal="left" wrapText="1"/>
    </xf>
    <xf numFmtId="49" fontId="3"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xf>
    <xf numFmtId="49" fontId="3" fillId="0" borderId="10" xfId="0" applyNumberFormat="1" applyFont="1" applyFill="1" applyBorder="1" applyAlignment="1">
      <alignment horizontal="center" vertical="top"/>
    </xf>
    <xf numFmtId="49" fontId="3" fillId="0" borderId="14" xfId="0" applyNumberFormat="1" applyFont="1" applyFill="1" applyBorder="1" applyAlignment="1">
      <alignment horizontal="center"/>
    </xf>
    <xf numFmtId="49" fontId="3" fillId="0" borderId="43" xfId="0" applyNumberFormat="1" applyFont="1" applyFill="1" applyBorder="1" applyAlignment="1">
      <alignment horizontal="center"/>
    </xf>
    <xf numFmtId="0" fontId="3" fillId="0" borderId="0" xfId="0" applyFont="1" applyFill="1" applyBorder="1" applyAlignment="1">
      <alignment horizontal="left" wrapText="1"/>
    </xf>
    <xf numFmtId="0" fontId="3" fillId="0" borderId="0" xfId="0" applyFont="1" applyFill="1" applyBorder="1" applyAlignment="1">
      <alignment/>
    </xf>
    <xf numFmtId="49" fontId="0" fillId="0" borderId="0" xfId="0" applyNumberFormat="1" applyFill="1" applyBorder="1" applyAlignment="1">
      <alignment/>
    </xf>
    <xf numFmtId="0" fontId="0" fillId="0" borderId="0" xfId="0" applyFill="1" applyBorder="1" applyAlignment="1">
      <alignment/>
    </xf>
    <xf numFmtId="4" fontId="3" fillId="0" borderId="11" xfId="0" applyNumberFormat="1" applyFont="1" applyFill="1" applyBorder="1" applyAlignment="1">
      <alignment horizontal="center"/>
    </xf>
    <xf numFmtId="175" fontId="3" fillId="0" borderId="23" xfId="0" applyNumberFormat="1" applyFont="1" applyFill="1" applyBorder="1" applyAlignment="1">
      <alignment horizontal="center"/>
    </xf>
    <xf numFmtId="0" fontId="3" fillId="0" borderId="0" xfId="0" applyFont="1" applyFill="1" applyAlignment="1">
      <alignment horizontal="centerContinuous"/>
    </xf>
    <xf numFmtId="49" fontId="6" fillId="0" borderId="23" xfId="0" applyNumberFormat="1" applyFont="1" applyFill="1" applyBorder="1" applyAlignment="1">
      <alignment horizontal="center"/>
    </xf>
    <xf numFmtId="0" fontId="7" fillId="0" borderId="0" xfId="0" applyFont="1" applyFill="1" applyAlignment="1">
      <alignment horizontal="left"/>
    </xf>
    <xf numFmtId="0" fontId="3" fillId="0" borderId="25" xfId="0" applyFont="1" applyFill="1" applyBorder="1" applyAlignment="1">
      <alignment horizontal="left" wrapText="1"/>
    </xf>
    <xf numFmtId="4" fontId="3" fillId="0" borderId="23" xfId="0" applyNumberFormat="1" applyFont="1" applyFill="1" applyBorder="1" applyAlignment="1">
      <alignment horizontal="center"/>
    </xf>
    <xf numFmtId="4" fontId="3" fillId="0" borderId="24" xfId="0" applyNumberFormat="1" applyFont="1" applyFill="1" applyBorder="1" applyAlignment="1">
      <alignment horizontal="center"/>
    </xf>
    <xf numFmtId="0" fontId="0" fillId="0" borderId="0" xfId="0" applyFont="1" applyFill="1" applyAlignment="1">
      <alignment/>
    </xf>
    <xf numFmtId="0" fontId="3" fillId="0" borderId="0" xfId="0" applyFont="1" applyFill="1" applyBorder="1" applyAlignment="1">
      <alignment/>
    </xf>
    <xf numFmtId="49" fontId="3" fillId="0" borderId="0" xfId="0" applyNumberFormat="1" applyFont="1" applyFill="1" applyBorder="1" applyAlignment="1">
      <alignment horizontal="left" wrapText="1"/>
    </xf>
    <xf numFmtId="4" fontId="3" fillId="0" borderId="39" xfId="0" applyNumberFormat="1" applyFont="1" applyFill="1" applyBorder="1" applyAlignment="1">
      <alignment horizontal="center"/>
    </xf>
    <xf numFmtId="4" fontId="3" fillId="0" borderId="0" xfId="0" applyNumberFormat="1" applyFont="1" applyFill="1" applyBorder="1" applyAlignment="1">
      <alignment horizontal="center"/>
    </xf>
    <xf numFmtId="4" fontId="6" fillId="0" borderId="0" xfId="0" applyNumberFormat="1" applyFont="1" applyFill="1" applyBorder="1" applyAlignment="1">
      <alignment horizontal="center"/>
    </xf>
    <xf numFmtId="4" fontId="3" fillId="0" borderId="0" xfId="0" applyNumberFormat="1" applyFont="1" applyFill="1" applyAlignment="1">
      <alignment/>
    </xf>
    <xf numFmtId="0" fontId="3" fillId="0" borderId="39" xfId="0" applyFont="1" applyFill="1" applyBorder="1" applyAlignment="1">
      <alignment horizontal="left" wrapText="1"/>
    </xf>
    <xf numFmtId="0" fontId="6" fillId="33" borderId="44" xfId="0" applyFont="1" applyFill="1" applyBorder="1" applyAlignment="1">
      <alignment horizontal="left" wrapText="1"/>
    </xf>
    <xf numFmtId="49" fontId="6" fillId="33" borderId="21" xfId="0" applyNumberFormat="1" applyFont="1" applyFill="1" applyBorder="1" applyAlignment="1">
      <alignment horizontal="center" wrapText="1"/>
    </xf>
    <xf numFmtId="49" fontId="6" fillId="33" borderId="22" xfId="0" applyNumberFormat="1" applyFont="1" applyFill="1" applyBorder="1" applyAlignment="1">
      <alignment horizontal="center" wrapText="1"/>
    </xf>
    <xf numFmtId="4" fontId="6" fillId="33" borderId="23" xfId="0" applyNumberFormat="1" applyFont="1" applyFill="1" applyBorder="1" applyAlignment="1">
      <alignment horizontal="center"/>
    </xf>
    <xf numFmtId="4" fontId="6" fillId="33" borderId="24" xfId="0" applyNumberFormat="1" applyFont="1" applyFill="1" applyBorder="1" applyAlignment="1">
      <alignment horizontal="center"/>
    </xf>
    <xf numFmtId="49" fontId="6" fillId="33" borderId="26" xfId="0" applyNumberFormat="1" applyFont="1" applyFill="1" applyBorder="1" applyAlignment="1">
      <alignment horizontal="center" wrapText="1"/>
    </xf>
    <xf numFmtId="0" fontId="6" fillId="33" borderId="25" xfId="0" applyFont="1" applyFill="1" applyBorder="1" applyAlignment="1">
      <alignment horizontal="left" wrapText="1"/>
    </xf>
    <xf numFmtId="4" fontId="3" fillId="33" borderId="24" xfId="0" applyNumberFormat="1" applyFont="1" applyFill="1" applyBorder="1" applyAlignment="1">
      <alignment horizontal="center"/>
    </xf>
    <xf numFmtId="49" fontId="6" fillId="33" borderId="24" xfId="0" applyNumberFormat="1" applyFont="1" applyFill="1" applyBorder="1" applyAlignment="1">
      <alignment horizontal="center"/>
    </xf>
    <xf numFmtId="49" fontId="3" fillId="33" borderId="26" xfId="0" applyNumberFormat="1" applyFont="1" applyFill="1" applyBorder="1" applyAlignment="1">
      <alignment horizontal="left" wrapText="1"/>
    </xf>
    <xf numFmtId="4" fontId="6" fillId="33" borderId="32" xfId="0" applyNumberFormat="1" applyFont="1" applyFill="1" applyBorder="1" applyAlignment="1">
      <alignment horizontal="center"/>
    </xf>
    <xf numFmtId="4" fontId="8" fillId="0" borderId="39"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17" xfId="0" applyNumberFormat="1" applyFont="1" applyFill="1" applyBorder="1" applyAlignment="1">
      <alignment horizontal="left" wrapText="1"/>
    </xf>
    <xf numFmtId="0" fontId="3" fillId="0" borderId="45" xfId="0" applyFont="1" applyFill="1" applyBorder="1" applyAlignment="1">
      <alignment horizontal="left" wrapText="1"/>
    </xf>
    <xf numFmtId="49" fontId="3" fillId="0" borderId="14" xfId="0" applyNumberFormat="1" applyFont="1" applyFill="1" applyBorder="1" applyAlignment="1">
      <alignment horizontal="left" wrapText="1"/>
    </xf>
    <xf numFmtId="49" fontId="3" fillId="0" borderId="12" xfId="0" applyNumberFormat="1" applyFont="1" applyFill="1" applyBorder="1" applyAlignment="1">
      <alignment horizontal="center"/>
    </xf>
    <xf numFmtId="4" fontId="3" fillId="0" borderId="11" xfId="0" applyNumberFormat="1" applyFont="1" applyFill="1" applyBorder="1" applyAlignment="1">
      <alignment horizontal="center"/>
    </xf>
    <xf numFmtId="49" fontId="3" fillId="0" borderId="39" xfId="0" applyNumberFormat="1" applyFont="1" applyFill="1" applyBorder="1" applyAlignment="1">
      <alignment horizontal="center"/>
    </xf>
    <xf numFmtId="49" fontId="3" fillId="0" borderId="39" xfId="0" applyNumberFormat="1" applyFont="1" applyFill="1" applyBorder="1" applyAlignment="1">
      <alignment horizontal="left" wrapText="1"/>
    </xf>
    <xf numFmtId="49" fontId="3" fillId="0" borderId="0" xfId="0" applyNumberFormat="1" applyFont="1" applyFill="1" applyBorder="1" applyAlignment="1">
      <alignment horizontal="center"/>
    </xf>
    <xf numFmtId="4" fontId="3" fillId="0" borderId="0" xfId="0" applyNumberFormat="1" applyFont="1" applyFill="1" applyBorder="1" applyAlignment="1">
      <alignment horizontal="center" shrinkToFit="1"/>
    </xf>
    <xf numFmtId="4" fontId="3" fillId="34" borderId="23" xfId="0" applyNumberFormat="1" applyFont="1" applyFill="1" applyBorder="1" applyAlignment="1">
      <alignment horizontal="center"/>
    </xf>
    <xf numFmtId="4" fontId="3" fillId="34" borderId="11" xfId="0" applyNumberFormat="1" applyFont="1" applyFill="1" applyBorder="1" applyAlignment="1">
      <alignment horizontal="center"/>
    </xf>
    <xf numFmtId="4" fontId="3" fillId="34" borderId="39" xfId="0" applyNumberFormat="1" applyFont="1" applyFill="1" applyBorder="1" applyAlignment="1">
      <alignment horizontal="center"/>
    </xf>
    <xf numFmtId="4" fontId="3" fillId="34" borderId="0" xfId="0" applyNumberFormat="1" applyFont="1" applyFill="1" applyAlignment="1">
      <alignment horizontal="center" shrinkToFit="1"/>
    </xf>
    <xf numFmtId="4" fontId="3" fillId="34" borderId="39" xfId="0" applyNumberFormat="1" applyFont="1" applyFill="1" applyBorder="1" applyAlignment="1">
      <alignment horizontal="center"/>
    </xf>
    <xf numFmtId="4" fontId="9" fillId="0" borderId="23" xfId="0" applyNumberFormat="1" applyFont="1" applyFill="1" applyBorder="1" applyAlignment="1">
      <alignment horizontal="center"/>
    </xf>
    <xf numFmtId="4" fontId="6" fillId="34" borderId="23" xfId="0" applyNumberFormat="1" applyFont="1" applyFill="1" applyBorder="1" applyAlignment="1">
      <alignment horizontal="center"/>
    </xf>
    <xf numFmtId="49" fontId="0" fillId="34" borderId="0" xfId="0" applyNumberFormat="1" applyFill="1" applyAlignment="1">
      <alignment/>
    </xf>
    <xf numFmtId="49" fontId="3" fillId="0" borderId="46" xfId="0" applyNumberFormat="1" applyFont="1" applyFill="1" applyBorder="1" applyAlignment="1">
      <alignment horizontal="center" vertical="center"/>
    </xf>
    <xf numFmtId="4" fontId="6" fillId="33" borderId="47" xfId="0" applyNumberFormat="1" applyFont="1" applyFill="1" applyBorder="1" applyAlignment="1">
      <alignment horizontal="center"/>
    </xf>
    <xf numFmtId="4" fontId="3" fillId="0" borderId="47" xfId="0" applyNumberFormat="1" applyFont="1" applyFill="1" applyBorder="1" applyAlignment="1">
      <alignment horizontal="center"/>
    </xf>
    <xf numFmtId="4" fontId="6" fillId="0" borderId="47" xfId="0" applyNumberFormat="1" applyFont="1" applyFill="1" applyBorder="1" applyAlignment="1">
      <alignment horizontal="center"/>
    </xf>
    <xf numFmtId="4" fontId="3" fillId="34" borderId="47" xfId="0" applyNumberFormat="1" applyFont="1" applyFill="1" applyBorder="1" applyAlignment="1">
      <alignment horizontal="center"/>
    </xf>
    <xf numFmtId="4" fontId="6" fillId="0" borderId="10" xfId="0" applyNumberFormat="1" applyFont="1" applyFill="1" applyBorder="1" applyAlignment="1">
      <alignment horizontal="center"/>
    </xf>
    <xf numFmtId="4" fontId="3" fillId="0" borderId="10" xfId="0" applyNumberFormat="1" applyFont="1" applyFill="1" applyBorder="1" applyAlignment="1">
      <alignment horizontal="center"/>
    </xf>
    <xf numFmtId="4" fontId="6" fillId="0" borderId="17" xfId="0" applyNumberFormat="1" applyFont="1" applyFill="1" applyBorder="1" applyAlignment="1">
      <alignment horizontal="center"/>
    </xf>
    <xf numFmtId="4" fontId="3" fillId="33" borderId="48" xfId="0" applyNumberFormat="1" applyFont="1" applyFill="1" applyBorder="1" applyAlignment="1">
      <alignment horizontal="center"/>
    </xf>
    <xf numFmtId="4" fontId="12" fillId="33" borderId="47" xfId="0" applyNumberFormat="1" applyFont="1" applyFill="1" applyBorder="1" applyAlignment="1">
      <alignment horizontal="center"/>
    </xf>
    <xf numFmtId="0" fontId="13" fillId="0" borderId="0" xfId="0" applyFont="1" applyFill="1" applyAlignment="1">
      <alignment/>
    </xf>
    <xf numFmtId="4" fontId="12" fillId="0" borderId="47" xfId="0" applyNumberFormat="1" applyFont="1" applyFill="1" applyBorder="1" applyAlignment="1">
      <alignment horizontal="center"/>
    </xf>
    <xf numFmtId="0" fontId="0" fillId="34" borderId="0" xfId="0" applyFont="1" applyFill="1" applyAlignment="1">
      <alignment/>
    </xf>
    <xf numFmtId="4" fontId="6" fillId="34" borderId="47" xfId="0" applyNumberFormat="1" applyFont="1" applyFill="1" applyBorder="1" applyAlignment="1">
      <alignment horizontal="center"/>
    </xf>
    <xf numFmtId="4" fontId="6" fillId="34" borderId="10" xfId="0" applyNumberFormat="1" applyFont="1" applyFill="1" applyBorder="1" applyAlignment="1">
      <alignment horizontal="center"/>
    </xf>
    <xf numFmtId="0" fontId="2" fillId="34" borderId="0" xfId="0" applyFont="1" applyFill="1" applyAlignment="1">
      <alignment/>
    </xf>
    <xf numFmtId="4" fontId="3" fillId="33" borderId="47" xfId="0" applyNumberFormat="1" applyFont="1" applyFill="1" applyBorder="1" applyAlignment="1">
      <alignment horizontal="center"/>
    </xf>
    <xf numFmtId="0" fontId="3" fillId="34" borderId="0" xfId="0" applyFont="1" applyFill="1" applyBorder="1" applyAlignment="1">
      <alignment/>
    </xf>
    <xf numFmtId="0" fontId="14" fillId="0" borderId="0" xfId="0" applyFont="1" applyFill="1" applyAlignment="1">
      <alignment/>
    </xf>
    <xf numFmtId="4" fontId="2" fillId="0" borderId="0" xfId="0" applyNumberFormat="1" applyFont="1" applyFill="1" applyAlignment="1">
      <alignment/>
    </xf>
    <xf numFmtId="4" fontId="0" fillId="0" borderId="0" xfId="0" applyNumberFormat="1" applyFont="1" applyFill="1" applyAlignment="1">
      <alignment/>
    </xf>
    <xf numFmtId="0" fontId="14" fillId="0" borderId="0" xfId="0" applyFont="1" applyFill="1" applyAlignment="1">
      <alignment horizontal="left"/>
    </xf>
    <xf numFmtId="0" fontId="0" fillId="0" borderId="0" xfId="0" applyFont="1" applyFill="1" applyAlignment="1">
      <alignment horizontal="left"/>
    </xf>
    <xf numFmtId="0" fontId="2" fillId="0" borderId="0" xfId="0" applyFont="1" applyFill="1" applyAlignment="1">
      <alignment horizontal="left"/>
    </xf>
    <xf numFmtId="4" fontId="0" fillId="0" borderId="0" xfId="0" applyNumberFormat="1" applyFill="1" applyAlignment="1">
      <alignment/>
    </xf>
    <xf numFmtId="0" fontId="16" fillId="33" borderId="49" xfId="0" applyFont="1" applyFill="1" applyBorder="1" applyAlignment="1">
      <alignment horizontal="left" vertical="center" wrapText="1"/>
    </xf>
    <xf numFmtId="4" fontId="17" fillId="33" borderId="49" xfId="0" applyNumberFormat="1" applyFont="1" applyFill="1" applyBorder="1" applyAlignment="1">
      <alignment horizontal="center" vertical="center"/>
    </xf>
    <xf numFmtId="4" fontId="8" fillId="34" borderId="49" xfId="0" applyNumberFormat="1" applyFont="1" applyFill="1" applyBorder="1" applyAlignment="1">
      <alignment horizontal="center" vertical="center"/>
    </xf>
    <xf numFmtId="0" fontId="16" fillId="35" borderId="49" xfId="0" applyFont="1" applyFill="1" applyBorder="1" applyAlignment="1">
      <alignment horizontal="left" vertical="center" wrapText="1"/>
    </xf>
    <xf numFmtId="49" fontId="3" fillId="0" borderId="50" xfId="0" applyNumberFormat="1" applyFont="1" applyFill="1" applyBorder="1" applyAlignment="1">
      <alignment horizontal="center" vertical="center"/>
    </xf>
    <xf numFmtId="4" fontId="18" fillId="33" borderId="49" xfId="0" applyNumberFormat="1" applyFont="1" applyFill="1" applyBorder="1" applyAlignment="1">
      <alignment horizontal="center" vertical="center"/>
    </xf>
    <xf numFmtId="175" fontId="2" fillId="0" borderId="0" xfId="0" applyNumberFormat="1" applyFont="1" applyFill="1" applyAlignment="1">
      <alignment/>
    </xf>
    <xf numFmtId="4" fontId="2" fillId="34" borderId="0" xfId="0" applyNumberFormat="1" applyFont="1" applyFill="1" applyAlignment="1">
      <alignment/>
    </xf>
    <xf numFmtId="175" fontId="2" fillId="34" borderId="0" xfId="0" applyNumberFormat="1" applyFont="1" applyFill="1" applyAlignment="1">
      <alignment/>
    </xf>
    <xf numFmtId="175" fontId="0" fillId="0" borderId="0" xfId="0" applyNumberFormat="1" applyFont="1" applyFill="1" applyAlignment="1">
      <alignment/>
    </xf>
    <xf numFmtId="0" fontId="0" fillId="34" borderId="0" xfId="0" applyFill="1" applyAlignment="1">
      <alignment/>
    </xf>
    <xf numFmtId="0" fontId="14" fillId="34" borderId="0" xfId="0" applyFont="1" applyFill="1" applyAlignment="1">
      <alignment/>
    </xf>
    <xf numFmtId="4" fontId="3" fillId="34" borderId="10" xfId="0" applyNumberFormat="1" applyFont="1" applyFill="1" applyBorder="1" applyAlignment="1">
      <alignment horizontal="center"/>
    </xf>
    <xf numFmtId="175" fontId="3" fillId="34" borderId="0" xfId="0" applyNumberFormat="1" applyFont="1" applyFill="1" applyBorder="1" applyAlignment="1">
      <alignment/>
    </xf>
    <xf numFmtId="4" fontId="14" fillId="0" borderId="0" xfId="0" applyNumberFormat="1" applyFont="1" applyFill="1" applyAlignment="1">
      <alignment/>
    </xf>
    <xf numFmtId="4" fontId="0" fillId="0" borderId="0" xfId="0" applyNumberFormat="1" applyFont="1" applyFill="1" applyAlignment="1">
      <alignment/>
    </xf>
    <xf numFmtId="2" fontId="2" fillId="0" borderId="0" xfId="0" applyNumberFormat="1" applyFont="1" applyFill="1" applyAlignment="1">
      <alignment/>
    </xf>
    <xf numFmtId="49" fontId="10" fillId="0" borderId="0" xfId="0" applyNumberFormat="1" applyFont="1" applyAlignment="1">
      <alignment horizontal="left"/>
    </xf>
    <xf numFmtId="49" fontId="19" fillId="0" borderId="0" xfId="0" applyNumberFormat="1" applyFont="1" applyAlignment="1">
      <alignment horizontal="right" vertical="top" wrapText="1"/>
    </xf>
    <xf numFmtId="49" fontId="11" fillId="0" borderId="0" xfId="0" applyNumberFormat="1" applyFont="1" applyBorder="1" applyAlignment="1">
      <alignment/>
    </xf>
    <xf numFmtId="49" fontId="10" fillId="0" borderId="18" xfId="0" applyNumberFormat="1" applyFont="1" applyBorder="1" applyAlignment="1">
      <alignment horizontal="center"/>
    </xf>
    <xf numFmtId="49" fontId="10" fillId="0" borderId="0" xfId="0" applyNumberFormat="1" applyFont="1" applyAlignment="1">
      <alignment/>
    </xf>
    <xf numFmtId="49" fontId="10" fillId="0" borderId="27" xfId="0" applyNumberFormat="1" applyFont="1" applyBorder="1" applyAlignment="1">
      <alignment horizontal="center"/>
    </xf>
    <xf numFmtId="49" fontId="10" fillId="0" borderId="10" xfId="0" applyNumberFormat="1" applyFont="1" applyBorder="1" applyAlignment="1">
      <alignment horizontal="center"/>
    </xf>
    <xf numFmtId="49" fontId="10" fillId="0" borderId="0" xfId="0" applyNumberFormat="1" applyFont="1" applyAlignment="1">
      <alignment horizontal="right"/>
    </xf>
    <xf numFmtId="49" fontId="10" fillId="0" borderId="28" xfId="0" applyNumberFormat="1" applyFont="1" applyBorder="1" applyAlignment="1">
      <alignment horizontal="center"/>
    </xf>
    <xf numFmtId="49" fontId="20" fillId="0" borderId="28" xfId="0" applyNumberFormat="1" applyFont="1" applyFill="1" applyBorder="1" applyAlignment="1">
      <alignment horizontal="center"/>
    </xf>
    <xf numFmtId="49" fontId="10" fillId="0" borderId="10" xfId="0" applyNumberFormat="1" applyFont="1" applyBorder="1" applyAlignment="1">
      <alignment/>
    </xf>
    <xf numFmtId="49" fontId="10" fillId="0" borderId="0" xfId="0" applyNumberFormat="1" applyFont="1" applyAlignment="1">
      <alignment/>
    </xf>
    <xf numFmtId="49" fontId="10" fillId="0" borderId="29" xfId="0" applyNumberFormat="1" applyFont="1" applyBorder="1" applyAlignment="1">
      <alignment horizontal="center"/>
    </xf>
    <xf numFmtId="49" fontId="21" fillId="0" borderId="0" xfId="0" applyNumberFormat="1" applyFont="1" applyBorder="1" applyAlignment="1">
      <alignment horizontal="center"/>
    </xf>
    <xf numFmtId="0" fontId="22" fillId="0" borderId="0" xfId="0" applyFont="1" applyFill="1" applyAlignment="1">
      <alignment horizontal="left"/>
    </xf>
    <xf numFmtId="0" fontId="23" fillId="0" borderId="0" xfId="0" applyFont="1" applyFill="1" applyBorder="1" applyAlignment="1">
      <alignment/>
    </xf>
    <xf numFmtId="49" fontId="20" fillId="0" borderId="0" xfId="0" applyNumberFormat="1" applyFont="1" applyFill="1" applyAlignment="1">
      <alignment/>
    </xf>
    <xf numFmtId="49" fontId="20" fillId="34" borderId="0" xfId="0" applyNumberFormat="1" applyFont="1" applyFill="1" applyAlignment="1">
      <alignment/>
    </xf>
    <xf numFmtId="49" fontId="20" fillId="0" borderId="0" xfId="0" applyNumberFormat="1" applyFont="1" applyFill="1" applyBorder="1" applyAlignment="1">
      <alignment horizontal="center"/>
    </xf>
    <xf numFmtId="0" fontId="22" fillId="0" borderId="0" xfId="0" applyFont="1" applyFill="1" applyBorder="1" applyAlignment="1">
      <alignment horizontal="left"/>
    </xf>
    <xf numFmtId="0" fontId="22" fillId="0" borderId="0" xfId="0" applyFont="1" applyFill="1" applyBorder="1" applyAlignment="1">
      <alignment/>
    </xf>
    <xf numFmtId="49" fontId="22" fillId="0" borderId="0" xfId="0" applyNumberFormat="1" applyFont="1" applyFill="1" applyBorder="1" applyAlignment="1">
      <alignment/>
    </xf>
    <xf numFmtId="49" fontId="22" fillId="34" borderId="0" xfId="0" applyNumberFormat="1" applyFont="1" applyFill="1" applyBorder="1" applyAlignment="1">
      <alignment/>
    </xf>
    <xf numFmtId="0" fontId="22" fillId="0" borderId="0" xfId="0" applyFont="1" applyFill="1" applyBorder="1" applyAlignment="1">
      <alignment/>
    </xf>
    <xf numFmtId="0" fontId="20" fillId="36" borderId="51" xfId="0" applyFont="1" applyFill="1" applyBorder="1" applyAlignment="1">
      <alignment horizontal="left"/>
    </xf>
    <xf numFmtId="0" fontId="20" fillId="36" borderId="51" xfId="0" applyFont="1" applyFill="1" applyBorder="1" applyAlignment="1">
      <alignment horizontal="center"/>
    </xf>
    <xf numFmtId="49" fontId="20" fillId="36" borderId="51" xfId="0" applyNumberFormat="1" applyFont="1" applyFill="1" applyBorder="1" applyAlignment="1">
      <alignment horizontal="center" vertical="center"/>
    </xf>
    <xf numFmtId="0" fontId="20" fillId="36" borderId="52" xfId="0" applyFont="1" applyFill="1" applyBorder="1" applyAlignment="1">
      <alignment horizontal="center"/>
    </xf>
    <xf numFmtId="49" fontId="20" fillId="36" borderId="52" xfId="0" applyNumberFormat="1" applyFont="1" applyFill="1" applyBorder="1" applyAlignment="1">
      <alignment horizontal="center" vertical="center"/>
    </xf>
    <xf numFmtId="0" fontId="20" fillId="36" borderId="52" xfId="0" applyFont="1" applyFill="1" applyBorder="1" applyAlignment="1">
      <alignment horizontal="left"/>
    </xf>
    <xf numFmtId="0" fontId="20" fillId="36" borderId="53" xfId="0" applyFont="1" applyFill="1" applyBorder="1" applyAlignment="1">
      <alignment horizontal="left"/>
    </xf>
    <xf numFmtId="0" fontId="20" fillId="36" borderId="53" xfId="0" applyFont="1" applyFill="1" applyBorder="1" applyAlignment="1">
      <alignment horizontal="center"/>
    </xf>
    <xf numFmtId="49" fontId="20" fillId="36" borderId="53" xfId="0" applyNumberFormat="1" applyFont="1" applyFill="1" applyBorder="1" applyAlignment="1">
      <alignment horizontal="center" vertical="center"/>
    </xf>
    <xf numFmtId="0" fontId="20" fillId="36" borderId="49" xfId="0" applyFont="1" applyFill="1" applyBorder="1" applyAlignment="1">
      <alignment horizontal="center" vertical="center"/>
    </xf>
    <xf numFmtId="49" fontId="20" fillId="36" borderId="49" xfId="0" applyNumberFormat="1" applyFont="1" applyFill="1" applyBorder="1" applyAlignment="1">
      <alignment horizontal="center" vertical="center"/>
    </xf>
    <xf numFmtId="0" fontId="20" fillId="34" borderId="49" xfId="0" applyFont="1" applyFill="1" applyBorder="1" applyAlignment="1">
      <alignment horizontal="left" wrapText="1" indent="2"/>
    </xf>
    <xf numFmtId="49" fontId="20" fillId="34" borderId="49" xfId="0" applyNumberFormat="1" applyFont="1" applyFill="1" applyBorder="1" applyAlignment="1">
      <alignment horizontal="center" wrapText="1"/>
    </xf>
    <xf numFmtId="0" fontId="20" fillId="0" borderId="49" xfId="0" applyFont="1" applyFill="1" applyBorder="1" applyAlignment="1">
      <alignment horizontal="left" wrapText="1"/>
    </xf>
    <xf numFmtId="49" fontId="20" fillId="0" borderId="49" xfId="0" applyNumberFormat="1" applyFont="1" applyFill="1" applyBorder="1" applyAlignment="1">
      <alignment horizontal="center" wrapText="1"/>
    </xf>
    <xf numFmtId="49" fontId="25" fillId="36" borderId="49" xfId="0" applyNumberFormat="1" applyFont="1" applyFill="1" applyBorder="1" applyAlignment="1">
      <alignment horizontal="center" wrapText="1"/>
    </xf>
    <xf numFmtId="49" fontId="25" fillId="0" borderId="49" xfId="0" applyNumberFormat="1" applyFont="1" applyFill="1" applyBorder="1" applyAlignment="1">
      <alignment horizontal="left" wrapText="1"/>
    </xf>
    <xf numFmtId="49" fontId="20" fillId="0" borderId="49" xfId="0" applyNumberFormat="1" applyFont="1" applyFill="1" applyBorder="1" applyAlignment="1">
      <alignment horizontal="left" wrapText="1"/>
    </xf>
    <xf numFmtId="49" fontId="20" fillId="0" borderId="49" xfId="0" applyNumberFormat="1" applyFont="1" applyFill="1" applyBorder="1" applyAlignment="1">
      <alignment horizontal="center" vertical="center"/>
    </xf>
    <xf numFmtId="49" fontId="24" fillId="0" borderId="49" xfId="0" applyNumberFormat="1" applyFont="1" applyFill="1" applyBorder="1" applyAlignment="1">
      <alignment horizontal="left" wrapText="1"/>
    </xf>
    <xf numFmtId="0" fontId="20" fillId="0" borderId="0" xfId="0" applyFont="1" applyFill="1" applyBorder="1" applyAlignment="1">
      <alignment horizontal="left" wrapText="1"/>
    </xf>
    <xf numFmtId="49" fontId="20" fillId="0" borderId="0" xfId="0" applyNumberFormat="1" applyFont="1" applyFill="1" applyBorder="1" applyAlignment="1">
      <alignment horizontal="left" wrapText="1"/>
    </xf>
    <xf numFmtId="0" fontId="20" fillId="0" borderId="0" xfId="0" applyFont="1" applyFill="1" applyAlignment="1">
      <alignment horizontal="left"/>
    </xf>
    <xf numFmtId="0" fontId="22" fillId="36" borderId="52" xfId="0" applyFont="1" applyFill="1" applyBorder="1" applyAlignment="1">
      <alignment horizontal="left"/>
    </xf>
    <xf numFmtId="0" fontId="20" fillId="0" borderId="49" xfId="0" applyFont="1" applyFill="1" applyBorder="1" applyAlignment="1">
      <alignment horizontal="center" vertical="center"/>
    </xf>
    <xf numFmtId="49" fontId="20" fillId="34" borderId="49" xfId="0" applyNumberFormat="1" applyFont="1" applyFill="1" applyBorder="1" applyAlignment="1">
      <alignment horizontal="center" vertical="center"/>
    </xf>
    <xf numFmtId="0" fontId="24" fillId="34" borderId="49" xfId="0" applyFont="1" applyFill="1" applyBorder="1" applyAlignment="1">
      <alignment horizontal="left" vertical="center" wrapText="1"/>
    </xf>
    <xf numFmtId="49" fontId="24" fillId="34" borderId="49" xfId="0" applyNumberFormat="1" applyFont="1" applyFill="1" applyBorder="1" applyAlignment="1">
      <alignment horizontal="center" vertical="center" wrapText="1"/>
    </xf>
    <xf numFmtId="49" fontId="24" fillId="34" borderId="49" xfId="0" applyNumberFormat="1" applyFont="1" applyFill="1" applyBorder="1" applyAlignment="1">
      <alignment horizontal="center" vertical="center"/>
    </xf>
    <xf numFmtId="4" fontId="24" fillId="34" borderId="49" xfId="0" applyNumberFormat="1" applyFont="1" applyFill="1" applyBorder="1" applyAlignment="1">
      <alignment horizontal="center" vertical="center"/>
    </xf>
    <xf numFmtId="0" fontId="20" fillId="0" borderId="49" xfId="0" applyFont="1" applyFill="1" applyBorder="1" applyAlignment="1">
      <alignment horizontal="left" vertical="center" wrapText="1"/>
    </xf>
    <xf numFmtId="49" fontId="20" fillId="0" borderId="49" xfId="0" applyNumberFormat="1" applyFont="1" applyFill="1" applyBorder="1" applyAlignment="1">
      <alignment horizontal="center" vertical="center" wrapText="1"/>
    </xf>
    <xf numFmtId="4" fontId="20" fillId="34" borderId="49" xfId="0" applyNumberFormat="1" applyFont="1" applyFill="1" applyBorder="1" applyAlignment="1">
      <alignment horizontal="center" vertical="center"/>
    </xf>
    <xf numFmtId="2" fontId="20" fillId="0" borderId="49" xfId="0" applyNumberFormat="1" applyFont="1" applyFill="1" applyBorder="1" applyAlignment="1">
      <alignment horizontal="center" vertical="center"/>
    </xf>
    <xf numFmtId="4" fontId="20" fillId="0" borderId="49" xfId="0" applyNumberFormat="1" applyFont="1" applyFill="1" applyBorder="1" applyAlignment="1">
      <alignment horizontal="center" vertical="center"/>
    </xf>
    <xf numFmtId="49" fontId="20" fillId="0" borderId="0" xfId="0" applyNumberFormat="1" applyFont="1" applyFill="1" applyBorder="1" applyAlignment="1">
      <alignment horizontal="center" wrapText="1"/>
    </xf>
    <xf numFmtId="0" fontId="20" fillId="0" borderId="0" xfId="0" applyFont="1" applyFill="1" applyBorder="1" applyAlignment="1">
      <alignment/>
    </xf>
    <xf numFmtId="0" fontId="20" fillId="34" borderId="0" xfId="0" applyFont="1" applyFill="1" applyBorder="1" applyAlignment="1">
      <alignment/>
    </xf>
    <xf numFmtId="0" fontId="26" fillId="0" borderId="0" xfId="0" applyFont="1" applyFill="1" applyAlignment="1">
      <alignment horizontal="left"/>
    </xf>
    <xf numFmtId="49" fontId="26" fillId="0" borderId="0" xfId="0" applyNumberFormat="1" applyFont="1" applyFill="1" applyAlignment="1">
      <alignment/>
    </xf>
    <xf numFmtId="0" fontId="20" fillId="0" borderId="0" xfId="0" applyFont="1" applyFill="1" applyBorder="1" applyAlignment="1">
      <alignment horizontal="left"/>
    </xf>
    <xf numFmtId="0" fontId="20" fillId="0" borderId="0" xfId="0" applyFont="1" applyFill="1" applyBorder="1" applyAlignment="1">
      <alignment horizontal="center"/>
    </xf>
    <xf numFmtId="49" fontId="20" fillId="0" borderId="0" xfId="0" applyNumberFormat="1" applyFont="1" applyFill="1" applyBorder="1" applyAlignment="1">
      <alignment horizontal="center" vertical="center"/>
    </xf>
    <xf numFmtId="49" fontId="20" fillId="34" borderId="0" xfId="0" applyNumberFormat="1" applyFont="1" applyFill="1" applyBorder="1" applyAlignment="1">
      <alignment horizontal="center" vertical="center"/>
    </xf>
    <xf numFmtId="49" fontId="22" fillId="0" borderId="0" xfId="0" applyNumberFormat="1" applyFont="1" applyFill="1" applyAlignment="1">
      <alignment/>
    </xf>
    <xf numFmtId="49" fontId="22" fillId="34" borderId="0" xfId="0" applyNumberFormat="1" applyFont="1" applyFill="1" applyAlignment="1">
      <alignment/>
    </xf>
    <xf numFmtId="0" fontId="22" fillId="0" borderId="0" xfId="0" applyFont="1" applyFill="1" applyAlignment="1">
      <alignment/>
    </xf>
    <xf numFmtId="0" fontId="11" fillId="36" borderId="49" xfId="0" applyFont="1" applyFill="1" applyBorder="1" applyAlignment="1">
      <alignment horizontal="left" wrapText="1"/>
    </xf>
    <xf numFmtId="193" fontId="11" fillId="37" borderId="39" xfId="0" applyNumberFormat="1" applyFont="1" applyFill="1" applyBorder="1" applyAlignment="1">
      <alignment horizontal="left" wrapText="1"/>
    </xf>
    <xf numFmtId="49" fontId="20" fillId="37" borderId="49" xfId="0" applyNumberFormat="1" applyFont="1" applyFill="1" applyBorder="1" applyAlignment="1">
      <alignment horizontal="center" wrapText="1"/>
    </xf>
    <xf numFmtId="0" fontId="21" fillId="36" borderId="49" xfId="0" applyFont="1" applyFill="1" applyBorder="1" applyAlignment="1">
      <alignment horizontal="left" wrapText="1"/>
    </xf>
    <xf numFmtId="193" fontId="20" fillId="0" borderId="39" xfId="0" applyNumberFormat="1" applyFont="1" applyFill="1" applyBorder="1" applyAlignment="1">
      <alignment horizontal="center" vertical="center" wrapText="1"/>
    </xf>
    <xf numFmtId="193" fontId="20" fillId="0" borderId="24" xfId="0" applyNumberFormat="1" applyFont="1" applyFill="1" applyBorder="1" applyAlignment="1">
      <alignment horizontal="center" vertical="center" wrapText="1"/>
    </xf>
    <xf numFmtId="193" fontId="11" fillId="37" borderId="49" xfId="0" applyNumberFormat="1" applyFont="1" applyFill="1" applyBorder="1" applyAlignment="1">
      <alignment horizontal="center" vertical="center" wrapText="1"/>
    </xf>
    <xf numFmtId="4" fontId="24" fillId="37" borderId="49" xfId="0" applyNumberFormat="1" applyFont="1" applyFill="1" applyBorder="1" applyAlignment="1">
      <alignment horizontal="center" vertical="center"/>
    </xf>
    <xf numFmtId="4" fontId="24" fillId="33" borderId="49" xfId="0" applyNumberFormat="1" applyFont="1" applyFill="1" applyBorder="1" applyAlignment="1">
      <alignment horizontal="center" vertical="center"/>
    </xf>
    <xf numFmtId="4" fontId="20" fillId="33" borderId="49" xfId="0" applyNumberFormat="1" applyFont="1" applyFill="1" applyBorder="1" applyAlignment="1">
      <alignment horizontal="center" vertical="center"/>
    </xf>
    <xf numFmtId="49" fontId="24" fillId="37" borderId="49" xfId="0" applyNumberFormat="1" applyFont="1" applyFill="1" applyBorder="1" applyAlignment="1">
      <alignment horizontal="left" wrapText="1"/>
    </xf>
    <xf numFmtId="0" fontId="11" fillId="37" borderId="49" xfId="0" applyFont="1" applyFill="1" applyBorder="1" applyAlignment="1">
      <alignment horizontal="left" wrapText="1"/>
    </xf>
    <xf numFmtId="49" fontId="11" fillId="37" borderId="49" xfId="0" applyNumberFormat="1" applyFont="1" applyFill="1" applyBorder="1" applyAlignment="1">
      <alignment horizontal="left" wrapText="1"/>
    </xf>
    <xf numFmtId="49" fontId="20" fillId="37" borderId="49" xfId="0" applyNumberFormat="1" applyFont="1" applyFill="1" applyBorder="1" applyAlignment="1">
      <alignment horizontal="left" wrapText="1"/>
    </xf>
    <xf numFmtId="49" fontId="10" fillId="37" borderId="49" xfId="0" applyNumberFormat="1" applyFont="1" applyFill="1" applyBorder="1" applyAlignment="1">
      <alignment horizontal="left" wrapText="1"/>
    </xf>
    <xf numFmtId="193" fontId="20" fillId="0" borderId="39" xfId="0" applyNumberFormat="1" applyFont="1" applyFill="1" applyBorder="1" applyAlignment="1">
      <alignment horizontal="left" wrapText="1"/>
    </xf>
    <xf numFmtId="193" fontId="10" fillId="0" borderId="39" xfId="0" applyNumberFormat="1" applyFont="1" applyBorder="1" applyAlignment="1">
      <alignment horizontal="left" vertical="center" wrapText="1"/>
    </xf>
    <xf numFmtId="0" fontId="0" fillId="37" borderId="0" xfId="0" applyFill="1" applyAlignment="1">
      <alignment/>
    </xf>
    <xf numFmtId="4" fontId="24" fillId="36" borderId="49" xfId="0" applyNumberFormat="1" applyFont="1" applyFill="1" applyBorder="1" applyAlignment="1">
      <alignment horizontal="center" vertical="center"/>
    </xf>
    <xf numFmtId="49" fontId="20" fillId="34" borderId="49" xfId="0" applyNumberFormat="1" applyFont="1" applyFill="1" applyBorder="1" applyAlignment="1">
      <alignment horizontal="center" vertical="center" wrapText="1"/>
    </xf>
    <xf numFmtId="49" fontId="24" fillId="36" borderId="49" xfId="0" applyNumberFormat="1" applyFont="1" applyFill="1" applyBorder="1" applyAlignment="1">
      <alignment horizontal="center" vertical="center"/>
    </xf>
    <xf numFmtId="49" fontId="24" fillId="37" borderId="49" xfId="0" applyNumberFormat="1" applyFont="1" applyFill="1" applyBorder="1" applyAlignment="1">
      <alignment horizontal="center" vertical="center"/>
    </xf>
    <xf numFmtId="49" fontId="11" fillId="37" borderId="49" xfId="0" applyNumberFormat="1" applyFont="1" applyFill="1" applyBorder="1" applyAlignment="1">
      <alignment horizontal="center" vertical="center"/>
    </xf>
    <xf numFmtId="4" fontId="11" fillId="37" borderId="49" xfId="0" applyNumberFormat="1" applyFont="1" applyFill="1" applyBorder="1" applyAlignment="1">
      <alignment horizontal="center" vertical="center"/>
    </xf>
    <xf numFmtId="4" fontId="20" fillId="0" borderId="0" xfId="0" applyNumberFormat="1" applyFont="1" applyFill="1" applyBorder="1" applyAlignment="1">
      <alignment horizontal="center" vertical="center"/>
    </xf>
    <xf numFmtId="4" fontId="20" fillId="34"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20" fillId="0" borderId="0" xfId="0" applyFont="1" applyFill="1" applyAlignment="1">
      <alignment horizontal="center" vertical="center"/>
    </xf>
    <xf numFmtId="49" fontId="20" fillId="0" borderId="0" xfId="0" applyNumberFormat="1" applyFont="1" applyFill="1" applyAlignment="1">
      <alignment horizontal="center" vertical="center"/>
    </xf>
    <xf numFmtId="49" fontId="20" fillId="34" borderId="0" xfId="0" applyNumberFormat="1" applyFont="1" applyFill="1" applyAlignment="1">
      <alignment horizontal="center" vertical="center"/>
    </xf>
    <xf numFmtId="0" fontId="22" fillId="0" borderId="0" xfId="0" applyFont="1" applyFill="1" applyBorder="1" applyAlignment="1">
      <alignment horizontal="center" vertical="center"/>
    </xf>
    <xf numFmtId="49" fontId="22" fillId="0" borderId="0" xfId="0" applyNumberFormat="1" applyFont="1" applyFill="1" applyBorder="1" applyAlignment="1">
      <alignment horizontal="center" vertical="center"/>
    </xf>
    <xf numFmtId="49" fontId="22" fillId="34" borderId="0" xfId="0" applyNumberFormat="1" applyFont="1" applyFill="1" applyBorder="1" applyAlignment="1">
      <alignment horizontal="center" vertical="center"/>
    </xf>
    <xf numFmtId="0" fontId="20" fillId="36" borderId="51" xfId="0" applyFont="1" applyFill="1" applyBorder="1" applyAlignment="1">
      <alignment horizontal="center" vertical="center"/>
    </xf>
    <xf numFmtId="0" fontId="20" fillId="36" borderId="52" xfId="0" applyFont="1" applyFill="1" applyBorder="1" applyAlignment="1">
      <alignment horizontal="center" vertical="center"/>
    </xf>
    <xf numFmtId="0" fontId="20" fillId="36" borderId="53" xfId="0" applyFont="1" applyFill="1" applyBorder="1" applyAlignment="1">
      <alignment horizontal="center" vertical="center"/>
    </xf>
    <xf numFmtId="0" fontId="20" fillId="0" borderId="49" xfId="0" applyNumberFormat="1" applyFont="1" applyFill="1" applyBorder="1" applyAlignment="1">
      <alignment horizontal="left" wrapText="1"/>
    </xf>
    <xf numFmtId="193" fontId="20" fillId="0" borderId="39" xfId="0" applyNumberFormat="1" applyFont="1" applyFill="1" applyBorder="1" applyAlignment="1">
      <alignment horizontal="center" vertical="center"/>
    </xf>
    <xf numFmtId="4" fontId="24" fillId="0" borderId="49" xfId="0" applyNumberFormat="1" applyFont="1" applyFill="1" applyBorder="1" applyAlignment="1">
      <alignment horizontal="center" vertical="center"/>
    </xf>
    <xf numFmtId="49" fontId="10" fillId="0" borderId="49" xfId="0" applyNumberFormat="1" applyFont="1" applyFill="1" applyBorder="1" applyAlignment="1">
      <alignment horizontal="left" wrapText="1"/>
    </xf>
    <xf numFmtId="49" fontId="24" fillId="0" borderId="49" xfId="0" applyNumberFormat="1" applyFont="1" applyFill="1" applyBorder="1" applyAlignment="1">
      <alignment horizontal="center" vertical="center" wrapText="1"/>
    </xf>
    <xf numFmtId="193" fontId="24" fillId="0" borderId="39" xfId="0" applyNumberFormat="1" applyFont="1" applyFill="1" applyBorder="1" applyAlignment="1">
      <alignment horizontal="center" vertical="center"/>
    </xf>
    <xf numFmtId="0" fontId="24" fillId="0" borderId="49" xfId="0" applyNumberFormat="1" applyFont="1" applyFill="1" applyBorder="1" applyAlignment="1">
      <alignment horizontal="left" wrapText="1"/>
    </xf>
    <xf numFmtId="49" fontId="21" fillId="0" borderId="0" xfId="0" applyNumberFormat="1" applyFont="1" applyBorder="1" applyAlignment="1">
      <alignment horizontal="left"/>
    </xf>
    <xf numFmtId="193" fontId="24" fillId="0" borderId="39" xfId="0" applyNumberFormat="1" applyFont="1" applyFill="1" applyBorder="1" applyAlignment="1">
      <alignment horizontal="left" vertical="center" wrapText="1"/>
    </xf>
    <xf numFmtId="0" fontId="20" fillId="0" borderId="49" xfId="0" applyFont="1" applyFill="1" applyBorder="1" applyAlignment="1">
      <alignment horizontal="left" vertical="center"/>
    </xf>
    <xf numFmtId="0" fontId="11" fillId="0" borderId="49" xfId="0" applyFont="1" applyFill="1" applyBorder="1" applyAlignment="1">
      <alignment horizontal="left" wrapText="1"/>
    </xf>
    <xf numFmtId="4" fontId="11" fillId="0" borderId="49" xfId="0" applyNumberFormat="1" applyFont="1" applyFill="1" applyBorder="1" applyAlignment="1">
      <alignment horizontal="center" vertical="center"/>
    </xf>
    <xf numFmtId="193" fontId="11" fillId="37" borderId="49" xfId="0" applyNumberFormat="1" applyFont="1" applyFill="1" applyBorder="1" applyAlignment="1">
      <alignment horizontal="left" wrapText="1"/>
    </xf>
    <xf numFmtId="193" fontId="20" fillId="34" borderId="24" xfId="0" applyNumberFormat="1" applyFont="1" applyFill="1" applyBorder="1" applyAlignment="1">
      <alignment horizontal="center" vertical="center" wrapText="1"/>
    </xf>
    <xf numFmtId="193" fontId="20" fillId="34" borderId="24" xfId="0" applyNumberFormat="1" applyFont="1" applyFill="1" applyBorder="1" applyAlignment="1">
      <alignment horizontal="left" wrapText="1"/>
    </xf>
    <xf numFmtId="49" fontId="11" fillId="0" borderId="49" xfId="0" applyNumberFormat="1" applyFont="1" applyFill="1" applyBorder="1" applyAlignment="1">
      <alignment horizontal="center" vertical="center"/>
    </xf>
    <xf numFmtId="0" fontId="20" fillId="0" borderId="0" xfId="0" applyFont="1" applyAlignment="1">
      <alignment horizontal="center" vertical="center"/>
    </xf>
    <xf numFmtId="49" fontId="31" fillId="36" borderId="49" xfId="0" applyNumberFormat="1" applyFont="1" applyFill="1" applyBorder="1" applyAlignment="1">
      <alignment horizontal="center" wrapText="1"/>
    </xf>
    <xf numFmtId="49" fontId="31" fillId="36" borderId="49" xfId="0" applyNumberFormat="1" applyFont="1" applyFill="1" applyBorder="1" applyAlignment="1">
      <alignment horizontal="center" vertical="center" wrapText="1"/>
    </xf>
    <xf numFmtId="4" fontId="31" fillId="36" borderId="49" xfId="0" applyNumberFormat="1" applyFont="1" applyFill="1" applyBorder="1" applyAlignment="1">
      <alignment horizontal="center" vertical="center"/>
    </xf>
    <xf numFmtId="49" fontId="21" fillId="36" borderId="49" xfId="0" applyNumberFormat="1" applyFont="1" applyFill="1" applyBorder="1" applyAlignment="1">
      <alignment horizontal="center" wrapText="1"/>
    </xf>
    <xf numFmtId="4" fontId="21" fillId="36" borderId="49" xfId="0" applyNumberFormat="1" applyFont="1" applyFill="1" applyBorder="1" applyAlignment="1">
      <alignment horizontal="center" vertical="center"/>
    </xf>
    <xf numFmtId="0" fontId="0" fillId="0" borderId="0" xfId="0" applyFont="1" applyFill="1" applyAlignment="1">
      <alignment horizontal="left"/>
    </xf>
    <xf numFmtId="0" fontId="3" fillId="0" borderId="49" xfId="0" applyFont="1" applyFill="1" applyBorder="1" applyAlignment="1">
      <alignment horizontal="left" wrapText="1"/>
    </xf>
    <xf numFmtId="49" fontId="3" fillId="0" borderId="49" xfId="0" applyNumberFormat="1" applyFont="1" applyFill="1" applyBorder="1" applyAlignment="1">
      <alignment horizontal="left" wrapText="1"/>
    </xf>
    <xf numFmtId="49" fontId="3" fillId="0" borderId="49" xfId="0" applyNumberFormat="1" applyFont="1" applyFill="1" applyBorder="1" applyAlignment="1">
      <alignment horizontal="center"/>
    </xf>
    <xf numFmtId="4" fontId="3" fillId="34" borderId="49" xfId="0" applyNumberFormat="1" applyFont="1" applyFill="1" applyBorder="1" applyAlignment="1">
      <alignment horizontal="center"/>
    </xf>
    <xf numFmtId="4" fontId="3" fillId="34" borderId="0" xfId="0" applyNumberFormat="1" applyFont="1" applyFill="1" applyBorder="1" applyAlignment="1">
      <alignment/>
    </xf>
    <xf numFmtId="0" fontId="20" fillId="0" borderId="54" xfId="0" applyFont="1" applyFill="1" applyBorder="1" applyAlignment="1">
      <alignment horizontal="left"/>
    </xf>
    <xf numFmtId="0" fontId="20" fillId="0" borderId="55" xfId="0" applyFont="1" applyFill="1" applyBorder="1" applyAlignment="1">
      <alignment horizontal="left"/>
    </xf>
    <xf numFmtId="49" fontId="11" fillId="33" borderId="49" xfId="0" applyNumberFormat="1" applyFont="1" applyFill="1" applyBorder="1" applyAlignment="1">
      <alignment horizontal="center" wrapText="1"/>
    </xf>
    <xf numFmtId="4" fontId="11" fillId="33" borderId="49" xfId="0" applyNumberFormat="1" applyFont="1" applyFill="1" applyBorder="1" applyAlignment="1">
      <alignment horizontal="center" vertical="center"/>
    </xf>
    <xf numFmtId="0" fontId="11" fillId="33" borderId="49" xfId="0" applyFont="1" applyFill="1" applyBorder="1" applyAlignment="1">
      <alignment horizontal="left" vertical="center" wrapText="1"/>
    </xf>
    <xf numFmtId="0" fontId="10" fillId="0" borderId="0" xfId="0" applyFont="1" applyFill="1" applyAlignment="1">
      <alignment/>
    </xf>
    <xf numFmtId="0" fontId="11" fillId="0" borderId="0" xfId="0" applyFont="1" applyFill="1" applyBorder="1" applyAlignment="1">
      <alignment/>
    </xf>
    <xf numFmtId="4" fontId="10" fillId="0" borderId="0" xfId="0" applyNumberFormat="1" applyFont="1" applyFill="1" applyAlignment="1">
      <alignment horizontal="left"/>
    </xf>
    <xf numFmtId="0" fontId="11" fillId="34" borderId="0" xfId="0" applyFont="1" applyFill="1" applyBorder="1" applyAlignment="1">
      <alignment vertical="center"/>
    </xf>
    <xf numFmtId="49" fontId="10" fillId="0" borderId="0" xfId="0" applyNumberFormat="1" applyFont="1" applyFill="1" applyAlignment="1">
      <alignment vertical="center"/>
    </xf>
    <xf numFmtId="0" fontId="10" fillId="0" borderId="0" xfId="0" applyFont="1" applyFill="1" applyBorder="1" applyAlignment="1">
      <alignment horizontal="left"/>
    </xf>
    <xf numFmtId="49" fontId="10" fillId="0" borderId="0" xfId="0" applyNumberFormat="1" applyFont="1" applyFill="1" applyBorder="1" applyAlignment="1">
      <alignment vertical="center"/>
    </xf>
    <xf numFmtId="0" fontId="10" fillId="0" borderId="49" xfId="0" applyFont="1" applyFill="1" applyBorder="1" applyAlignment="1">
      <alignment horizontal="center" vertical="center"/>
    </xf>
    <xf numFmtId="49" fontId="10" fillId="34" borderId="49" xfId="0" applyNumberFormat="1" applyFont="1" applyFill="1" applyBorder="1" applyAlignment="1">
      <alignment horizontal="center" vertical="center"/>
    </xf>
    <xf numFmtId="49" fontId="10" fillId="0" borderId="49" xfId="0" applyNumberFormat="1" applyFont="1" applyFill="1" applyBorder="1" applyAlignment="1">
      <alignment horizontal="center" vertical="center"/>
    </xf>
    <xf numFmtId="49" fontId="11" fillId="33" borderId="49" xfId="0" applyNumberFormat="1" applyFont="1" applyFill="1" applyBorder="1" applyAlignment="1">
      <alignment horizontal="center" vertical="center"/>
    </xf>
    <xf numFmtId="0" fontId="10" fillId="34" borderId="49" xfId="0" applyFont="1" applyFill="1" applyBorder="1" applyAlignment="1">
      <alignment horizontal="left" vertical="center" wrapText="1"/>
    </xf>
    <xf numFmtId="4" fontId="10" fillId="34" borderId="49" xfId="0" applyNumberFormat="1" applyFont="1" applyFill="1" applyBorder="1" applyAlignment="1">
      <alignment horizontal="center" vertical="center"/>
    </xf>
    <xf numFmtId="49" fontId="11" fillId="34" borderId="49" xfId="0" applyNumberFormat="1" applyFont="1" applyFill="1" applyBorder="1" applyAlignment="1">
      <alignment horizontal="center" vertical="center"/>
    </xf>
    <xf numFmtId="4" fontId="11" fillId="34" borderId="49" xfId="0" applyNumberFormat="1" applyFont="1" applyFill="1" applyBorder="1" applyAlignment="1">
      <alignment horizontal="center" vertical="center"/>
    </xf>
    <xf numFmtId="49" fontId="11" fillId="33" borderId="49" xfId="0" applyNumberFormat="1" applyFont="1" applyFill="1" applyBorder="1" applyAlignment="1">
      <alignment horizontal="left" vertical="center" wrapText="1"/>
    </xf>
    <xf numFmtId="4" fontId="10" fillId="33" borderId="49" xfId="0" applyNumberFormat="1" applyFont="1" applyFill="1" applyBorder="1" applyAlignment="1">
      <alignment horizontal="center" vertical="center"/>
    </xf>
    <xf numFmtId="49" fontId="11" fillId="35" borderId="49" xfId="0" applyNumberFormat="1" applyFont="1" applyFill="1" applyBorder="1" applyAlignment="1">
      <alignment horizontal="left" vertical="center" wrapText="1"/>
    </xf>
    <xf numFmtId="49" fontId="11" fillId="35" borderId="49" xfId="0" applyNumberFormat="1" applyFont="1" applyFill="1" applyBorder="1" applyAlignment="1">
      <alignment horizontal="center" vertical="center"/>
    </xf>
    <xf numFmtId="4" fontId="11" fillId="35" borderId="49" xfId="0" applyNumberFormat="1" applyFont="1" applyFill="1" applyBorder="1" applyAlignment="1">
      <alignment horizontal="center" vertical="center" wrapText="1"/>
    </xf>
    <xf numFmtId="0" fontId="11" fillId="33" borderId="49" xfId="0" applyFont="1" applyFill="1" applyBorder="1" applyAlignment="1">
      <alignment horizontal="left" vertical="center"/>
    </xf>
    <xf numFmtId="0" fontId="11" fillId="34" borderId="49" xfId="0" applyFont="1" applyFill="1" applyBorder="1" applyAlignment="1">
      <alignment horizontal="left" vertical="center"/>
    </xf>
    <xf numFmtId="0" fontId="11" fillId="0" borderId="49" xfId="0" applyFont="1" applyFill="1" applyBorder="1" applyAlignment="1">
      <alignment horizontal="left" vertical="center"/>
    </xf>
    <xf numFmtId="0" fontId="10" fillId="33" borderId="49" xfId="0" applyFont="1" applyFill="1" applyBorder="1" applyAlignment="1">
      <alignment horizontal="center" vertical="center" wrapText="1"/>
    </xf>
    <xf numFmtId="49" fontId="10" fillId="33" borderId="49" xfId="0" applyNumberFormat="1" applyFont="1" applyFill="1" applyBorder="1" applyAlignment="1">
      <alignment horizontal="center" vertical="center"/>
    </xf>
    <xf numFmtId="0" fontId="10" fillId="34" borderId="0" xfId="0" applyFont="1" applyFill="1" applyAlignment="1">
      <alignment vertical="center"/>
    </xf>
    <xf numFmtId="0" fontId="10" fillId="0" borderId="0" xfId="0" applyFont="1" applyFill="1" applyAlignment="1">
      <alignment vertical="center"/>
    </xf>
    <xf numFmtId="0" fontId="34" fillId="0" borderId="0" xfId="0" applyFont="1" applyFill="1" applyAlignment="1">
      <alignment/>
    </xf>
    <xf numFmtId="0" fontId="34" fillId="0" borderId="0" xfId="0" applyFont="1" applyFill="1" applyBorder="1" applyAlignment="1">
      <alignment horizontal="left"/>
    </xf>
    <xf numFmtId="0" fontId="34" fillId="0" borderId="49" xfId="0" applyFont="1" applyFill="1" applyBorder="1" applyAlignment="1">
      <alignment horizontal="center" vertical="center"/>
    </xf>
    <xf numFmtId="0" fontId="16" fillId="33" borderId="49" xfId="0" applyFont="1" applyFill="1" applyBorder="1" applyAlignment="1">
      <alignment horizontal="left" wrapText="1"/>
    </xf>
    <xf numFmtId="0" fontId="34" fillId="0" borderId="49" xfId="0" applyFont="1" applyFill="1" applyBorder="1" applyAlignment="1">
      <alignment horizontal="left" vertical="center" wrapText="1"/>
    </xf>
    <xf numFmtId="0" fontId="16" fillId="34" borderId="49"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3" fillId="38" borderId="0" xfId="0" applyFont="1" applyFill="1" applyAlignment="1">
      <alignment/>
    </xf>
    <xf numFmtId="4" fontId="0" fillId="34" borderId="0" xfId="0" applyNumberFormat="1" applyFont="1" applyFill="1" applyAlignment="1">
      <alignment/>
    </xf>
    <xf numFmtId="0" fontId="20" fillId="34" borderId="49" xfId="0" applyFont="1" applyFill="1" applyBorder="1" applyAlignment="1">
      <alignment horizontal="left" wrapText="1"/>
    </xf>
    <xf numFmtId="49" fontId="20" fillId="34" borderId="49" xfId="0" applyNumberFormat="1" applyFont="1" applyFill="1" applyBorder="1" applyAlignment="1">
      <alignment horizontal="left" wrapText="1"/>
    </xf>
    <xf numFmtId="3" fontId="28" fillId="34" borderId="0" xfId="0" applyNumberFormat="1" applyFont="1" applyFill="1" applyAlignment="1">
      <alignment horizontal="center" vertical="center"/>
    </xf>
    <xf numFmtId="0" fontId="31" fillId="31" borderId="49" xfId="0" applyFont="1" applyFill="1" applyBorder="1" applyAlignment="1">
      <alignment horizontal="left" wrapText="1"/>
    </xf>
    <xf numFmtId="49" fontId="21" fillId="31" borderId="49" xfId="0" applyNumberFormat="1" applyFont="1" applyFill="1" applyBorder="1" applyAlignment="1">
      <alignment horizontal="center" vertical="center"/>
    </xf>
    <xf numFmtId="4" fontId="21" fillId="31" borderId="49" xfId="0" applyNumberFormat="1" applyFont="1" applyFill="1" applyBorder="1" applyAlignment="1">
      <alignment horizontal="center" vertical="center"/>
    </xf>
    <xf numFmtId="4" fontId="20" fillId="0" borderId="49" xfId="0" applyNumberFormat="1" applyFont="1" applyFill="1" applyBorder="1" applyAlignment="1">
      <alignment horizontal="center" vertical="center" shrinkToFit="1"/>
    </xf>
    <xf numFmtId="4" fontId="3" fillId="0" borderId="49" xfId="0" applyNumberFormat="1" applyFont="1" applyFill="1" applyBorder="1" applyAlignment="1">
      <alignment horizontal="center"/>
    </xf>
    <xf numFmtId="0" fontId="10" fillId="0" borderId="49" xfId="0" applyFont="1" applyFill="1" applyBorder="1" applyAlignment="1">
      <alignment horizontal="left" vertical="center" wrapText="1"/>
    </xf>
    <xf numFmtId="4" fontId="11" fillId="0" borderId="51" xfId="0" applyNumberFormat="1" applyFont="1" applyFill="1" applyBorder="1" applyAlignment="1">
      <alignment horizontal="center" vertical="center"/>
    </xf>
    <xf numFmtId="49" fontId="10" fillId="0" borderId="56" xfId="0" applyNumberFormat="1" applyFont="1" applyFill="1" applyBorder="1" applyAlignment="1">
      <alignment horizontal="center" vertical="center"/>
    </xf>
    <xf numFmtId="4" fontId="10" fillId="0" borderId="49" xfId="0" applyNumberFormat="1" applyFont="1" applyFill="1" applyBorder="1" applyAlignment="1">
      <alignment horizontal="center" vertical="center"/>
    </xf>
    <xf numFmtId="175" fontId="10" fillId="0" borderId="0" xfId="58" applyNumberFormat="1" applyFont="1" applyFill="1" applyAlignment="1" applyProtection="1">
      <alignment horizontal="center"/>
      <protection hidden="1"/>
    </xf>
    <xf numFmtId="49" fontId="11" fillId="0" borderId="49" xfId="0" applyNumberFormat="1" applyFont="1" applyFill="1" applyBorder="1" applyAlignment="1">
      <alignment horizontal="left" vertical="center" wrapText="1"/>
    </xf>
    <xf numFmtId="0" fontId="16" fillId="0" borderId="49" xfId="0" applyFont="1" applyFill="1" applyBorder="1" applyAlignment="1">
      <alignment vertical="center" wrapText="1"/>
    </xf>
    <xf numFmtId="49" fontId="11" fillId="0" borderId="49"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0" borderId="49" xfId="0" applyNumberFormat="1" applyFont="1" applyFill="1" applyBorder="1" applyAlignment="1">
      <alignment horizontal="left" vertical="center" wrapText="1"/>
    </xf>
    <xf numFmtId="177" fontId="10" fillId="0" borderId="49" xfId="53" applyNumberFormat="1" applyFont="1" applyFill="1" applyBorder="1" applyAlignment="1" applyProtection="1">
      <alignment horizontal="center" vertical="center" wrapText="1"/>
      <protection hidden="1"/>
    </xf>
    <xf numFmtId="177" fontId="10" fillId="0" borderId="49" xfId="53" applyNumberFormat="1" applyFont="1" applyFill="1" applyBorder="1" applyAlignment="1" applyProtection="1">
      <alignment horizontal="center" vertical="center"/>
      <protection hidden="1"/>
    </xf>
    <xf numFmtId="0" fontId="16" fillId="0" borderId="49" xfId="0" applyFont="1" applyFill="1" applyBorder="1" applyAlignment="1">
      <alignment vertical="center"/>
    </xf>
    <xf numFmtId="0" fontId="11" fillId="0" borderId="49" xfId="0" applyFont="1" applyFill="1" applyBorder="1" applyAlignment="1">
      <alignment vertical="center"/>
    </xf>
    <xf numFmtId="0" fontId="11" fillId="0" borderId="49" xfId="0" applyFont="1" applyFill="1" applyBorder="1" applyAlignment="1">
      <alignment horizontal="center" vertical="center"/>
    </xf>
    <xf numFmtId="0" fontId="35" fillId="0" borderId="49" xfId="0" applyFont="1" applyFill="1" applyBorder="1" applyAlignment="1">
      <alignment horizontal="left" vertical="center" wrapText="1"/>
    </xf>
    <xf numFmtId="49" fontId="33" fillId="0" borderId="49" xfId="0" applyNumberFormat="1" applyFont="1" applyFill="1" applyBorder="1" applyAlignment="1">
      <alignment horizontal="center" vertical="center" wrapText="1"/>
    </xf>
    <xf numFmtId="49" fontId="33" fillId="0" borderId="49" xfId="0" applyNumberFormat="1" applyFont="1" applyFill="1" applyBorder="1" applyAlignment="1">
      <alignment horizontal="center" vertical="center"/>
    </xf>
    <xf numFmtId="4" fontId="33" fillId="0" borderId="49" xfId="0" applyNumberFormat="1" applyFont="1" applyFill="1" applyBorder="1" applyAlignment="1">
      <alignment horizontal="center" vertical="center"/>
    </xf>
    <xf numFmtId="4" fontId="11" fillId="0" borderId="49" xfId="0" applyNumberFormat="1" applyFont="1" applyFill="1" applyBorder="1" applyAlignment="1">
      <alignment horizontal="center" vertical="center" wrapText="1"/>
    </xf>
    <xf numFmtId="4" fontId="10" fillId="0" borderId="49" xfId="0" applyNumberFormat="1" applyFont="1" applyFill="1" applyBorder="1" applyAlignment="1">
      <alignment horizontal="center" vertical="center" wrapText="1"/>
    </xf>
    <xf numFmtId="0" fontId="11" fillId="0" borderId="49" xfId="0" applyFont="1" applyFill="1" applyBorder="1" applyAlignment="1">
      <alignment horizontal="left" vertical="center" wrapText="1"/>
    </xf>
    <xf numFmtId="4" fontId="20" fillId="39" borderId="49" xfId="0" applyNumberFormat="1" applyFont="1" applyFill="1" applyBorder="1" applyAlignment="1">
      <alignment horizontal="center" vertical="center"/>
    </xf>
    <xf numFmtId="4" fontId="10" fillId="0" borderId="53" xfId="0" applyNumberFormat="1" applyFont="1" applyFill="1" applyBorder="1" applyAlignment="1">
      <alignment horizontal="center" vertical="center"/>
    </xf>
    <xf numFmtId="4" fontId="27" fillId="0" borderId="49" xfId="0" applyNumberFormat="1" applyFont="1" applyFill="1" applyBorder="1" applyAlignment="1">
      <alignment horizontal="center" vertical="center"/>
    </xf>
    <xf numFmtId="4" fontId="27" fillId="0" borderId="0" xfId="0" applyNumberFormat="1" applyFont="1" applyFill="1" applyAlignment="1">
      <alignment horizontal="center" vertical="center"/>
    </xf>
    <xf numFmtId="4" fontId="11" fillId="40" borderId="49" xfId="0" applyNumberFormat="1" applyFont="1" applyFill="1" applyBorder="1" applyAlignment="1">
      <alignment horizontal="center" vertical="center"/>
    </xf>
    <xf numFmtId="4" fontId="10" fillId="0" borderId="57" xfId="0" applyNumberFormat="1" applyFont="1" applyFill="1" applyBorder="1" applyAlignment="1">
      <alignment horizontal="center" vertical="center"/>
    </xf>
    <xf numFmtId="177" fontId="10" fillId="0" borderId="27" xfId="53" applyNumberFormat="1" applyFont="1" applyFill="1" applyBorder="1" applyAlignment="1" applyProtection="1">
      <alignment horizontal="center" vertical="center"/>
      <protection hidden="1"/>
    </xf>
    <xf numFmtId="178" fontId="10" fillId="0" borderId="39" xfId="57" applyNumberFormat="1" applyFont="1" applyFill="1" applyBorder="1" applyAlignment="1" applyProtection="1">
      <alignment horizontal="center"/>
      <protection hidden="1"/>
    </xf>
    <xf numFmtId="175" fontId="10" fillId="0" borderId="16" xfId="58" applyNumberFormat="1" applyFont="1" applyFill="1" applyBorder="1" applyAlignment="1" applyProtection="1">
      <alignment horizontal="center"/>
      <protection hidden="1"/>
    </xf>
    <xf numFmtId="175" fontId="10" fillId="0" borderId="49" xfId="58" applyNumberFormat="1" applyFont="1" applyFill="1" applyBorder="1" applyAlignment="1" applyProtection="1">
      <alignment horizontal="center"/>
      <protection hidden="1"/>
    </xf>
    <xf numFmtId="177" fontId="10" fillId="0" borderId="27" xfId="53" applyNumberFormat="1" applyFont="1" applyFill="1" applyBorder="1" applyAlignment="1" applyProtection="1">
      <alignment horizontal="center" vertical="center" wrapText="1"/>
      <protection hidden="1"/>
    </xf>
    <xf numFmtId="0" fontId="0" fillId="41" borderId="0" xfId="0" applyFill="1" applyAlignment="1">
      <alignment/>
    </xf>
    <xf numFmtId="0" fontId="0" fillId="41" borderId="0" xfId="0" applyFont="1" applyFill="1" applyAlignment="1">
      <alignment/>
    </xf>
    <xf numFmtId="0" fontId="0" fillId="41" borderId="0" xfId="0" applyFont="1" applyFill="1" applyAlignment="1">
      <alignment/>
    </xf>
    <xf numFmtId="0" fontId="0" fillId="0" borderId="39" xfId="0" applyFill="1" applyBorder="1" applyAlignment="1">
      <alignment/>
    </xf>
    <xf numFmtId="0" fontId="0" fillId="0" borderId="39" xfId="0" applyFont="1" applyFill="1" applyBorder="1" applyAlignment="1">
      <alignment/>
    </xf>
    <xf numFmtId="0" fontId="0" fillId="0" borderId="39" xfId="0" applyFont="1" applyFill="1" applyBorder="1" applyAlignment="1">
      <alignment/>
    </xf>
    <xf numFmtId="4" fontId="2" fillId="0" borderId="39" xfId="0" applyNumberFormat="1" applyFont="1" applyFill="1" applyBorder="1" applyAlignment="1">
      <alignment wrapText="1"/>
    </xf>
    <xf numFmtId="4" fontId="0" fillId="0" borderId="39" xfId="0" applyNumberFormat="1" applyFill="1" applyBorder="1" applyAlignment="1">
      <alignment wrapText="1"/>
    </xf>
    <xf numFmtId="4" fontId="14" fillId="0" borderId="39" xfId="0" applyNumberFormat="1" applyFont="1" applyFill="1" applyBorder="1" applyAlignment="1">
      <alignment wrapText="1"/>
    </xf>
    <xf numFmtId="4" fontId="0" fillId="0" borderId="39" xfId="0" applyNumberFormat="1" applyFont="1" applyFill="1" applyBorder="1" applyAlignment="1">
      <alignment wrapText="1"/>
    </xf>
    <xf numFmtId="0" fontId="15" fillId="0" borderId="0" xfId="64" applyProtection="1">
      <alignment/>
      <protection hidden="1"/>
    </xf>
    <xf numFmtId="49" fontId="15" fillId="0" borderId="0" xfId="64" applyNumberFormat="1" applyAlignment="1" applyProtection="1">
      <alignment horizontal="center" vertical="center"/>
      <protection hidden="1"/>
    </xf>
    <xf numFmtId="0" fontId="15" fillId="38" borderId="0" xfId="64" applyFill="1" applyProtection="1">
      <alignment/>
      <protection hidden="1"/>
    </xf>
    <xf numFmtId="4" fontId="15" fillId="0" borderId="0" xfId="64" applyNumberFormat="1" applyProtection="1">
      <alignment/>
      <protection hidden="1"/>
    </xf>
    <xf numFmtId="0" fontId="15" fillId="42" borderId="0" xfId="64" applyFill="1" applyProtection="1">
      <alignment/>
      <protection hidden="1"/>
    </xf>
    <xf numFmtId="0" fontId="15" fillId="43" borderId="0" xfId="64" applyFill="1" applyProtection="1">
      <alignment/>
      <protection hidden="1"/>
    </xf>
    <xf numFmtId="4" fontId="15" fillId="44" borderId="0" xfId="64" applyNumberFormat="1" applyFill="1" applyProtection="1">
      <alignment/>
      <protection hidden="1"/>
    </xf>
    <xf numFmtId="4" fontId="15" fillId="43" borderId="0" xfId="64" applyNumberFormat="1" applyFill="1" applyProtection="1">
      <alignment/>
      <protection hidden="1"/>
    </xf>
    <xf numFmtId="0" fontId="15" fillId="0" borderId="0" xfId="64" applyFill="1" applyBorder="1">
      <alignment/>
      <protection/>
    </xf>
    <xf numFmtId="0" fontId="15" fillId="0" borderId="0" xfId="64">
      <alignment/>
      <protection/>
    </xf>
    <xf numFmtId="0" fontId="8" fillId="0" borderId="0" xfId="64" applyNumberFormat="1" applyFont="1" applyFill="1" applyAlignment="1" applyProtection="1">
      <alignment/>
      <protection hidden="1"/>
    </xf>
    <xf numFmtId="0" fontId="8" fillId="12" borderId="0" xfId="64" applyNumberFormat="1" applyFont="1" applyFill="1" applyAlignment="1" applyProtection="1">
      <alignment/>
      <protection hidden="1"/>
    </xf>
    <xf numFmtId="49" fontId="37" fillId="0" borderId="0" xfId="64" applyNumberFormat="1" applyFont="1" applyFill="1" applyAlignment="1" applyProtection="1">
      <alignment horizontal="center" vertical="center"/>
      <protection hidden="1"/>
    </xf>
    <xf numFmtId="4" fontId="15" fillId="0" borderId="10" xfId="64" applyNumberFormat="1" applyBorder="1" applyAlignment="1" applyProtection="1">
      <alignment/>
      <protection hidden="1"/>
    </xf>
    <xf numFmtId="0" fontId="17" fillId="0" borderId="0" xfId="64" applyNumberFormat="1" applyFont="1" applyFill="1" applyAlignment="1" applyProtection="1">
      <alignment/>
      <protection hidden="1"/>
    </xf>
    <xf numFmtId="0" fontId="15" fillId="12" borderId="58" xfId="64" applyFont="1" applyFill="1" applyBorder="1" applyAlignment="1" applyProtection="1">
      <alignment/>
      <protection hidden="1"/>
    </xf>
    <xf numFmtId="0" fontId="15" fillId="12" borderId="46" xfId="64" applyFont="1" applyFill="1" applyBorder="1" applyAlignment="1" applyProtection="1">
      <alignment/>
      <protection hidden="1"/>
    </xf>
    <xf numFmtId="49" fontId="8" fillId="0" borderId="0" xfId="64" applyNumberFormat="1" applyFont="1" applyFill="1" applyAlignment="1" applyProtection="1">
      <alignment horizontal="center" vertical="center"/>
      <protection hidden="1"/>
    </xf>
    <xf numFmtId="0" fontId="15" fillId="0" borderId="0" xfId="64" applyNumberFormat="1" applyFont="1" applyFill="1" applyAlignment="1" applyProtection="1">
      <alignment horizontal="center" vertical="center"/>
      <protection hidden="1"/>
    </xf>
    <xf numFmtId="0" fontId="15" fillId="38" borderId="0" xfId="64" applyNumberFormat="1" applyFont="1" applyFill="1" applyAlignment="1" applyProtection="1">
      <alignment horizontal="center" vertical="center"/>
      <protection hidden="1"/>
    </xf>
    <xf numFmtId="4" fontId="15" fillId="41" borderId="39" xfId="64" applyNumberFormat="1" applyFill="1" applyBorder="1" applyProtection="1">
      <alignment/>
      <protection hidden="1"/>
    </xf>
    <xf numFmtId="0" fontId="15" fillId="42" borderId="39" xfId="64" applyFont="1" applyFill="1" applyBorder="1" applyAlignment="1" applyProtection="1">
      <alignment/>
      <protection hidden="1"/>
    </xf>
    <xf numFmtId="0" fontId="15" fillId="42" borderId="39" xfId="64" applyFill="1" applyBorder="1" applyProtection="1">
      <alignment/>
      <protection hidden="1"/>
    </xf>
    <xf numFmtId="0" fontId="15" fillId="13" borderId="0" xfId="64" applyFill="1" applyProtection="1">
      <alignment/>
      <protection hidden="1"/>
    </xf>
    <xf numFmtId="4" fontId="15" fillId="13" borderId="0" xfId="64" applyNumberFormat="1" applyFill="1" applyProtection="1">
      <alignment/>
      <protection hidden="1"/>
    </xf>
    <xf numFmtId="0" fontId="38" fillId="45" borderId="0" xfId="64" applyFont="1" applyFill="1" applyBorder="1">
      <alignment/>
      <protection/>
    </xf>
    <xf numFmtId="0" fontId="18" fillId="0" borderId="0" xfId="64" applyNumberFormat="1" applyFont="1" applyFill="1" applyAlignment="1" applyProtection="1">
      <alignment horizontal="centerContinuous"/>
      <protection hidden="1"/>
    </xf>
    <xf numFmtId="0" fontId="17" fillId="0" borderId="0" xfId="64" applyNumberFormat="1" applyFont="1" applyFill="1" applyAlignment="1" applyProtection="1">
      <alignment horizontal="centerContinuous" vertical="center"/>
      <protection hidden="1"/>
    </xf>
    <xf numFmtId="0" fontId="15" fillId="12" borderId="15" xfId="64" applyFont="1" applyFill="1" applyBorder="1" applyAlignment="1" applyProtection="1">
      <alignment/>
      <protection hidden="1"/>
    </xf>
    <xf numFmtId="0" fontId="15" fillId="12" borderId="10" xfId="64" applyFont="1" applyFill="1" applyBorder="1" applyAlignment="1" applyProtection="1">
      <alignment/>
      <protection hidden="1"/>
    </xf>
    <xf numFmtId="49" fontId="17" fillId="46" borderId="0" xfId="64" applyNumberFormat="1" applyFont="1" applyFill="1" applyAlignment="1" applyProtection="1">
      <alignment horizontal="center" vertical="center"/>
      <protection hidden="1"/>
    </xf>
    <xf numFmtId="0" fontId="15" fillId="46" borderId="0" xfId="64" applyNumberFormat="1" applyFont="1" applyFill="1" applyAlignment="1" applyProtection="1">
      <alignment horizontal="centerContinuous" vertical="center"/>
      <protection hidden="1"/>
    </xf>
    <xf numFmtId="0" fontId="15" fillId="46" borderId="0" xfId="64" applyNumberFormat="1" applyFont="1" applyFill="1" applyAlignment="1" applyProtection="1">
      <alignment horizontal="centerContinuous"/>
      <protection hidden="1"/>
    </xf>
    <xf numFmtId="0" fontId="15" fillId="46" borderId="0" xfId="64" applyFont="1" applyFill="1" applyProtection="1">
      <alignment/>
      <protection hidden="1"/>
    </xf>
    <xf numFmtId="0" fontId="15" fillId="46" borderId="0" xfId="64" applyFill="1" applyProtection="1">
      <alignment/>
      <protection hidden="1"/>
    </xf>
    <xf numFmtId="4" fontId="15" fillId="46" borderId="39" xfId="64" applyNumberFormat="1" applyFill="1" applyBorder="1" applyProtection="1">
      <alignment/>
      <protection hidden="1"/>
    </xf>
    <xf numFmtId="0" fontId="15" fillId="46" borderId="39" xfId="64" applyFont="1" applyFill="1" applyBorder="1" applyProtection="1">
      <alignment/>
      <protection hidden="1"/>
    </xf>
    <xf numFmtId="3" fontId="39" fillId="12" borderId="39" xfId="64" applyNumberFormat="1" applyFont="1" applyFill="1" applyBorder="1" applyProtection="1">
      <alignment/>
      <protection hidden="1"/>
    </xf>
    <xf numFmtId="0" fontId="15" fillId="12" borderId="39" xfId="64" applyFill="1" applyBorder="1" applyProtection="1">
      <alignment/>
      <protection hidden="1"/>
    </xf>
    <xf numFmtId="0" fontId="17" fillId="12" borderId="0" xfId="64" applyNumberFormat="1" applyFont="1" applyFill="1" applyAlignment="1" applyProtection="1">
      <alignment horizontal="centerContinuous" vertical="center"/>
      <protection hidden="1"/>
    </xf>
    <xf numFmtId="0" fontId="15" fillId="46" borderId="39" xfId="64" applyFill="1" applyBorder="1" applyProtection="1">
      <alignment/>
      <protection hidden="1"/>
    </xf>
    <xf numFmtId="4" fontId="15" fillId="46" borderId="16" xfId="64" applyNumberFormat="1" applyFill="1" applyBorder="1" applyProtection="1">
      <alignment/>
      <protection hidden="1"/>
    </xf>
    <xf numFmtId="4" fontId="15" fillId="13" borderId="39" xfId="64" applyNumberFormat="1" applyFill="1" applyBorder="1" applyProtection="1">
      <alignment/>
      <protection hidden="1"/>
    </xf>
    <xf numFmtId="0" fontId="8" fillId="0" borderId="0" xfId="64" applyNumberFormat="1" applyFont="1" applyFill="1" applyAlignment="1" applyProtection="1">
      <alignment horizontal="centerContinuous" vertical="center"/>
      <protection hidden="1"/>
    </xf>
    <xf numFmtId="0" fontId="8" fillId="12" borderId="0" xfId="64" applyNumberFormat="1" applyFont="1" applyFill="1" applyAlignment="1" applyProtection="1">
      <alignment horizontal="centerContinuous" vertical="center"/>
      <protection hidden="1"/>
    </xf>
    <xf numFmtId="49" fontId="8" fillId="46" borderId="0" xfId="64" applyNumberFormat="1" applyFont="1" applyFill="1" applyAlignment="1" applyProtection="1">
      <alignment horizontal="center" vertical="center"/>
      <protection hidden="1"/>
    </xf>
    <xf numFmtId="4" fontId="15" fillId="46" borderId="39" xfId="64" applyNumberFormat="1" applyFont="1" applyFill="1" applyBorder="1" applyAlignment="1" applyProtection="1">
      <alignment horizontal="centerContinuous"/>
      <protection hidden="1"/>
    </xf>
    <xf numFmtId="4" fontId="15" fillId="46" borderId="39" xfId="64" applyNumberFormat="1" applyFont="1" applyFill="1" applyBorder="1" applyProtection="1">
      <alignment/>
      <protection hidden="1"/>
    </xf>
    <xf numFmtId="4" fontId="15" fillId="46" borderId="12" xfId="64" applyNumberFormat="1" applyFill="1" applyBorder="1" applyProtection="1">
      <alignment/>
      <protection hidden="1"/>
    </xf>
    <xf numFmtId="4" fontId="15" fillId="46" borderId="30" xfId="64" applyNumberFormat="1" applyFont="1" applyFill="1" applyBorder="1" applyAlignment="1" applyProtection="1">
      <alignment horizontal="centerContinuous"/>
      <protection hidden="1"/>
    </xf>
    <xf numFmtId="4" fontId="15" fillId="46" borderId="17" xfId="64" applyNumberFormat="1" applyFont="1" applyFill="1" applyBorder="1" applyAlignment="1" applyProtection="1">
      <alignment horizontal="centerContinuous"/>
      <protection hidden="1"/>
    </xf>
    <xf numFmtId="4" fontId="15" fillId="46" borderId="30" xfId="64" applyNumberFormat="1" applyFill="1" applyBorder="1" applyAlignment="1" applyProtection="1">
      <alignment horizontal="center"/>
      <protection hidden="1"/>
    </xf>
    <xf numFmtId="4" fontId="15" fillId="46" borderId="31" xfId="64" applyNumberFormat="1" applyFill="1" applyBorder="1" applyAlignment="1" applyProtection="1">
      <alignment horizontal="center"/>
      <protection hidden="1"/>
    </xf>
    <xf numFmtId="4" fontId="15" fillId="0" borderId="0" xfId="64" applyNumberFormat="1" applyFill="1" applyBorder="1">
      <alignment/>
      <protection/>
    </xf>
    <xf numFmtId="4" fontId="15" fillId="12" borderId="39" xfId="64" applyNumberFormat="1" applyFill="1" applyBorder="1" applyProtection="1">
      <alignment/>
      <protection hidden="1"/>
    </xf>
    <xf numFmtId="4" fontId="22" fillId="46" borderId="39" xfId="0" applyNumberFormat="1" applyFont="1" applyFill="1" applyBorder="1" applyAlignment="1">
      <alignment/>
    </xf>
    <xf numFmtId="4" fontId="15" fillId="46" borderId="0" xfId="64" applyNumberFormat="1" applyFill="1" applyProtection="1">
      <alignment/>
      <protection hidden="1"/>
    </xf>
    <xf numFmtId="4" fontId="15" fillId="46" borderId="0" xfId="64" applyNumberFormat="1" applyFont="1" applyFill="1" applyProtection="1">
      <alignment/>
      <protection hidden="1"/>
    </xf>
    <xf numFmtId="3" fontId="8" fillId="0" borderId="0" xfId="64" applyNumberFormat="1" applyFont="1" applyFill="1" applyAlignment="1" applyProtection="1">
      <alignment/>
      <protection hidden="1"/>
    </xf>
    <xf numFmtId="4" fontId="15" fillId="46" borderId="24" xfId="64" applyNumberFormat="1" applyFill="1" applyBorder="1" applyProtection="1">
      <alignment/>
      <protection hidden="1"/>
    </xf>
    <xf numFmtId="0" fontId="40" fillId="0" borderId="54" xfId="64" applyNumberFormat="1" applyFont="1" applyFill="1" applyBorder="1" applyAlignment="1" applyProtection="1">
      <alignment/>
      <protection hidden="1"/>
    </xf>
    <xf numFmtId="0" fontId="40" fillId="0" borderId="59" xfId="64" applyNumberFormat="1" applyFont="1" applyFill="1" applyBorder="1" applyAlignment="1" applyProtection="1">
      <alignment horizontal="center" vertical="center" wrapText="1"/>
      <protection hidden="1"/>
    </xf>
    <xf numFmtId="0" fontId="40" fillId="0" borderId="56" xfId="64" applyNumberFormat="1" applyFont="1" applyFill="1" applyBorder="1" applyAlignment="1" applyProtection="1">
      <alignment horizontal="centerContinuous" vertical="center"/>
      <protection hidden="1"/>
    </xf>
    <xf numFmtId="0" fontId="40" fillId="0" borderId="60" xfId="64" applyNumberFormat="1" applyFont="1" applyFill="1" applyBorder="1" applyAlignment="1" applyProtection="1">
      <alignment horizontal="centerContinuous" vertical="center"/>
      <protection hidden="1"/>
    </xf>
    <xf numFmtId="0" fontId="40" fillId="0" borderId="57" xfId="64" applyNumberFormat="1" applyFont="1" applyFill="1" applyBorder="1" applyAlignment="1" applyProtection="1">
      <alignment horizontal="centerContinuous" vertical="center"/>
      <protection hidden="1"/>
    </xf>
    <xf numFmtId="49" fontId="40" fillId="0" borderId="60" xfId="64" applyNumberFormat="1" applyFont="1" applyFill="1" applyBorder="1" applyAlignment="1" applyProtection="1">
      <alignment horizontal="center" vertical="center"/>
      <protection hidden="1"/>
    </xf>
    <xf numFmtId="0" fontId="40" fillId="0" borderId="54" xfId="64" applyNumberFormat="1" applyFont="1" applyFill="1" applyBorder="1" applyAlignment="1" applyProtection="1">
      <alignment horizontal="center" vertical="center" wrapText="1"/>
      <protection hidden="1"/>
    </xf>
    <xf numFmtId="0" fontId="40" fillId="38" borderId="61" xfId="64" applyNumberFormat="1" applyFont="1" applyFill="1" applyBorder="1" applyAlignment="1" applyProtection="1">
      <alignment horizontal="center"/>
      <protection hidden="1"/>
    </xf>
    <xf numFmtId="0" fontId="40" fillId="38" borderId="54" xfId="64" applyNumberFormat="1" applyFont="1" applyFill="1" applyBorder="1" applyAlignment="1" applyProtection="1">
      <alignment horizontal="center"/>
      <protection hidden="1"/>
    </xf>
    <xf numFmtId="4" fontId="40" fillId="0" borderId="54" xfId="64" applyNumberFormat="1" applyFont="1" applyFill="1" applyBorder="1" applyAlignment="1" applyProtection="1">
      <alignment horizontal="center"/>
      <protection hidden="1"/>
    </xf>
    <xf numFmtId="0" fontId="40" fillId="42" borderId="54" xfId="64" applyNumberFormat="1" applyFont="1" applyFill="1" applyBorder="1" applyAlignment="1" applyProtection="1">
      <alignment horizontal="center" vertical="center" wrapText="1"/>
      <protection hidden="1"/>
    </xf>
    <xf numFmtId="0" fontId="40" fillId="42" borderId="59" xfId="64" applyNumberFormat="1" applyFont="1" applyFill="1" applyBorder="1" applyAlignment="1" applyProtection="1">
      <alignment horizontal="center" vertical="center" wrapText="1"/>
      <protection hidden="1"/>
    </xf>
    <xf numFmtId="0" fontId="41" fillId="0" borderId="51" xfId="64" applyNumberFormat="1" applyFont="1" applyFill="1" applyBorder="1" applyAlignment="1" applyProtection="1">
      <alignment horizontal="center" vertical="center" wrapText="1"/>
      <protection hidden="1"/>
    </xf>
    <xf numFmtId="4" fontId="41" fillId="44" borderId="51" xfId="64" applyNumberFormat="1" applyFont="1" applyFill="1" applyBorder="1" applyAlignment="1" applyProtection="1">
      <alignment horizontal="center" vertical="center" wrapText="1"/>
      <protection hidden="1"/>
    </xf>
    <xf numFmtId="4" fontId="41" fillId="0" borderId="51" xfId="64" applyNumberFormat="1" applyFont="1" applyFill="1" applyBorder="1" applyAlignment="1" applyProtection="1">
      <alignment horizontal="center" vertical="center" wrapText="1"/>
      <protection hidden="1"/>
    </xf>
    <xf numFmtId="0" fontId="40" fillId="0" borderId="59" xfId="64" applyNumberFormat="1" applyFont="1" applyFill="1" applyBorder="1" applyAlignment="1" applyProtection="1">
      <alignment horizontal="center" wrapText="1"/>
      <protection hidden="1"/>
    </xf>
    <xf numFmtId="0" fontId="40" fillId="0" borderId="62" xfId="64" applyNumberFormat="1" applyFont="1" applyFill="1" applyBorder="1" applyAlignment="1" applyProtection="1">
      <alignment horizontal="center" wrapText="1"/>
      <protection hidden="1"/>
    </xf>
    <xf numFmtId="0" fontId="15" fillId="0" borderId="0" xfId="64" applyNumberFormat="1" applyFont="1" applyFill="1" applyAlignment="1" applyProtection="1">
      <alignment/>
      <protection hidden="1"/>
    </xf>
    <xf numFmtId="0" fontId="40" fillId="0" borderId="0" xfId="64" applyNumberFormat="1" applyFont="1" applyFill="1" applyAlignment="1" applyProtection="1">
      <alignment/>
      <protection hidden="1"/>
    </xf>
    <xf numFmtId="0" fontId="40" fillId="0" borderId="63" xfId="64" applyNumberFormat="1" applyFont="1" applyFill="1" applyBorder="1" applyAlignment="1" applyProtection="1">
      <alignment/>
      <protection hidden="1"/>
    </xf>
    <xf numFmtId="0" fontId="40" fillId="0" borderId="56" xfId="64" applyNumberFormat="1" applyFont="1" applyFill="1" applyBorder="1" applyAlignment="1" applyProtection="1">
      <alignment horizontal="center" vertical="center" wrapText="1"/>
      <protection hidden="1"/>
    </xf>
    <xf numFmtId="0" fontId="40" fillId="0" borderId="49" xfId="64" applyNumberFormat="1" applyFont="1" applyFill="1" applyBorder="1" applyAlignment="1" applyProtection="1">
      <alignment horizontal="center" vertical="center" wrapText="1"/>
      <protection hidden="1"/>
    </xf>
    <xf numFmtId="49" fontId="40" fillId="0" borderId="63" xfId="64" applyNumberFormat="1" applyFont="1" applyFill="1" applyBorder="1" applyAlignment="1" applyProtection="1">
      <alignment horizontal="center" vertical="center" wrapText="1"/>
      <protection hidden="1"/>
    </xf>
    <xf numFmtId="0" fontId="40" fillId="0" borderId="63" xfId="64" applyNumberFormat="1" applyFont="1" applyFill="1" applyBorder="1" applyAlignment="1" applyProtection="1">
      <alignment horizontal="center" vertical="center" wrapText="1"/>
      <protection hidden="1"/>
    </xf>
    <xf numFmtId="0" fontId="40" fillId="38" borderId="64" xfId="64" applyNumberFormat="1" applyFont="1" applyFill="1" applyBorder="1" applyAlignment="1" applyProtection="1">
      <alignment/>
      <protection hidden="1"/>
    </xf>
    <xf numFmtId="0" fontId="40" fillId="38" borderId="55" xfId="64" applyNumberFormat="1" applyFont="1" applyFill="1" applyBorder="1" applyAlignment="1" applyProtection="1">
      <alignment/>
      <protection hidden="1"/>
    </xf>
    <xf numFmtId="4" fontId="40" fillId="0" borderId="55" xfId="64" applyNumberFormat="1" applyFont="1" applyFill="1" applyBorder="1" applyAlignment="1" applyProtection="1">
      <alignment/>
      <protection hidden="1"/>
    </xf>
    <xf numFmtId="0" fontId="40" fillId="42" borderId="55" xfId="64" applyNumberFormat="1" applyFont="1" applyFill="1" applyBorder="1" applyAlignment="1" applyProtection="1">
      <alignment horizontal="center" vertical="center" wrapText="1"/>
      <protection hidden="1"/>
    </xf>
    <xf numFmtId="0" fontId="40" fillId="42" borderId="63" xfId="64" applyNumberFormat="1" applyFont="1" applyFill="1" applyBorder="1" applyAlignment="1" applyProtection="1">
      <alignment horizontal="center" vertical="center" wrapText="1"/>
      <protection hidden="1"/>
    </xf>
    <xf numFmtId="0" fontId="41" fillId="0" borderId="53" xfId="64" applyNumberFormat="1" applyFont="1" applyFill="1" applyBorder="1" applyAlignment="1" applyProtection="1">
      <alignment horizontal="center" vertical="center" wrapText="1"/>
      <protection hidden="1"/>
    </xf>
    <xf numFmtId="4" fontId="41" fillId="44" borderId="53" xfId="64" applyNumberFormat="1" applyFont="1" applyFill="1" applyBorder="1" applyAlignment="1" applyProtection="1">
      <alignment horizontal="center" vertical="center" wrapText="1"/>
      <protection hidden="1"/>
    </xf>
    <xf numFmtId="4" fontId="41" fillId="0" borderId="53" xfId="64" applyNumberFormat="1" applyFont="1" applyFill="1" applyBorder="1" applyAlignment="1" applyProtection="1">
      <alignment horizontal="center" vertical="center" wrapText="1"/>
      <protection hidden="1"/>
    </xf>
    <xf numFmtId="0" fontId="40" fillId="0" borderId="62" xfId="64" applyNumberFormat="1" applyFont="1" applyFill="1" applyBorder="1" applyAlignment="1" applyProtection="1">
      <alignment horizontal="center" vertical="center" wrapText="1"/>
      <protection hidden="1"/>
    </xf>
    <xf numFmtId="0" fontId="15" fillId="0" borderId="54" xfId="64" applyNumberFormat="1" applyFont="1" applyFill="1" applyBorder="1" applyAlignment="1" applyProtection="1">
      <alignment horizontal="centerContinuous"/>
      <protection hidden="1"/>
    </xf>
    <xf numFmtId="0" fontId="17" fillId="0" borderId="59" xfId="64" applyNumberFormat="1" applyFont="1" applyFill="1" applyBorder="1" applyAlignment="1" applyProtection="1">
      <alignment horizontal="centerContinuous"/>
      <protection hidden="1"/>
    </xf>
    <xf numFmtId="0" fontId="17" fillId="0" borderId="59" xfId="64" applyNumberFormat="1" applyFont="1" applyFill="1" applyBorder="1" applyAlignment="1" applyProtection="1">
      <alignment horizontal="center" vertical="center"/>
      <protection hidden="1"/>
    </xf>
    <xf numFmtId="0" fontId="17" fillId="0" borderId="51" xfId="64" applyNumberFormat="1" applyFont="1" applyFill="1" applyBorder="1" applyAlignment="1" applyProtection="1">
      <alignment horizontal="center" vertical="center"/>
      <protection hidden="1"/>
    </xf>
    <xf numFmtId="49" fontId="17" fillId="0" borderId="59" xfId="64" applyNumberFormat="1" applyFont="1" applyFill="1" applyBorder="1" applyAlignment="1" applyProtection="1">
      <alignment horizontal="center" vertical="center"/>
      <protection hidden="1"/>
    </xf>
    <xf numFmtId="0" fontId="17" fillId="0" borderId="59" xfId="64" applyNumberFormat="1" applyFont="1" applyFill="1" applyBorder="1" applyAlignment="1" applyProtection="1">
      <alignment horizontal="center"/>
      <protection hidden="1"/>
    </xf>
    <xf numFmtId="0" fontId="15" fillId="0" borderId="61" xfId="64" applyNumberFormat="1" applyFont="1" applyFill="1" applyBorder="1" applyAlignment="1" applyProtection="1">
      <alignment horizontal="centerContinuous"/>
      <protection hidden="1"/>
    </xf>
    <xf numFmtId="4" fontId="15" fillId="0" borderId="54" xfId="64" applyNumberFormat="1" applyFont="1" applyFill="1" applyBorder="1" applyAlignment="1" applyProtection="1">
      <alignment horizontal="centerContinuous"/>
      <protection hidden="1"/>
    </xf>
    <xf numFmtId="0" fontId="17" fillId="0" borderId="54" xfId="64" applyNumberFormat="1" applyFont="1" applyFill="1" applyBorder="1" applyAlignment="1" applyProtection="1">
      <alignment horizontal="center"/>
      <protection hidden="1"/>
    </xf>
    <xf numFmtId="1" fontId="17" fillId="0" borderId="59" xfId="64" applyNumberFormat="1" applyFont="1" applyFill="1" applyBorder="1" applyAlignment="1" applyProtection="1">
      <alignment horizontal="center" vertical="center"/>
      <protection hidden="1"/>
    </xf>
    <xf numFmtId="177" fontId="16" fillId="47" borderId="16" xfId="64" applyNumberFormat="1" applyFont="1" applyFill="1" applyBorder="1" applyAlignment="1" applyProtection="1">
      <alignment wrapText="1"/>
      <protection hidden="1"/>
    </xf>
    <xf numFmtId="4" fontId="17" fillId="44" borderId="51" xfId="64" applyNumberFormat="1" applyFont="1" applyFill="1" applyBorder="1" applyAlignment="1" applyProtection="1">
      <alignment horizontal="center" vertical="center"/>
      <protection hidden="1"/>
    </xf>
    <xf numFmtId="4" fontId="17" fillId="0" borderId="51" xfId="64" applyNumberFormat="1" applyFont="1" applyFill="1" applyBorder="1" applyAlignment="1" applyProtection="1">
      <alignment horizontal="center" vertical="center"/>
      <protection hidden="1"/>
    </xf>
    <xf numFmtId="0" fontId="17" fillId="0" borderId="59" xfId="64" applyNumberFormat="1" applyFont="1" applyFill="1" applyBorder="1" applyAlignment="1" applyProtection="1">
      <alignment/>
      <protection hidden="1"/>
    </xf>
    <xf numFmtId="0" fontId="17" fillId="0" borderId="62" xfId="64" applyNumberFormat="1" applyFont="1" applyFill="1" applyBorder="1" applyAlignment="1" applyProtection="1">
      <alignment/>
      <protection hidden="1"/>
    </xf>
    <xf numFmtId="0" fontId="15" fillId="0" borderId="0" xfId="64" applyNumberFormat="1" applyFont="1" applyFill="1" applyBorder="1" applyAlignment="1" applyProtection="1">
      <alignment horizontal="centerContinuous"/>
      <protection hidden="1"/>
    </xf>
    <xf numFmtId="0" fontId="41" fillId="48" borderId="39" xfId="64" applyFont="1" applyFill="1" applyBorder="1">
      <alignment/>
      <protection/>
    </xf>
    <xf numFmtId="0" fontId="17" fillId="48" borderId="39" xfId="64" applyNumberFormat="1" applyFont="1" applyFill="1" applyBorder="1" applyAlignment="1" applyProtection="1">
      <alignment horizontal="center" vertical="center"/>
      <protection hidden="1"/>
    </xf>
    <xf numFmtId="49" fontId="17" fillId="48" borderId="39" xfId="64" applyNumberFormat="1" applyFont="1" applyFill="1" applyBorder="1" applyAlignment="1" applyProtection="1">
      <alignment horizontal="center" vertical="center"/>
      <protection hidden="1"/>
    </xf>
    <xf numFmtId="0" fontId="17" fillId="48" borderId="39" xfId="64" applyNumberFormat="1" applyFont="1" applyFill="1" applyBorder="1" applyAlignment="1" applyProtection="1">
      <alignment horizontal="center"/>
      <protection hidden="1"/>
    </xf>
    <xf numFmtId="0" fontId="15" fillId="48" borderId="39" xfId="64" applyNumberFormat="1" applyFont="1" applyFill="1" applyBorder="1" applyAlignment="1" applyProtection="1">
      <alignment horizontal="centerContinuous"/>
      <protection hidden="1"/>
    </xf>
    <xf numFmtId="4" fontId="15" fillId="48" borderId="39" xfId="64" applyNumberFormat="1" applyFont="1" applyFill="1" applyBorder="1" applyAlignment="1" applyProtection="1">
      <alignment horizontal="centerContinuous"/>
      <protection hidden="1"/>
    </xf>
    <xf numFmtId="1" fontId="17" fillId="48" borderId="39" xfId="64" applyNumberFormat="1" applyFont="1" applyFill="1" applyBorder="1" applyAlignment="1" applyProtection="1">
      <alignment horizontal="center" vertical="center"/>
      <protection hidden="1"/>
    </xf>
    <xf numFmtId="177" fontId="16" fillId="48" borderId="39" xfId="64" applyNumberFormat="1" applyFont="1" applyFill="1" applyBorder="1" applyAlignment="1" applyProtection="1">
      <alignment wrapText="1"/>
      <protection hidden="1"/>
    </xf>
    <xf numFmtId="4" fontId="17" fillId="44" borderId="39" xfId="64" applyNumberFormat="1" applyFont="1" applyFill="1" applyBorder="1" applyAlignment="1" applyProtection="1">
      <alignment horizontal="center" vertical="center"/>
      <protection hidden="1"/>
    </xf>
    <xf numFmtId="4" fontId="17" fillId="48" borderId="39" xfId="64" applyNumberFormat="1" applyFont="1" applyFill="1" applyBorder="1" applyAlignment="1" applyProtection="1">
      <alignment horizontal="center" vertical="center"/>
      <protection hidden="1"/>
    </xf>
    <xf numFmtId="0" fontId="17" fillId="0" borderId="0" xfId="64" applyNumberFormat="1" applyFont="1" applyFill="1" applyBorder="1" applyAlignment="1" applyProtection="1">
      <alignment/>
      <protection hidden="1"/>
    </xf>
    <xf numFmtId="0" fontId="17" fillId="0" borderId="0" xfId="64" applyNumberFormat="1" applyFont="1" applyFill="1" applyBorder="1" applyAlignment="1" applyProtection="1">
      <alignment horizontal="center"/>
      <protection hidden="1"/>
    </xf>
    <xf numFmtId="0" fontId="15" fillId="49" borderId="0" xfId="64" applyNumberFormat="1" applyFont="1" applyFill="1" applyBorder="1" applyAlignment="1" applyProtection="1">
      <alignment horizontal="centerContinuous"/>
      <protection hidden="1"/>
    </xf>
    <xf numFmtId="0" fontId="17" fillId="49" borderId="39" xfId="64" applyNumberFormat="1" applyFont="1" applyFill="1" applyBorder="1" applyAlignment="1" applyProtection="1">
      <alignment horizontal="center"/>
      <protection hidden="1"/>
    </xf>
    <xf numFmtId="0" fontId="15" fillId="49" borderId="39" xfId="64" applyNumberFormat="1" applyFont="1" applyFill="1" applyBorder="1" applyAlignment="1" applyProtection="1">
      <alignment horizontal="centerContinuous"/>
      <protection hidden="1"/>
    </xf>
    <xf numFmtId="4" fontId="15" fillId="49" borderId="39" xfId="64" applyNumberFormat="1" applyFont="1" applyFill="1" applyBorder="1" applyAlignment="1" applyProtection="1">
      <alignment horizontal="centerContinuous"/>
      <protection hidden="1"/>
    </xf>
    <xf numFmtId="1" fontId="17" fillId="49" borderId="39" xfId="64" applyNumberFormat="1" applyFont="1" applyFill="1" applyBorder="1" applyAlignment="1" applyProtection="1">
      <alignment horizontal="center" vertical="center"/>
      <protection hidden="1"/>
    </xf>
    <xf numFmtId="0" fontId="17" fillId="49" borderId="39" xfId="64" applyNumberFormat="1" applyFont="1" applyFill="1" applyBorder="1" applyAlignment="1" applyProtection="1">
      <alignment horizontal="center" vertical="center"/>
      <protection hidden="1"/>
    </xf>
    <xf numFmtId="177" fontId="16" fillId="49" borderId="39" xfId="64" applyNumberFormat="1" applyFont="1" applyFill="1" applyBorder="1" applyAlignment="1" applyProtection="1">
      <alignment wrapText="1"/>
      <protection hidden="1"/>
    </xf>
    <xf numFmtId="4" fontId="17" fillId="49" borderId="39" xfId="64" applyNumberFormat="1" applyFont="1" applyFill="1" applyBorder="1" applyAlignment="1" applyProtection="1">
      <alignment horizontal="center" vertical="center"/>
      <protection hidden="1"/>
    </xf>
    <xf numFmtId="0" fontId="17" fillId="49" borderId="0" xfId="64" applyNumberFormat="1" applyFont="1" applyFill="1" applyBorder="1" applyAlignment="1" applyProtection="1">
      <alignment/>
      <protection hidden="1"/>
    </xf>
    <xf numFmtId="0" fontId="17" fillId="49" borderId="0" xfId="64" applyNumberFormat="1" applyFont="1" applyFill="1" applyBorder="1" applyAlignment="1" applyProtection="1">
      <alignment horizontal="center"/>
      <protection hidden="1"/>
    </xf>
    <xf numFmtId="0" fontId="15" fillId="0" borderId="45" xfId="64" applyBorder="1" applyProtection="1">
      <alignment/>
      <protection hidden="1"/>
    </xf>
    <xf numFmtId="0" fontId="15" fillId="0" borderId="62" xfId="64" applyNumberFormat="1" applyFont="1" applyFill="1" applyBorder="1" applyAlignment="1" applyProtection="1">
      <alignment/>
      <protection hidden="1"/>
    </xf>
    <xf numFmtId="0" fontId="15" fillId="0" borderId="45" xfId="64" applyFill="1" applyBorder="1" applyProtection="1">
      <alignment/>
      <protection hidden="1"/>
    </xf>
    <xf numFmtId="185" fontId="8" fillId="0" borderId="65" xfId="64" applyNumberFormat="1" applyFont="1" applyFill="1" applyBorder="1" applyAlignment="1" applyProtection="1">
      <alignment wrapText="1"/>
      <protection hidden="1"/>
    </xf>
    <xf numFmtId="185" fontId="16" fillId="0" borderId="65" xfId="64" applyNumberFormat="1" applyFont="1" applyFill="1" applyBorder="1" applyAlignment="1" applyProtection="1">
      <alignment wrapText="1"/>
      <protection hidden="1"/>
    </xf>
    <xf numFmtId="185" fontId="8" fillId="0" borderId="26" xfId="64" applyNumberFormat="1" applyFont="1" applyFill="1" applyBorder="1" applyAlignment="1" applyProtection="1">
      <alignment wrapText="1"/>
      <protection hidden="1"/>
    </xf>
    <xf numFmtId="191" fontId="8" fillId="0" borderId="39" xfId="64" applyNumberFormat="1" applyFont="1" applyFill="1" applyBorder="1" applyAlignment="1" applyProtection="1">
      <alignment/>
      <protection hidden="1"/>
    </xf>
    <xf numFmtId="179" fontId="8" fillId="0" borderId="39" xfId="64" applyNumberFormat="1" applyFont="1" applyFill="1" applyBorder="1" applyAlignment="1" applyProtection="1">
      <alignment wrapText="1"/>
      <protection hidden="1"/>
    </xf>
    <xf numFmtId="192" fontId="8" fillId="0" borderId="24" xfId="64" applyNumberFormat="1" applyFont="1" applyFill="1" applyBorder="1" applyAlignment="1" applyProtection="1">
      <alignment/>
      <protection hidden="1"/>
    </xf>
    <xf numFmtId="179" fontId="8" fillId="0" borderId="39" xfId="64" applyNumberFormat="1" applyFont="1" applyFill="1" applyBorder="1" applyAlignment="1" applyProtection="1">
      <alignment/>
      <protection hidden="1"/>
    </xf>
    <xf numFmtId="49" fontId="8" fillId="0" borderId="39" xfId="64" applyNumberFormat="1" applyFont="1" applyFill="1" applyBorder="1" applyAlignment="1" applyProtection="1">
      <alignment horizontal="center" vertical="center"/>
      <protection hidden="1"/>
    </xf>
    <xf numFmtId="177" fontId="8" fillId="0" borderId="39" xfId="64" applyNumberFormat="1" applyFont="1" applyFill="1" applyBorder="1" applyAlignment="1" applyProtection="1">
      <alignment/>
      <protection hidden="1"/>
    </xf>
    <xf numFmtId="177" fontId="8" fillId="0" borderId="39" xfId="64" applyNumberFormat="1" applyFont="1" applyFill="1" applyBorder="1" applyAlignment="1" applyProtection="1">
      <alignment wrapText="1"/>
      <protection hidden="1"/>
    </xf>
    <xf numFmtId="4" fontId="8" fillId="0" borderId="31" xfId="64" applyNumberFormat="1" applyFont="1" applyFill="1" applyBorder="1" applyAlignment="1" applyProtection="1">
      <alignment wrapText="1"/>
      <protection hidden="1"/>
    </xf>
    <xf numFmtId="4" fontId="8" fillId="8" borderId="39" xfId="64" applyNumberFormat="1" applyFont="1" applyFill="1" applyBorder="1" applyAlignment="1" applyProtection="1">
      <alignment wrapText="1"/>
      <protection hidden="1"/>
    </xf>
    <xf numFmtId="4" fontId="8" fillId="0" borderId="39" xfId="64" applyNumberFormat="1" applyFont="1" applyFill="1" applyBorder="1" applyAlignment="1" applyProtection="1">
      <alignment wrapText="1"/>
      <protection hidden="1"/>
    </xf>
    <xf numFmtId="177" fontId="8" fillId="0" borderId="65" xfId="64" applyNumberFormat="1" applyFont="1" applyFill="1" applyBorder="1" applyAlignment="1" applyProtection="1">
      <alignment/>
      <protection hidden="1"/>
    </xf>
    <xf numFmtId="40" fontId="8" fillId="0" borderId="65" xfId="64" applyNumberFormat="1" applyFont="1" applyFill="1" applyBorder="1" applyAlignment="1" applyProtection="1">
      <alignment/>
      <protection hidden="1"/>
    </xf>
    <xf numFmtId="10" fontId="8" fillId="0" borderId="65" xfId="64" applyNumberFormat="1" applyFont="1" applyFill="1" applyBorder="1" applyAlignment="1" applyProtection="1">
      <alignment/>
      <protection hidden="1"/>
    </xf>
    <xf numFmtId="0" fontId="15" fillId="0" borderId="0" xfId="64" applyFill="1" applyProtection="1">
      <alignment/>
      <protection hidden="1"/>
    </xf>
    <xf numFmtId="175" fontId="15" fillId="0" borderId="0" xfId="64" applyNumberFormat="1" applyFill="1" applyBorder="1">
      <alignment/>
      <protection/>
    </xf>
    <xf numFmtId="0" fontId="15" fillId="0" borderId="0" xfId="64" applyFill="1">
      <alignment/>
      <protection/>
    </xf>
    <xf numFmtId="185" fontId="16" fillId="0" borderId="66" xfId="64" applyNumberFormat="1" applyFont="1" applyFill="1" applyBorder="1" applyAlignment="1" applyProtection="1">
      <alignment wrapText="1"/>
      <protection hidden="1"/>
    </xf>
    <xf numFmtId="185" fontId="16" fillId="0" borderId="31" xfId="64" applyNumberFormat="1" applyFont="1" applyFill="1" applyBorder="1" applyAlignment="1" applyProtection="1">
      <alignment wrapText="1"/>
      <protection hidden="1"/>
    </xf>
    <xf numFmtId="185" fontId="16" fillId="0" borderId="17" xfId="64" applyNumberFormat="1" applyFont="1" applyFill="1" applyBorder="1" applyAlignment="1" applyProtection="1">
      <alignment wrapText="1"/>
      <protection hidden="1"/>
    </xf>
    <xf numFmtId="177" fontId="16" fillId="0" borderId="30" xfId="64" applyNumberFormat="1" applyFont="1" applyFill="1" applyBorder="1" applyAlignment="1" applyProtection="1">
      <alignment wrapText="1"/>
      <protection hidden="1"/>
    </xf>
    <xf numFmtId="177" fontId="16" fillId="0" borderId="39" xfId="64" applyNumberFormat="1" applyFont="1" applyFill="1" applyBorder="1" applyAlignment="1" applyProtection="1">
      <alignment wrapText="1"/>
      <protection hidden="1"/>
    </xf>
    <xf numFmtId="4" fontId="17" fillId="0" borderId="39" xfId="64" applyNumberFormat="1" applyFont="1" applyFill="1" applyBorder="1" applyAlignment="1" applyProtection="1">
      <alignment wrapText="1"/>
      <protection hidden="1"/>
    </xf>
    <xf numFmtId="4" fontId="16" fillId="8" borderId="30" xfId="64" applyNumberFormat="1" applyFont="1" applyFill="1" applyBorder="1" applyAlignment="1" applyProtection="1">
      <alignment wrapText="1"/>
      <protection hidden="1"/>
    </xf>
    <xf numFmtId="4" fontId="16" fillId="0" borderId="30" xfId="64" applyNumberFormat="1" applyFont="1" applyFill="1" applyBorder="1" applyAlignment="1" applyProtection="1">
      <alignment wrapText="1"/>
      <protection hidden="1"/>
    </xf>
    <xf numFmtId="177" fontId="16" fillId="0" borderId="31" xfId="64" applyNumberFormat="1" applyFont="1" applyFill="1" applyBorder="1" applyAlignment="1" applyProtection="1">
      <alignment/>
      <protection hidden="1"/>
    </xf>
    <xf numFmtId="177" fontId="8" fillId="0" borderId="67" xfId="64" applyNumberFormat="1" applyFont="1" applyFill="1" applyBorder="1" applyAlignment="1" applyProtection="1">
      <alignment/>
      <protection hidden="1"/>
    </xf>
    <xf numFmtId="177" fontId="8" fillId="0" borderId="66" xfId="64" applyNumberFormat="1" applyFont="1" applyFill="1" applyBorder="1" applyAlignment="1" applyProtection="1">
      <alignment/>
      <protection hidden="1"/>
    </xf>
    <xf numFmtId="10" fontId="8" fillId="0" borderId="67" xfId="64" applyNumberFormat="1" applyFont="1" applyFill="1" applyBorder="1" applyAlignment="1" applyProtection="1">
      <alignment/>
      <protection hidden="1"/>
    </xf>
    <xf numFmtId="185" fontId="8" fillId="50" borderId="65" xfId="64" applyNumberFormat="1" applyFont="1" applyFill="1" applyBorder="1" applyAlignment="1" applyProtection="1">
      <alignment wrapText="1"/>
      <protection hidden="1"/>
    </xf>
    <xf numFmtId="185" fontId="16" fillId="50" borderId="65" xfId="64" applyNumberFormat="1" applyFont="1" applyFill="1" applyBorder="1" applyAlignment="1" applyProtection="1">
      <alignment wrapText="1"/>
      <protection hidden="1"/>
    </xf>
    <xf numFmtId="185" fontId="8" fillId="50" borderId="26" xfId="64" applyNumberFormat="1" applyFont="1" applyFill="1" applyBorder="1" applyAlignment="1" applyProtection="1">
      <alignment wrapText="1"/>
      <protection hidden="1"/>
    </xf>
    <xf numFmtId="191" fontId="8" fillId="50" borderId="39" xfId="64" applyNumberFormat="1" applyFont="1" applyFill="1" applyBorder="1" applyAlignment="1" applyProtection="1">
      <alignment/>
      <protection hidden="1"/>
    </xf>
    <xf numFmtId="179" fontId="8" fillId="50" borderId="39" xfId="64" applyNumberFormat="1" applyFont="1" applyFill="1" applyBorder="1" applyAlignment="1" applyProtection="1">
      <alignment wrapText="1"/>
      <protection hidden="1"/>
    </xf>
    <xf numFmtId="192" fontId="8" fillId="50" borderId="24" xfId="64" applyNumberFormat="1" applyFont="1" applyFill="1" applyBorder="1" applyAlignment="1" applyProtection="1">
      <alignment/>
      <protection hidden="1"/>
    </xf>
    <xf numFmtId="179" fontId="8" fillId="50" borderId="39" xfId="64" applyNumberFormat="1" applyFont="1" applyFill="1" applyBorder="1" applyAlignment="1" applyProtection="1">
      <alignment/>
      <protection hidden="1"/>
    </xf>
    <xf numFmtId="49" fontId="8" fillId="50" borderId="39" xfId="64" applyNumberFormat="1" applyFont="1" applyFill="1" applyBorder="1" applyAlignment="1" applyProtection="1">
      <alignment horizontal="center" vertical="center"/>
      <protection hidden="1"/>
    </xf>
    <xf numFmtId="177" fontId="8" fillId="50" borderId="39" xfId="64" applyNumberFormat="1" applyFont="1" applyFill="1" applyBorder="1" applyAlignment="1" applyProtection="1">
      <alignment/>
      <protection hidden="1"/>
    </xf>
    <xf numFmtId="177" fontId="8" fillId="50" borderId="39" xfId="64" applyNumberFormat="1" applyFont="1" applyFill="1" applyBorder="1" applyAlignment="1" applyProtection="1">
      <alignment wrapText="1"/>
      <protection hidden="1"/>
    </xf>
    <xf numFmtId="4" fontId="8" fillId="50" borderId="31" xfId="64" applyNumberFormat="1" applyFont="1" applyFill="1" applyBorder="1" applyAlignment="1" applyProtection="1">
      <alignment wrapText="1"/>
      <protection hidden="1"/>
    </xf>
    <xf numFmtId="4" fontId="8" fillId="50" borderId="39" xfId="64" applyNumberFormat="1" applyFont="1" applyFill="1" applyBorder="1" applyAlignment="1" applyProtection="1">
      <alignment wrapText="1"/>
      <protection hidden="1"/>
    </xf>
    <xf numFmtId="177" fontId="8" fillId="50" borderId="65" xfId="64" applyNumberFormat="1" applyFont="1" applyFill="1" applyBorder="1" applyAlignment="1" applyProtection="1">
      <alignment/>
      <protection hidden="1"/>
    </xf>
    <xf numFmtId="40" fontId="8" fillId="50" borderId="65" xfId="64" applyNumberFormat="1" applyFont="1" applyFill="1" applyBorder="1" applyAlignment="1" applyProtection="1">
      <alignment/>
      <protection hidden="1"/>
    </xf>
    <xf numFmtId="10" fontId="8" fillId="50" borderId="65" xfId="64" applyNumberFormat="1" applyFont="1" applyFill="1" applyBorder="1" applyAlignment="1" applyProtection="1">
      <alignment/>
      <protection hidden="1"/>
    </xf>
    <xf numFmtId="4" fontId="16" fillId="44" borderId="30" xfId="64" applyNumberFormat="1" applyFont="1" applyFill="1" applyBorder="1" applyAlignment="1" applyProtection="1">
      <alignment wrapText="1"/>
      <protection hidden="1"/>
    </xf>
    <xf numFmtId="177" fontId="8" fillId="41" borderId="39" xfId="64" applyNumberFormat="1" applyFont="1" applyFill="1" applyBorder="1" applyAlignment="1" applyProtection="1">
      <alignment wrapText="1"/>
      <protection hidden="1"/>
    </xf>
    <xf numFmtId="177" fontId="16" fillId="41" borderId="39" xfId="64" applyNumberFormat="1" applyFont="1" applyFill="1" applyBorder="1" applyAlignment="1" applyProtection="1">
      <alignment wrapText="1"/>
      <protection hidden="1"/>
    </xf>
    <xf numFmtId="177" fontId="16" fillId="8" borderId="39" xfId="64" applyNumberFormat="1" applyFont="1" applyFill="1" applyBorder="1" applyAlignment="1" applyProtection="1">
      <alignment wrapText="1"/>
      <protection hidden="1"/>
    </xf>
    <xf numFmtId="185" fontId="16" fillId="0" borderId="67" xfId="64" applyNumberFormat="1" applyFont="1" applyFill="1" applyBorder="1" applyAlignment="1" applyProtection="1">
      <alignment wrapText="1"/>
      <protection hidden="1"/>
    </xf>
    <xf numFmtId="40" fontId="8" fillId="0" borderId="39" xfId="64" applyNumberFormat="1" applyFont="1" applyFill="1" applyBorder="1" applyAlignment="1" applyProtection="1">
      <alignment/>
      <protection hidden="1"/>
    </xf>
    <xf numFmtId="4" fontId="8" fillId="44" borderId="39" xfId="64" applyNumberFormat="1" applyFont="1" applyFill="1" applyBorder="1" applyAlignment="1" applyProtection="1">
      <alignment/>
      <protection hidden="1"/>
    </xf>
    <xf numFmtId="4" fontId="8" fillId="0" borderId="39" xfId="64" applyNumberFormat="1" applyFont="1" applyFill="1" applyBorder="1" applyAlignment="1" applyProtection="1">
      <alignment/>
      <protection hidden="1"/>
    </xf>
    <xf numFmtId="0" fontId="43" fillId="0" borderId="39" xfId="0" applyFont="1" applyFill="1" applyBorder="1" applyAlignment="1">
      <alignment horizontal="center" wrapText="1"/>
    </xf>
    <xf numFmtId="4" fontId="43" fillId="44" borderId="39" xfId="0" applyNumberFormat="1" applyFont="1" applyFill="1" applyBorder="1" applyAlignment="1">
      <alignment horizontal="center" wrapText="1"/>
    </xf>
    <xf numFmtId="4" fontId="43" fillId="0" borderId="39" xfId="0" applyNumberFormat="1" applyFont="1" applyFill="1" applyBorder="1" applyAlignment="1">
      <alignment horizontal="center" wrapText="1"/>
    </xf>
    <xf numFmtId="191" fontId="8" fillId="0" borderId="16" xfId="64" applyNumberFormat="1" applyFont="1" applyFill="1" applyBorder="1" applyAlignment="1" applyProtection="1">
      <alignment/>
      <protection hidden="1"/>
    </xf>
    <xf numFmtId="179" fontId="8" fillId="0" borderId="16" xfId="64" applyNumberFormat="1" applyFont="1" applyFill="1" applyBorder="1" applyAlignment="1" applyProtection="1">
      <alignment wrapText="1"/>
      <protection hidden="1"/>
    </xf>
    <xf numFmtId="179" fontId="8" fillId="0" borderId="16" xfId="64" applyNumberFormat="1" applyFont="1" applyFill="1" applyBorder="1" applyAlignment="1" applyProtection="1">
      <alignment/>
      <protection hidden="1"/>
    </xf>
    <xf numFmtId="49" fontId="8" fillId="0" borderId="16" xfId="64" applyNumberFormat="1" applyFont="1" applyFill="1" applyBorder="1" applyAlignment="1" applyProtection="1">
      <alignment horizontal="center" vertical="center"/>
      <protection hidden="1"/>
    </xf>
    <xf numFmtId="177" fontId="8" fillId="0" borderId="16" xfId="64" applyNumberFormat="1" applyFont="1" applyFill="1" applyBorder="1" applyAlignment="1" applyProtection="1">
      <alignment/>
      <protection hidden="1"/>
    </xf>
    <xf numFmtId="177" fontId="8" fillId="0" borderId="16" xfId="64" applyNumberFormat="1" applyFont="1" applyFill="1" applyBorder="1" applyAlignment="1" applyProtection="1">
      <alignment wrapText="1"/>
      <protection hidden="1"/>
    </xf>
    <xf numFmtId="0" fontId="43" fillId="0" borderId="16" xfId="0" applyFont="1" applyFill="1" applyBorder="1" applyAlignment="1">
      <alignment horizontal="center" wrapText="1"/>
    </xf>
    <xf numFmtId="4" fontId="43" fillId="44" borderId="16" xfId="0" applyNumberFormat="1" applyFont="1" applyFill="1" applyBorder="1" applyAlignment="1">
      <alignment horizontal="center" wrapText="1"/>
    </xf>
    <xf numFmtId="4" fontId="43" fillId="0" borderId="16" xfId="0" applyNumberFormat="1" applyFont="1" applyFill="1" applyBorder="1" applyAlignment="1">
      <alignment horizontal="center" wrapText="1"/>
    </xf>
    <xf numFmtId="191" fontId="8" fillId="0" borderId="68" xfId="64" applyNumberFormat="1" applyFont="1" applyFill="1" applyBorder="1" applyAlignment="1" applyProtection="1">
      <alignment/>
      <protection hidden="1"/>
    </xf>
    <xf numFmtId="179" fontId="8" fillId="0" borderId="68" xfId="64" applyNumberFormat="1" applyFont="1" applyFill="1" applyBorder="1" applyAlignment="1" applyProtection="1">
      <alignment wrapText="1"/>
      <protection hidden="1"/>
    </xf>
    <xf numFmtId="179" fontId="8" fillId="0" borderId="68" xfId="64" applyNumberFormat="1" applyFont="1" applyFill="1" applyBorder="1" applyAlignment="1" applyProtection="1">
      <alignment/>
      <protection hidden="1"/>
    </xf>
    <xf numFmtId="49" fontId="8" fillId="0" borderId="68" xfId="64" applyNumberFormat="1" applyFont="1" applyFill="1" applyBorder="1" applyAlignment="1" applyProtection="1">
      <alignment horizontal="center" vertical="center"/>
      <protection hidden="1"/>
    </xf>
    <xf numFmtId="177" fontId="8" fillId="0" borderId="68" xfId="64" applyNumberFormat="1" applyFont="1" applyFill="1" applyBorder="1" applyAlignment="1" applyProtection="1">
      <alignment/>
      <protection hidden="1"/>
    </xf>
    <xf numFmtId="177" fontId="8" fillId="0" borderId="68" xfId="64" applyNumberFormat="1" applyFont="1" applyFill="1" applyBorder="1" applyAlignment="1" applyProtection="1">
      <alignment wrapText="1"/>
      <protection hidden="1"/>
    </xf>
    <xf numFmtId="177" fontId="8" fillId="51" borderId="68" xfId="64" applyNumberFormat="1" applyFont="1" applyFill="1" applyBorder="1" applyAlignment="1" applyProtection="1">
      <alignment wrapText="1"/>
      <protection hidden="1"/>
    </xf>
    <xf numFmtId="0" fontId="43" fillId="0" borderId="32" xfId="0" applyFont="1" applyFill="1" applyBorder="1" applyAlignment="1">
      <alignment horizontal="center" wrapText="1"/>
    </xf>
    <xf numFmtId="4" fontId="43" fillId="44" borderId="69" xfId="0" applyNumberFormat="1" applyFont="1" applyFill="1" applyBorder="1" applyAlignment="1">
      <alignment horizontal="center" wrapText="1"/>
    </xf>
    <xf numFmtId="4" fontId="43" fillId="0" borderId="69" xfId="0" applyNumberFormat="1" applyFont="1" applyFill="1" applyBorder="1" applyAlignment="1">
      <alignment horizontal="center" wrapText="1"/>
    </xf>
    <xf numFmtId="0" fontId="43" fillId="0" borderId="38" xfId="0" applyFont="1" applyFill="1" applyBorder="1" applyAlignment="1">
      <alignment horizontal="center" wrapText="1"/>
    </xf>
    <xf numFmtId="4" fontId="43" fillId="44" borderId="30" xfId="0" applyNumberFormat="1" applyFont="1" applyFill="1" applyBorder="1" applyAlignment="1">
      <alignment horizontal="center" wrapText="1"/>
    </xf>
    <xf numFmtId="4" fontId="43" fillId="0" borderId="30" xfId="0" applyNumberFormat="1" applyFont="1" applyFill="1" applyBorder="1" applyAlignment="1">
      <alignment horizontal="center" wrapText="1"/>
    </xf>
    <xf numFmtId="0" fontId="41" fillId="0" borderId="45" xfId="64" applyFont="1" applyFill="1" applyBorder="1" applyProtection="1">
      <alignment/>
      <protection hidden="1"/>
    </xf>
    <xf numFmtId="185" fontId="17" fillId="0" borderId="65" xfId="64" applyNumberFormat="1" applyFont="1" applyFill="1" applyBorder="1" applyAlignment="1" applyProtection="1">
      <alignment wrapText="1"/>
      <protection hidden="1"/>
    </xf>
    <xf numFmtId="191" fontId="17" fillId="0" borderId="18" xfId="64" applyNumberFormat="1" applyFont="1" applyFill="1" applyBorder="1" applyAlignment="1" applyProtection="1">
      <alignment/>
      <protection hidden="1"/>
    </xf>
    <xf numFmtId="179" fontId="17" fillId="0" borderId="18" xfId="64" applyNumberFormat="1" applyFont="1" applyFill="1" applyBorder="1" applyAlignment="1" applyProtection="1">
      <alignment wrapText="1"/>
      <protection hidden="1"/>
    </xf>
    <xf numFmtId="177" fontId="17" fillId="0" borderId="18" xfId="64" applyNumberFormat="1" applyFont="1" applyFill="1" applyBorder="1" applyAlignment="1" applyProtection="1">
      <alignment/>
      <protection hidden="1"/>
    </xf>
    <xf numFmtId="177" fontId="17" fillId="0" borderId="18" xfId="64" applyNumberFormat="1" applyFont="1" applyFill="1" applyBorder="1" applyAlignment="1" applyProtection="1">
      <alignment wrapText="1"/>
      <protection hidden="1"/>
    </xf>
    <xf numFmtId="4" fontId="17" fillId="0" borderId="18" xfId="64" applyNumberFormat="1" applyFont="1" applyFill="1" applyBorder="1" applyAlignment="1" applyProtection="1">
      <alignment wrapText="1"/>
      <protection hidden="1"/>
    </xf>
    <xf numFmtId="177" fontId="8" fillId="0" borderId="18" xfId="64" applyNumberFormat="1" applyFont="1" applyFill="1" applyBorder="1" applyAlignment="1" applyProtection="1">
      <alignment wrapText="1"/>
      <protection hidden="1"/>
    </xf>
    <xf numFmtId="0" fontId="43" fillId="0" borderId="42" xfId="0" applyFont="1" applyFill="1" applyBorder="1" applyAlignment="1">
      <alignment horizontal="center" wrapText="1"/>
    </xf>
    <xf numFmtId="4" fontId="43" fillId="44" borderId="20" xfId="0" applyNumberFormat="1" applyFont="1" applyFill="1" applyBorder="1" applyAlignment="1">
      <alignment horizontal="center" wrapText="1"/>
    </xf>
    <xf numFmtId="4" fontId="5" fillId="0" borderId="20" xfId="0" applyNumberFormat="1" applyFont="1" applyFill="1" applyBorder="1" applyAlignment="1">
      <alignment horizontal="center" wrapText="1"/>
    </xf>
    <xf numFmtId="177" fontId="17" fillId="0" borderId="65" xfId="64" applyNumberFormat="1" applyFont="1" applyFill="1" applyBorder="1" applyAlignment="1" applyProtection="1">
      <alignment/>
      <protection hidden="1"/>
    </xf>
    <xf numFmtId="40" fontId="17" fillId="0" borderId="65" xfId="64" applyNumberFormat="1" applyFont="1" applyFill="1" applyBorder="1" applyAlignment="1" applyProtection="1">
      <alignment/>
      <protection hidden="1"/>
    </xf>
    <xf numFmtId="10" fontId="17" fillId="0" borderId="65" xfId="64" applyNumberFormat="1" applyFont="1" applyFill="1" applyBorder="1" applyAlignment="1" applyProtection="1">
      <alignment/>
      <protection hidden="1"/>
    </xf>
    <xf numFmtId="0" fontId="41" fillId="0" borderId="62" xfId="64" applyNumberFormat="1" applyFont="1" applyFill="1" applyBorder="1" applyAlignment="1" applyProtection="1">
      <alignment/>
      <protection hidden="1"/>
    </xf>
    <xf numFmtId="0" fontId="41" fillId="0" borderId="0" xfId="64" applyFont="1" applyFill="1" applyProtection="1">
      <alignment/>
      <protection hidden="1"/>
    </xf>
    <xf numFmtId="0" fontId="41" fillId="0" borderId="0" xfId="64" applyFont="1" applyFill="1" applyBorder="1">
      <alignment/>
      <protection/>
    </xf>
    <xf numFmtId="0" fontId="41" fillId="0" borderId="0" xfId="64" applyFont="1" applyFill="1">
      <alignment/>
      <protection/>
    </xf>
    <xf numFmtId="191" fontId="8" fillId="0" borderId="24" xfId="64" applyNumberFormat="1" applyFont="1" applyFill="1" applyBorder="1" applyAlignment="1" applyProtection="1">
      <alignment/>
      <protection hidden="1"/>
    </xf>
    <xf numFmtId="179" fontId="8" fillId="0" borderId="24" xfId="64" applyNumberFormat="1" applyFont="1" applyFill="1" applyBorder="1" applyAlignment="1" applyProtection="1">
      <alignment wrapText="1"/>
      <protection hidden="1"/>
    </xf>
    <xf numFmtId="179" fontId="8" fillId="0" borderId="24" xfId="64" applyNumberFormat="1" applyFont="1" applyFill="1" applyBorder="1" applyAlignment="1" applyProtection="1">
      <alignment/>
      <protection hidden="1"/>
    </xf>
    <xf numFmtId="49" fontId="8" fillId="0" borderId="24" xfId="64" applyNumberFormat="1" applyFont="1" applyFill="1" applyBorder="1" applyAlignment="1" applyProtection="1">
      <alignment horizontal="center" vertical="center"/>
      <protection hidden="1"/>
    </xf>
    <xf numFmtId="177" fontId="8" fillId="0" borderId="24" xfId="64" applyNumberFormat="1" applyFont="1" applyFill="1" applyBorder="1" applyAlignment="1" applyProtection="1">
      <alignment/>
      <protection hidden="1"/>
    </xf>
    <xf numFmtId="177" fontId="8" fillId="0" borderId="24" xfId="64" applyNumberFormat="1" applyFont="1" applyFill="1" applyBorder="1" applyAlignment="1" applyProtection="1">
      <alignment wrapText="1"/>
      <protection hidden="1"/>
    </xf>
    <xf numFmtId="4" fontId="8" fillId="0" borderId="24" xfId="64" applyNumberFormat="1" applyFont="1" applyFill="1" applyBorder="1" applyAlignment="1" applyProtection="1">
      <alignment wrapText="1"/>
      <protection hidden="1"/>
    </xf>
    <xf numFmtId="4" fontId="43" fillId="44" borderId="13" xfId="0" applyNumberFormat="1" applyFont="1" applyFill="1" applyBorder="1" applyAlignment="1">
      <alignment horizontal="center" wrapText="1"/>
    </xf>
    <xf numFmtId="4" fontId="43" fillId="0" borderId="13" xfId="0" applyNumberFormat="1" applyFont="1" applyFill="1" applyBorder="1" applyAlignment="1">
      <alignment horizontal="center" wrapText="1"/>
    </xf>
    <xf numFmtId="2" fontId="8" fillId="0" borderId="31" xfId="64" applyNumberFormat="1" applyFont="1" applyFill="1" applyBorder="1" applyAlignment="1" applyProtection="1">
      <alignment wrapText="1"/>
      <protection hidden="1"/>
    </xf>
    <xf numFmtId="177" fontId="8" fillId="0" borderId="31" xfId="64" applyNumberFormat="1" applyFont="1" applyFill="1" applyBorder="1" applyAlignment="1" applyProtection="1">
      <alignment/>
      <protection hidden="1"/>
    </xf>
    <xf numFmtId="192" fontId="8" fillId="0" borderId="39" xfId="64" applyNumberFormat="1" applyFont="1" applyFill="1" applyBorder="1" applyAlignment="1" applyProtection="1">
      <alignment/>
      <protection hidden="1"/>
    </xf>
    <xf numFmtId="40" fontId="8" fillId="50" borderId="39" xfId="64" applyNumberFormat="1" applyFont="1" applyFill="1" applyBorder="1" applyAlignment="1" applyProtection="1">
      <alignment/>
      <protection hidden="1"/>
    </xf>
    <xf numFmtId="185" fontId="8" fillId="9" borderId="26" xfId="64" applyNumberFormat="1" applyFont="1" applyFill="1" applyBorder="1" applyAlignment="1" applyProtection="1">
      <alignment wrapText="1"/>
      <protection hidden="1"/>
    </xf>
    <xf numFmtId="191" fontId="8" fillId="9" borderId="39" xfId="64" applyNumberFormat="1" applyFont="1" applyFill="1" applyBorder="1" applyAlignment="1" applyProtection="1">
      <alignment/>
      <protection hidden="1"/>
    </xf>
    <xf numFmtId="179" fontId="8" fillId="9" borderId="39" xfId="64" applyNumberFormat="1" applyFont="1" applyFill="1" applyBorder="1" applyAlignment="1" applyProtection="1">
      <alignment wrapText="1"/>
      <protection hidden="1"/>
    </xf>
    <xf numFmtId="192" fontId="8" fillId="9" borderId="39" xfId="64" applyNumberFormat="1" applyFont="1" applyFill="1" applyBorder="1" applyAlignment="1" applyProtection="1">
      <alignment/>
      <protection hidden="1"/>
    </xf>
    <xf numFmtId="179" fontId="8" fillId="9" borderId="39" xfId="64" applyNumberFormat="1" applyFont="1" applyFill="1" applyBorder="1" applyAlignment="1" applyProtection="1">
      <alignment/>
      <protection hidden="1"/>
    </xf>
    <xf numFmtId="49" fontId="8" fillId="9" borderId="39" xfId="64" applyNumberFormat="1" applyFont="1" applyFill="1" applyBorder="1" applyAlignment="1" applyProtection="1">
      <alignment horizontal="center" vertical="center"/>
      <protection hidden="1"/>
    </xf>
    <xf numFmtId="177" fontId="8" fillId="9" borderId="39" xfId="64" applyNumberFormat="1" applyFont="1" applyFill="1" applyBorder="1" applyAlignment="1" applyProtection="1">
      <alignment/>
      <protection hidden="1"/>
    </xf>
    <xf numFmtId="177" fontId="8" fillId="9" borderId="39" xfId="64" applyNumberFormat="1" applyFont="1" applyFill="1" applyBorder="1" applyAlignment="1" applyProtection="1">
      <alignment wrapText="1"/>
      <protection hidden="1"/>
    </xf>
    <xf numFmtId="4" fontId="8" fillId="9" borderId="31" xfId="64" applyNumberFormat="1" applyFont="1" applyFill="1" applyBorder="1" applyAlignment="1" applyProtection="1">
      <alignment wrapText="1"/>
      <protection hidden="1"/>
    </xf>
    <xf numFmtId="40" fontId="8" fillId="9" borderId="39" xfId="64" applyNumberFormat="1" applyFont="1" applyFill="1" applyBorder="1" applyAlignment="1" applyProtection="1">
      <alignment/>
      <protection hidden="1"/>
    </xf>
    <xf numFmtId="177" fontId="16" fillId="0" borderId="39" xfId="64" applyNumberFormat="1" applyFont="1" applyFill="1" applyBorder="1" applyAlignment="1" applyProtection="1">
      <alignment/>
      <protection hidden="1"/>
    </xf>
    <xf numFmtId="40" fontId="16" fillId="0" borderId="30" xfId="64" applyNumberFormat="1" applyFont="1" applyFill="1" applyBorder="1" applyAlignment="1" applyProtection="1">
      <alignment/>
      <protection hidden="1"/>
    </xf>
    <xf numFmtId="177" fontId="16" fillId="0" borderId="30" xfId="64" applyNumberFormat="1" applyFont="1" applyFill="1" applyBorder="1" applyAlignment="1" applyProtection="1">
      <alignment/>
      <protection hidden="1"/>
    </xf>
    <xf numFmtId="4" fontId="16" fillId="44" borderId="30" xfId="64" applyNumberFormat="1" applyFont="1" applyFill="1" applyBorder="1" applyAlignment="1" applyProtection="1">
      <alignment/>
      <protection hidden="1"/>
    </xf>
    <xf numFmtId="4" fontId="16" fillId="0" borderId="30" xfId="64" applyNumberFormat="1" applyFont="1" applyFill="1" applyBorder="1" applyAlignment="1" applyProtection="1">
      <alignment/>
      <protection hidden="1"/>
    </xf>
    <xf numFmtId="185" fontId="16" fillId="49" borderId="0" xfId="64" applyNumberFormat="1" applyFont="1" applyFill="1" applyBorder="1" applyAlignment="1" applyProtection="1">
      <alignment horizontal="center" wrapText="1"/>
      <protection hidden="1"/>
    </xf>
    <xf numFmtId="4" fontId="16" fillId="44" borderId="0" xfId="64" applyNumberFormat="1" applyFont="1" applyFill="1" applyBorder="1" applyAlignment="1" applyProtection="1">
      <alignment horizontal="center" wrapText="1"/>
      <protection hidden="1"/>
    </xf>
    <xf numFmtId="4" fontId="16" fillId="49" borderId="0" xfId="64" applyNumberFormat="1" applyFont="1" applyFill="1" applyBorder="1" applyAlignment="1" applyProtection="1">
      <alignment horizontal="center" wrapText="1"/>
      <protection hidden="1"/>
    </xf>
    <xf numFmtId="177" fontId="17" fillId="0" borderId="31" xfId="64" applyNumberFormat="1" applyFont="1" applyFill="1" applyBorder="1" applyAlignment="1" applyProtection="1">
      <alignment/>
      <protection hidden="1"/>
    </xf>
    <xf numFmtId="0" fontId="17" fillId="49" borderId="31" xfId="64" applyFont="1" applyFill="1" applyBorder="1">
      <alignment/>
      <protection/>
    </xf>
    <xf numFmtId="0" fontId="17" fillId="49" borderId="31" xfId="64" applyNumberFormat="1" applyFont="1" applyFill="1" applyBorder="1" applyAlignment="1" applyProtection="1">
      <alignment horizontal="center" vertical="center"/>
      <protection hidden="1"/>
    </xf>
    <xf numFmtId="49" fontId="17" fillId="49" borderId="31" xfId="64" applyNumberFormat="1" applyFont="1" applyFill="1" applyBorder="1" applyAlignment="1" applyProtection="1">
      <alignment horizontal="center" vertical="center"/>
      <protection hidden="1"/>
    </xf>
    <xf numFmtId="0" fontId="17" fillId="49" borderId="31" xfId="64" applyNumberFormat="1" applyFont="1" applyFill="1" applyBorder="1" applyAlignment="1" applyProtection="1">
      <alignment horizontal="center"/>
      <protection hidden="1"/>
    </xf>
    <xf numFmtId="0" fontId="15" fillId="49" borderId="31" xfId="64" applyNumberFormat="1" applyFont="1" applyFill="1" applyBorder="1" applyAlignment="1" applyProtection="1">
      <alignment horizontal="centerContinuous"/>
      <protection hidden="1"/>
    </xf>
    <xf numFmtId="4" fontId="15" fillId="49" borderId="31" xfId="64" applyNumberFormat="1" applyFont="1" applyFill="1" applyBorder="1" applyAlignment="1" applyProtection="1">
      <alignment horizontal="centerContinuous"/>
      <protection hidden="1"/>
    </xf>
    <xf numFmtId="1" fontId="17" fillId="49" borderId="31" xfId="64" applyNumberFormat="1" applyFont="1" applyFill="1" applyBorder="1" applyAlignment="1" applyProtection="1">
      <alignment horizontal="center" vertical="center"/>
      <protection hidden="1"/>
    </xf>
    <xf numFmtId="177" fontId="16" fillId="49" borderId="31" xfId="64" applyNumberFormat="1" applyFont="1" applyFill="1" applyBorder="1" applyAlignment="1" applyProtection="1">
      <alignment wrapText="1"/>
      <protection hidden="1"/>
    </xf>
    <xf numFmtId="4" fontId="17" fillId="44" borderId="31" xfId="64" applyNumberFormat="1" applyFont="1" applyFill="1" applyBorder="1" applyAlignment="1" applyProtection="1">
      <alignment horizontal="center" vertical="center"/>
      <protection hidden="1"/>
    </xf>
    <xf numFmtId="4" fontId="17" fillId="49" borderId="31" xfId="64" applyNumberFormat="1" applyFont="1" applyFill="1" applyBorder="1" applyAlignment="1" applyProtection="1">
      <alignment horizontal="center" vertical="center"/>
      <protection hidden="1"/>
    </xf>
    <xf numFmtId="1" fontId="16" fillId="0" borderId="39" xfId="64" applyNumberFormat="1" applyFont="1" applyFill="1" applyBorder="1" applyAlignment="1" applyProtection="1">
      <alignment wrapText="1"/>
      <protection hidden="1"/>
    </xf>
    <xf numFmtId="1" fontId="8" fillId="0" borderId="39" xfId="64" applyNumberFormat="1" applyFont="1" applyFill="1" applyBorder="1" applyAlignment="1" applyProtection="1">
      <alignment wrapText="1"/>
      <protection hidden="1"/>
    </xf>
    <xf numFmtId="185" fontId="8" fillId="0" borderId="39" xfId="64" applyNumberFormat="1" applyFont="1" applyFill="1" applyBorder="1" applyAlignment="1" applyProtection="1">
      <alignment wrapText="1"/>
      <protection hidden="1"/>
    </xf>
    <xf numFmtId="4" fontId="8" fillId="41" borderId="39" xfId="64" applyNumberFormat="1" applyFont="1" applyFill="1" applyBorder="1" applyAlignment="1" applyProtection="1">
      <alignment wrapText="1"/>
      <protection hidden="1"/>
    </xf>
    <xf numFmtId="4" fontId="8" fillId="44" borderId="39" xfId="64" applyNumberFormat="1" applyFont="1" applyFill="1" applyBorder="1" applyAlignment="1" applyProtection="1">
      <alignment wrapText="1"/>
      <protection hidden="1"/>
    </xf>
    <xf numFmtId="185" fontId="16" fillId="0" borderId="39" xfId="64" applyNumberFormat="1" applyFont="1" applyFill="1" applyBorder="1" applyAlignment="1" applyProtection="1">
      <alignment wrapText="1"/>
      <protection hidden="1"/>
    </xf>
    <xf numFmtId="185" fontId="8" fillId="0" borderId="31" xfId="64" applyNumberFormat="1" applyFont="1" applyFill="1" applyBorder="1" applyAlignment="1" applyProtection="1">
      <alignment wrapText="1"/>
      <protection hidden="1"/>
    </xf>
    <xf numFmtId="40" fontId="8" fillId="41" borderId="39" xfId="64" applyNumberFormat="1" applyFont="1" applyFill="1" applyBorder="1" applyAlignment="1" applyProtection="1">
      <alignment/>
      <protection hidden="1"/>
    </xf>
    <xf numFmtId="177" fontId="8" fillId="51" borderId="39" xfId="64" applyNumberFormat="1" applyFont="1" applyFill="1" applyBorder="1" applyAlignment="1" applyProtection="1">
      <alignment/>
      <protection hidden="1"/>
    </xf>
    <xf numFmtId="177" fontId="16" fillId="41" borderId="39" xfId="64" applyNumberFormat="1" applyFont="1" applyFill="1" applyBorder="1" applyAlignment="1" applyProtection="1">
      <alignment/>
      <protection hidden="1"/>
    </xf>
    <xf numFmtId="4" fontId="16" fillId="8" borderId="30" xfId="64" applyNumberFormat="1" applyFont="1" applyFill="1" applyBorder="1" applyAlignment="1" applyProtection="1">
      <alignment/>
      <protection hidden="1"/>
    </xf>
    <xf numFmtId="0" fontId="15" fillId="39" borderId="0" xfId="64" applyFill="1" applyProtection="1">
      <alignment/>
      <protection hidden="1"/>
    </xf>
    <xf numFmtId="0" fontId="15" fillId="39" borderId="0" xfId="64" applyNumberFormat="1" applyFont="1" applyFill="1" applyBorder="1" applyAlignment="1" applyProtection="1">
      <alignment horizontal="centerContinuous"/>
      <protection hidden="1"/>
    </xf>
    <xf numFmtId="0" fontId="41" fillId="39" borderId="39" xfId="64" applyFont="1" applyFill="1" applyBorder="1">
      <alignment/>
      <protection/>
    </xf>
    <xf numFmtId="0" fontId="17" fillId="39" borderId="39" xfId="64" applyNumberFormat="1" applyFont="1" applyFill="1" applyBorder="1" applyAlignment="1" applyProtection="1">
      <alignment horizontal="center" vertical="center"/>
      <protection hidden="1"/>
    </xf>
    <xf numFmtId="49" fontId="17" fillId="39" borderId="39" xfId="64" applyNumberFormat="1" applyFont="1" applyFill="1" applyBorder="1" applyAlignment="1" applyProtection="1">
      <alignment horizontal="center" vertical="center"/>
      <protection hidden="1"/>
    </xf>
    <xf numFmtId="0" fontId="17" fillId="39" borderId="39" xfId="64" applyNumberFormat="1" applyFont="1" applyFill="1" applyBorder="1" applyAlignment="1" applyProtection="1">
      <alignment horizontal="center"/>
      <protection hidden="1"/>
    </xf>
    <xf numFmtId="0" fontId="15" fillId="39" borderId="39" xfId="64" applyNumberFormat="1" applyFont="1" applyFill="1" applyBorder="1" applyAlignment="1" applyProtection="1">
      <alignment horizontal="centerContinuous"/>
      <protection hidden="1"/>
    </xf>
    <xf numFmtId="4" fontId="15" fillId="39" borderId="39" xfId="64" applyNumberFormat="1" applyFont="1" applyFill="1" applyBorder="1" applyAlignment="1" applyProtection="1">
      <alignment horizontal="centerContinuous"/>
      <protection hidden="1"/>
    </xf>
    <xf numFmtId="1" fontId="17" fillId="39" borderId="39" xfId="64" applyNumberFormat="1" applyFont="1" applyFill="1" applyBorder="1" applyAlignment="1" applyProtection="1">
      <alignment horizontal="center" vertical="center"/>
      <protection hidden="1"/>
    </xf>
    <xf numFmtId="177" fontId="16" fillId="39" borderId="39" xfId="64" applyNumberFormat="1" applyFont="1" applyFill="1" applyBorder="1" applyAlignment="1" applyProtection="1">
      <alignment wrapText="1"/>
      <protection hidden="1"/>
    </xf>
    <xf numFmtId="4" fontId="17" fillId="39" borderId="39" xfId="64" applyNumberFormat="1" applyFont="1" applyFill="1" applyBorder="1" applyAlignment="1" applyProtection="1">
      <alignment horizontal="center" vertical="center"/>
      <protection hidden="1"/>
    </xf>
    <xf numFmtId="0" fontId="17" fillId="39" borderId="0" xfId="64" applyNumberFormat="1" applyFont="1" applyFill="1" applyBorder="1" applyAlignment="1" applyProtection="1">
      <alignment/>
      <protection hidden="1"/>
    </xf>
    <xf numFmtId="0" fontId="17" fillId="39" borderId="0" xfId="64" applyNumberFormat="1" applyFont="1" applyFill="1" applyBorder="1" applyAlignment="1" applyProtection="1">
      <alignment horizontal="center"/>
      <protection hidden="1"/>
    </xf>
    <xf numFmtId="0" fontId="15" fillId="39" borderId="0" xfId="64" applyNumberFormat="1" applyFont="1" applyFill="1" applyAlignment="1" applyProtection="1">
      <alignment/>
      <protection hidden="1"/>
    </xf>
    <xf numFmtId="0" fontId="15" fillId="39" borderId="0" xfId="64" applyFill="1" applyBorder="1">
      <alignment/>
      <protection/>
    </xf>
    <xf numFmtId="0" fontId="15" fillId="39" borderId="0" xfId="64" applyFill="1">
      <alignment/>
      <protection/>
    </xf>
    <xf numFmtId="0" fontId="17" fillId="52" borderId="31" xfId="64" applyNumberFormat="1" applyFont="1" applyFill="1" applyBorder="1" applyAlignment="1" applyProtection="1">
      <alignment horizontal="center" vertical="center"/>
      <protection hidden="1"/>
    </xf>
    <xf numFmtId="4" fontId="17" fillId="19" borderId="31" xfId="64" applyNumberFormat="1" applyFont="1" applyFill="1" applyBorder="1" applyAlignment="1" applyProtection="1">
      <alignment horizontal="center" vertical="center"/>
      <protection hidden="1"/>
    </xf>
    <xf numFmtId="4" fontId="17" fillId="0" borderId="31" xfId="64" applyNumberFormat="1" applyFont="1" applyFill="1" applyBorder="1" applyAlignment="1" applyProtection="1">
      <alignment horizontal="center" vertical="center"/>
      <protection hidden="1"/>
    </xf>
    <xf numFmtId="4" fontId="17" fillId="10" borderId="31" xfId="64" applyNumberFormat="1" applyFont="1" applyFill="1" applyBorder="1" applyAlignment="1" applyProtection="1">
      <alignment horizontal="center" vertical="center"/>
      <protection hidden="1"/>
    </xf>
    <xf numFmtId="0" fontId="17" fillId="53" borderId="31" xfId="64" applyNumberFormat="1" applyFont="1" applyFill="1" applyBorder="1" applyAlignment="1" applyProtection="1">
      <alignment horizontal="center" vertical="center"/>
      <protection hidden="1"/>
    </xf>
    <xf numFmtId="0" fontId="17" fillId="0" borderId="31" xfId="64" applyNumberFormat="1" applyFont="1" applyFill="1" applyBorder="1" applyAlignment="1" applyProtection="1">
      <alignment horizontal="center" vertical="center"/>
      <protection hidden="1"/>
    </xf>
    <xf numFmtId="0" fontId="15" fillId="11" borderId="45" xfId="64" applyFill="1" applyBorder="1" applyProtection="1">
      <alignment/>
      <protection hidden="1"/>
    </xf>
    <xf numFmtId="185" fontId="8" fillId="11" borderId="65" xfId="64" applyNumberFormat="1" applyFont="1" applyFill="1" applyBorder="1" applyAlignment="1" applyProtection="1">
      <alignment wrapText="1"/>
      <protection hidden="1"/>
    </xf>
    <xf numFmtId="185" fontId="16" fillId="11" borderId="65" xfId="64" applyNumberFormat="1" applyFont="1" applyFill="1" applyBorder="1" applyAlignment="1" applyProtection="1">
      <alignment wrapText="1"/>
      <protection hidden="1"/>
    </xf>
    <xf numFmtId="185" fontId="8" fillId="11" borderId="26" xfId="64" applyNumberFormat="1" applyFont="1" applyFill="1" applyBorder="1" applyAlignment="1" applyProtection="1">
      <alignment wrapText="1"/>
      <protection hidden="1"/>
    </xf>
    <xf numFmtId="191" fontId="8" fillId="11" borderId="39" xfId="64" applyNumberFormat="1" applyFont="1" applyFill="1" applyBorder="1" applyAlignment="1" applyProtection="1">
      <alignment/>
      <protection hidden="1"/>
    </xf>
    <xf numFmtId="179" fontId="8" fillId="11" borderId="39" xfId="64" applyNumberFormat="1" applyFont="1" applyFill="1" applyBorder="1" applyAlignment="1" applyProtection="1">
      <alignment wrapText="1"/>
      <protection hidden="1"/>
    </xf>
    <xf numFmtId="192" fontId="8" fillId="11" borderId="24" xfId="64" applyNumberFormat="1" applyFont="1" applyFill="1" applyBorder="1" applyAlignment="1" applyProtection="1">
      <alignment/>
      <protection hidden="1"/>
    </xf>
    <xf numFmtId="179" fontId="8" fillId="11" borderId="39" xfId="64" applyNumberFormat="1" applyFont="1" applyFill="1" applyBorder="1" applyAlignment="1" applyProtection="1">
      <alignment horizontal="center"/>
      <protection hidden="1"/>
    </xf>
    <xf numFmtId="179" fontId="8" fillId="11" borderId="39" xfId="64" applyNumberFormat="1" applyFont="1" applyFill="1" applyBorder="1" applyAlignment="1" applyProtection="1">
      <alignment/>
      <protection hidden="1"/>
    </xf>
    <xf numFmtId="189" fontId="8" fillId="11" borderId="39" xfId="64" applyNumberFormat="1" applyFont="1" applyFill="1" applyBorder="1" applyAlignment="1" applyProtection="1">
      <alignment/>
      <protection hidden="1"/>
    </xf>
    <xf numFmtId="177" fontId="8" fillId="11" borderId="39" xfId="64" applyNumberFormat="1" applyFont="1" applyFill="1" applyBorder="1" applyAlignment="1" applyProtection="1">
      <alignment/>
      <protection hidden="1"/>
    </xf>
    <xf numFmtId="177" fontId="8" fillId="11" borderId="39" xfId="64" applyNumberFormat="1" applyFont="1" applyFill="1" applyBorder="1" applyAlignment="1" applyProtection="1">
      <alignment wrapText="1"/>
      <protection hidden="1"/>
    </xf>
    <xf numFmtId="4" fontId="8" fillId="11" borderId="39" xfId="64" applyNumberFormat="1" applyFont="1" applyFill="1" applyBorder="1" applyAlignment="1" applyProtection="1">
      <alignment wrapText="1"/>
      <protection hidden="1"/>
    </xf>
    <xf numFmtId="40" fontId="8" fillId="11" borderId="39" xfId="64" applyNumberFormat="1" applyFont="1" applyFill="1" applyBorder="1" applyAlignment="1" applyProtection="1">
      <alignment/>
      <protection hidden="1"/>
    </xf>
    <xf numFmtId="4" fontId="17" fillId="11" borderId="39" xfId="64" applyNumberFormat="1" applyFont="1" applyFill="1" applyBorder="1" applyAlignment="1" applyProtection="1">
      <alignment/>
      <protection hidden="1"/>
    </xf>
    <xf numFmtId="4" fontId="8" fillId="11" borderId="39" xfId="64" applyNumberFormat="1" applyFont="1" applyFill="1" applyBorder="1" applyAlignment="1" applyProtection="1">
      <alignment/>
      <protection hidden="1"/>
    </xf>
    <xf numFmtId="177" fontId="8" fillId="11" borderId="65" xfId="64" applyNumberFormat="1" applyFont="1" applyFill="1" applyBorder="1" applyAlignment="1" applyProtection="1">
      <alignment/>
      <protection hidden="1"/>
    </xf>
    <xf numFmtId="40" fontId="8" fillId="11" borderId="65" xfId="64" applyNumberFormat="1" applyFont="1" applyFill="1" applyBorder="1" applyAlignment="1" applyProtection="1">
      <alignment/>
      <protection hidden="1"/>
    </xf>
    <xf numFmtId="10" fontId="8" fillId="11" borderId="65" xfId="64" applyNumberFormat="1" applyFont="1" applyFill="1" applyBorder="1" applyAlignment="1" applyProtection="1">
      <alignment/>
      <protection hidden="1"/>
    </xf>
    <xf numFmtId="0" fontId="15" fillId="11" borderId="62" xfId="64" applyNumberFormat="1" applyFont="1" applyFill="1" applyBorder="1" applyAlignment="1" applyProtection="1">
      <alignment/>
      <protection hidden="1"/>
    </xf>
    <xf numFmtId="0" fontId="15" fillId="11" borderId="0" xfId="64" applyFill="1" applyProtection="1">
      <alignment/>
      <protection hidden="1"/>
    </xf>
    <xf numFmtId="0" fontId="15" fillId="11" borderId="0" xfId="64" applyFill="1" applyBorder="1">
      <alignment/>
      <protection/>
    </xf>
    <xf numFmtId="0" fontId="15" fillId="11" borderId="0" xfId="64" applyFill="1">
      <alignment/>
      <protection/>
    </xf>
    <xf numFmtId="189" fontId="8" fillId="0" borderId="39" xfId="64" applyNumberFormat="1" applyFont="1" applyFill="1" applyBorder="1" applyAlignment="1" applyProtection="1">
      <alignment/>
      <protection hidden="1"/>
    </xf>
    <xf numFmtId="4" fontId="17" fillId="0" borderId="31" xfId="64" applyNumberFormat="1" applyFont="1" applyFill="1" applyBorder="1" applyAlignment="1" applyProtection="1">
      <alignment wrapText="1"/>
      <protection hidden="1"/>
    </xf>
    <xf numFmtId="177" fontId="8" fillId="44" borderId="39" xfId="64" applyNumberFormat="1" applyFont="1" applyFill="1" applyBorder="1" applyAlignment="1" applyProtection="1">
      <alignment wrapText="1"/>
      <protection hidden="1"/>
    </xf>
    <xf numFmtId="4" fontId="6" fillId="0" borderId="0" xfId="0" applyNumberFormat="1" applyFont="1" applyAlignment="1">
      <alignment horizontal="center"/>
    </xf>
    <xf numFmtId="10" fontId="15" fillId="0" borderId="0" xfId="64" applyNumberFormat="1" applyFill="1" applyBorder="1">
      <alignment/>
      <protection/>
    </xf>
    <xf numFmtId="4" fontId="8" fillId="0" borderId="39" xfId="0" applyNumberFormat="1" applyFont="1" applyFill="1" applyBorder="1" applyAlignment="1">
      <alignment/>
    </xf>
    <xf numFmtId="9" fontId="15" fillId="0" borderId="0" xfId="64" applyNumberFormat="1" applyFill="1" applyBorder="1">
      <alignment/>
      <protection/>
    </xf>
    <xf numFmtId="185" fontId="8" fillId="0" borderId="66" xfId="64" applyNumberFormat="1" applyFont="1" applyFill="1" applyBorder="1" applyAlignment="1" applyProtection="1">
      <alignment wrapText="1"/>
      <protection hidden="1"/>
    </xf>
    <xf numFmtId="191" fontId="8" fillId="0" borderId="17" xfId="64" applyNumberFormat="1" applyFont="1" applyFill="1" applyBorder="1" applyAlignment="1" applyProtection="1">
      <alignment/>
      <protection hidden="1"/>
    </xf>
    <xf numFmtId="179" fontId="8" fillId="0" borderId="17" xfId="64" applyNumberFormat="1" applyFont="1" applyFill="1" applyBorder="1" applyAlignment="1" applyProtection="1">
      <alignment wrapText="1"/>
      <protection hidden="1"/>
    </xf>
    <xf numFmtId="179" fontId="8" fillId="0" borderId="17" xfId="64" applyNumberFormat="1" applyFont="1" applyFill="1" applyBorder="1" applyAlignment="1" applyProtection="1">
      <alignment/>
      <protection hidden="1"/>
    </xf>
    <xf numFmtId="189" fontId="8" fillId="0" borderId="17" xfId="64" applyNumberFormat="1" applyFont="1" applyFill="1" applyBorder="1" applyAlignment="1" applyProtection="1">
      <alignment/>
      <protection hidden="1"/>
    </xf>
    <xf numFmtId="177" fontId="8" fillId="0" borderId="30" xfId="64" applyNumberFormat="1" applyFont="1" applyFill="1" applyBorder="1" applyAlignment="1" applyProtection="1">
      <alignment wrapText="1"/>
      <protection hidden="1"/>
    </xf>
    <xf numFmtId="40" fontId="8" fillId="0" borderId="30" xfId="64" applyNumberFormat="1" applyFont="1" applyFill="1" applyBorder="1" applyAlignment="1" applyProtection="1">
      <alignment/>
      <protection hidden="1"/>
    </xf>
    <xf numFmtId="177" fontId="8" fillId="0" borderId="30" xfId="64" applyNumberFormat="1" applyFont="1" applyFill="1" applyBorder="1" applyAlignment="1" applyProtection="1">
      <alignment/>
      <protection hidden="1"/>
    </xf>
    <xf numFmtId="4" fontId="8" fillId="44" borderId="30" xfId="64" applyNumberFormat="1" applyFont="1" applyFill="1" applyBorder="1" applyAlignment="1" applyProtection="1">
      <alignment/>
      <protection hidden="1"/>
    </xf>
    <xf numFmtId="4" fontId="8" fillId="0" borderId="30" xfId="64" applyNumberFormat="1" applyFont="1" applyFill="1" applyBorder="1" applyAlignment="1" applyProtection="1">
      <alignment/>
      <protection hidden="1"/>
    </xf>
    <xf numFmtId="0" fontId="44" fillId="0" borderId="45" xfId="64" applyFont="1" applyFill="1" applyBorder="1" applyProtection="1">
      <alignment/>
      <protection hidden="1"/>
    </xf>
    <xf numFmtId="191" fontId="16" fillId="0" borderId="39" xfId="64" applyNumberFormat="1" applyFont="1" applyFill="1" applyBorder="1" applyAlignment="1" applyProtection="1">
      <alignment/>
      <protection hidden="1"/>
    </xf>
    <xf numFmtId="179" fontId="16" fillId="0" borderId="39" xfId="64" applyNumberFormat="1" applyFont="1" applyFill="1" applyBorder="1" applyAlignment="1" applyProtection="1">
      <alignment wrapText="1"/>
      <protection hidden="1"/>
    </xf>
    <xf numFmtId="179" fontId="16" fillId="0" borderId="39" xfId="64" applyNumberFormat="1" applyFont="1" applyFill="1" applyBorder="1" applyAlignment="1" applyProtection="1">
      <alignment/>
      <protection hidden="1"/>
    </xf>
    <xf numFmtId="189" fontId="16" fillId="0" borderId="39" xfId="64" applyNumberFormat="1" applyFont="1" applyFill="1" applyBorder="1" applyAlignment="1" applyProtection="1">
      <alignment/>
      <protection hidden="1"/>
    </xf>
    <xf numFmtId="40" fontId="16" fillId="0" borderId="39" xfId="64" applyNumberFormat="1" applyFont="1" applyFill="1" applyBorder="1" applyAlignment="1" applyProtection="1">
      <alignment/>
      <protection hidden="1"/>
    </xf>
    <xf numFmtId="4" fontId="16" fillId="44" borderId="39" xfId="64" applyNumberFormat="1" applyFont="1" applyFill="1" applyBorder="1" applyAlignment="1" applyProtection="1">
      <alignment/>
      <protection hidden="1"/>
    </xf>
    <xf numFmtId="4" fontId="16" fillId="0" borderId="39" xfId="64" applyNumberFormat="1" applyFont="1" applyFill="1" applyBorder="1" applyAlignment="1" applyProtection="1">
      <alignment/>
      <protection hidden="1"/>
    </xf>
    <xf numFmtId="177" fontId="16" fillId="0" borderId="65" xfId="64" applyNumberFormat="1" applyFont="1" applyFill="1" applyBorder="1" applyAlignment="1" applyProtection="1">
      <alignment/>
      <protection hidden="1"/>
    </xf>
    <xf numFmtId="40" fontId="16" fillId="0" borderId="65" xfId="64" applyNumberFormat="1" applyFont="1" applyFill="1" applyBorder="1" applyAlignment="1" applyProtection="1">
      <alignment/>
      <protection hidden="1"/>
    </xf>
    <xf numFmtId="10" fontId="16" fillId="0" borderId="65" xfId="64" applyNumberFormat="1" applyFont="1" applyFill="1" applyBorder="1" applyAlignment="1" applyProtection="1">
      <alignment/>
      <protection hidden="1"/>
    </xf>
    <xf numFmtId="0" fontId="44" fillId="0" borderId="62" xfId="64" applyNumberFormat="1" applyFont="1" applyFill="1" applyBorder="1" applyAlignment="1" applyProtection="1">
      <alignment/>
      <protection hidden="1"/>
    </xf>
    <xf numFmtId="0" fontId="44" fillId="0" borderId="0" xfId="64" applyFont="1" applyFill="1" applyProtection="1">
      <alignment/>
      <protection hidden="1"/>
    </xf>
    <xf numFmtId="0" fontId="44" fillId="0" borderId="0" xfId="64" applyFont="1" applyFill="1" applyBorder="1">
      <alignment/>
      <protection/>
    </xf>
    <xf numFmtId="0" fontId="44" fillId="0" borderId="0" xfId="64" applyFont="1" applyFill="1">
      <alignment/>
      <protection/>
    </xf>
    <xf numFmtId="0" fontId="15" fillId="0" borderId="45" xfId="64" applyFont="1" applyFill="1" applyBorder="1" applyProtection="1">
      <alignment/>
      <protection hidden="1"/>
    </xf>
    <xf numFmtId="185" fontId="16" fillId="0" borderId="26" xfId="64" applyNumberFormat="1" applyFont="1" applyFill="1" applyBorder="1" applyAlignment="1" applyProtection="1">
      <alignment wrapText="1"/>
      <protection hidden="1"/>
    </xf>
    <xf numFmtId="40" fontId="16" fillId="44" borderId="39" xfId="64" applyNumberFormat="1" applyFont="1" applyFill="1" applyBorder="1" applyAlignment="1" applyProtection="1">
      <alignment/>
      <protection hidden="1"/>
    </xf>
    <xf numFmtId="185" fontId="8" fillId="51" borderId="65" xfId="64" applyNumberFormat="1" applyFont="1" applyFill="1" applyBorder="1" applyAlignment="1" applyProtection="1">
      <alignment wrapText="1"/>
      <protection hidden="1"/>
    </xf>
    <xf numFmtId="185" fontId="16" fillId="51" borderId="65" xfId="64" applyNumberFormat="1" applyFont="1" applyFill="1" applyBorder="1" applyAlignment="1" applyProtection="1">
      <alignment wrapText="1"/>
      <protection hidden="1"/>
    </xf>
    <xf numFmtId="185" fontId="8" fillId="51" borderId="26" xfId="64" applyNumberFormat="1" applyFont="1" applyFill="1" applyBorder="1" applyAlignment="1" applyProtection="1">
      <alignment wrapText="1"/>
      <protection hidden="1"/>
    </xf>
    <xf numFmtId="191" fontId="8" fillId="51" borderId="39" xfId="64" applyNumberFormat="1" applyFont="1" applyFill="1" applyBorder="1" applyAlignment="1" applyProtection="1">
      <alignment/>
      <protection hidden="1"/>
    </xf>
    <xf numFmtId="179" fontId="8" fillId="51" borderId="39" xfId="64" applyNumberFormat="1" applyFont="1" applyFill="1" applyBorder="1" applyAlignment="1" applyProtection="1">
      <alignment wrapText="1"/>
      <protection hidden="1"/>
    </xf>
    <xf numFmtId="179" fontId="8" fillId="51" borderId="39" xfId="64" applyNumberFormat="1" applyFont="1" applyFill="1" applyBorder="1" applyAlignment="1" applyProtection="1">
      <alignment/>
      <protection hidden="1"/>
    </xf>
    <xf numFmtId="49" fontId="8" fillId="51" borderId="39" xfId="64" applyNumberFormat="1" applyFont="1" applyFill="1" applyBorder="1" applyAlignment="1" applyProtection="1">
      <alignment horizontal="center" vertical="center"/>
      <protection hidden="1"/>
    </xf>
    <xf numFmtId="177" fontId="8" fillId="51" borderId="39" xfId="64" applyNumberFormat="1" applyFont="1" applyFill="1" applyBorder="1" applyAlignment="1" applyProtection="1">
      <alignment wrapText="1"/>
      <protection hidden="1"/>
    </xf>
    <xf numFmtId="4" fontId="8" fillId="51" borderId="39" xfId="64" applyNumberFormat="1" applyFont="1" applyFill="1" applyBorder="1" applyAlignment="1" applyProtection="1">
      <alignment wrapText="1"/>
      <protection hidden="1"/>
    </xf>
    <xf numFmtId="40" fontId="8" fillId="51" borderId="39" xfId="64" applyNumberFormat="1" applyFont="1" applyFill="1" applyBorder="1" applyAlignment="1" applyProtection="1">
      <alignment/>
      <protection hidden="1"/>
    </xf>
    <xf numFmtId="4" fontId="8" fillId="51" borderId="39" xfId="64" applyNumberFormat="1" applyFont="1" applyFill="1" applyBorder="1" applyAlignment="1" applyProtection="1">
      <alignment/>
      <protection hidden="1"/>
    </xf>
    <xf numFmtId="177" fontId="8" fillId="51" borderId="65" xfId="64" applyNumberFormat="1" applyFont="1" applyFill="1" applyBorder="1" applyAlignment="1" applyProtection="1">
      <alignment/>
      <protection hidden="1"/>
    </xf>
    <xf numFmtId="40" fontId="8" fillId="51" borderId="65" xfId="64" applyNumberFormat="1" applyFont="1" applyFill="1" applyBorder="1" applyAlignment="1" applyProtection="1">
      <alignment/>
      <protection hidden="1"/>
    </xf>
    <xf numFmtId="10" fontId="8" fillId="51" borderId="65" xfId="64" applyNumberFormat="1" applyFont="1" applyFill="1" applyBorder="1" applyAlignment="1" applyProtection="1">
      <alignment/>
      <protection hidden="1"/>
    </xf>
    <xf numFmtId="189" fontId="8" fillId="9" borderId="39" xfId="64" applyNumberFormat="1" applyFont="1" applyFill="1" applyBorder="1" applyAlignment="1" applyProtection="1">
      <alignment/>
      <protection hidden="1"/>
    </xf>
    <xf numFmtId="4" fontId="8" fillId="9" borderId="39" xfId="64" applyNumberFormat="1" applyFont="1" applyFill="1" applyBorder="1" applyAlignment="1" applyProtection="1">
      <alignment wrapText="1"/>
      <protection hidden="1"/>
    </xf>
    <xf numFmtId="4" fontId="8" fillId="9" borderId="39" xfId="64" applyNumberFormat="1" applyFont="1" applyFill="1" applyBorder="1" applyAlignment="1" applyProtection="1">
      <alignment/>
      <protection hidden="1"/>
    </xf>
    <xf numFmtId="177" fontId="16" fillId="51" borderId="39" xfId="64" applyNumberFormat="1" applyFont="1" applyFill="1" applyBorder="1" applyAlignment="1" applyProtection="1">
      <alignment/>
      <protection hidden="1"/>
    </xf>
    <xf numFmtId="177" fontId="17" fillId="51" borderId="39" xfId="64" applyNumberFormat="1" applyFont="1" applyFill="1" applyBorder="1" applyAlignment="1" applyProtection="1">
      <alignment/>
      <protection hidden="1"/>
    </xf>
    <xf numFmtId="4" fontId="17" fillId="44" borderId="39" xfId="64" applyNumberFormat="1" applyFont="1" applyFill="1" applyBorder="1" applyAlignment="1" applyProtection="1">
      <alignment/>
      <protection hidden="1"/>
    </xf>
    <xf numFmtId="175" fontId="8" fillId="51" borderId="39" xfId="64" applyNumberFormat="1" applyFont="1" applyFill="1" applyBorder="1" applyAlignment="1" applyProtection="1">
      <alignment wrapText="1"/>
      <protection hidden="1"/>
    </xf>
    <xf numFmtId="177" fontId="8" fillId="51" borderId="30" xfId="64" applyNumberFormat="1" applyFont="1" applyFill="1" applyBorder="1" applyAlignment="1" applyProtection="1">
      <alignment/>
      <protection hidden="1"/>
    </xf>
    <xf numFmtId="191" fontId="16" fillId="0" borderId="17" xfId="64" applyNumberFormat="1" applyFont="1" applyFill="1" applyBorder="1" applyAlignment="1" applyProtection="1">
      <alignment/>
      <protection hidden="1"/>
    </xf>
    <xf numFmtId="179" fontId="16" fillId="0" borderId="17" xfId="64" applyNumberFormat="1" applyFont="1" applyFill="1" applyBorder="1" applyAlignment="1" applyProtection="1">
      <alignment wrapText="1"/>
      <protection hidden="1"/>
    </xf>
    <xf numFmtId="179" fontId="16" fillId="0" borderId="17" xfId="64" applyNumberFormat="1" applyFont="1" applyFill="1" applyBorder="1" applyAlignment="1" applyProtection="1">
      <alignment/>
      <protection hidden="1"/>
    </xf>
    <xf numFmtId="189" fontId="16" fillId="0" borderId="17" xfId="64" applyNumberFormat="1" applyFont="1" applyFill="1" applyBorder="1" applyAlignment="1" applyProtection="1">
      <alignment/>
      <protection hidden="1"/>
    </xf>
    <xf numFmtId="40" fontId="16" fillId="44" borderId="30" xfId="64" applyNumberFormat="1" applyFont="1" applyFill="1" applyBorder="1" applyAlignment="1" applyProtection="1">
      <alignment/>
      <protection hidden="1"/>
    </xf>
    <xf numFmtId="40" fontId="16" fillId="0" borderId="58" xfId="64" applyNumberFormat="1" applyFont="1" applyFill="1" applyBorder="1" applyAlignment="1" applyProtection="1">
      <alignment/>
      <protection hidden="1"/>
    </xf>
    <xf numFmtId="185" fontId="16" fillId="0" borderId="46" xfId="64" applyNumberFormat="1" applyFont="1" applyFill="1" applyBorder="1" applyAlignment="1" applyProtection="1">
      <alignment wrapText="1"/>
      <protection hidden="1"/>
    </xf>
    <xf numFmtId="191" fontId="16" fillId="0" borderId="46" xfId="64" applyNumberFormat="1" applyFont="1" applyFill="1" applyBorder="1" applyAlignment="1" applyProtection="1">
      <alignment/>
      <protection hidden="1"/>
    </xf>
    <xf numFmtId="179" fontId="16" fillId="0" borderId="46" xfId="64" applyNumberFormat="1" applyFont="1" applyFill="1" applyBorder="1" applyAlignment="1" applyProtection="1">
      <alignment wrapText="1"/>
      <protection hidden="1"/>
    </xf>
    <xf numFmtId="192" fontId="8" fillId="0" borderId="46" xfId="64" applyNumberFormat="1" applyFont="1" applyFill="1" applyBorder="1" applyAlignment="1" applyProtection="1">
      <alignment/>
      <protection hidden="1"/>
    </xf>
    <xf numFmtId="179" fontId="16" fillId="0" borderId="46" xfId="64" applyNumberFormat="1" applyFont="1" applyFill="1" applyBorder="1" applyAlignment="1" applyProtection="1">
      <alignment/>
      <protection hidden="1"/>
    </xf>
    <xf numFmtId="177" fontId="16" fillId="0" borderId="46" xfId="64" applyNumberFormat="1" applyFont="1" applyFill="1" applyBorder="1" applyAlignment="1" applyProtection="1">
      <alignment/>
      <protection hidden="1"/>
    </xf>
    <xf numFmtId="177" fontId="16" fillId="0" borderId="58" xfId="64" applyNumberFormat="1" applyFont="1" applyFill="1" applyBorder="1" applyAlignment="1" applyProtection="1">
      <alignment wrapText="1"/>
      <protection hidden="1"/>
    </xf>
    <xf numFmtId="177" fontId="16" fillId="0" borderId="16" xfId="64" applyNumberFormat="1" applyFont="1" applyFill="1" applyBorder="1" applyAlignment="1" applyProtection="1">
      <alignment wrapText="1"/>
      <protection hidden="1"/>
    </xf>
    <xf numFmtId="4" fontId="8" fillId="0" borderId="46" xfId="64" applyNumberFormat="1" applyFont="1" applyFill="1" applyBorder="1" applyAlignment="1" applyProtection="1">
      <alignment wrapText="1"/>
      <protection hidden="1"/>
    </xf>
    <xf numFmtId="40" fontId="16" fillId="44" borderId="58" xfId="64" applyNumberFormat="1" applyFont="1" applyFill="1" applyBorder="1" applyAlignment="1" applyProtection="1">
      <alignment/>
      <protection hidden="1"/>
    </xf>
    <xf numFmtId="177" fontId="16" fillId="0" borderId="31" xfId="64" applyNumberFormat="1" applyFont="1" applyFill="1" applyBorder="1" applyAlignment="1" applyProtection="1">
      <alignment wrapText="1"/>
      <protection hidden="1"/>
    </xf>
    <xf numFmtId="40" fontId="16" fillId="0" borderId="31" xfId="64" applyNumberFormat="1" applyFont="1" applyFill="1" applyBorder="1" applyAlignment="1" applyProtection="1">
      <alignment/>
      <protection hidden="1"/>
    </xf>
    <xf numFmtId="4" fontId="17" fillId="0" borderId="46" xfId="64" applyNumberFormat="1" applyFont="1" applyFill="1" applyBorder="1" applyAlignment="1" applyProtection="1">
      <alignment wrapText="1"/>
      <protection hidden="1"/>
    </xf>
    <xf numFmtId="177" fontId="16" fillId="0" borderId="58" xfId="64" applyNumberFormat="1" applyFont="1" applyFill="1" applyBorder="1" applyAlignment="1" applyProtection="1">
      <alignment/>
      <protection hidden="1"/>
    </xf>
    <xf numFmtId="40" fontId="16" fillId="8" borderId="58" xfId="64" applyNumberFormat="1" applyFont="1" applyFill="1" applyBorder="1" applyAlignment="1" applyProtection="1">
      <alignment/>
      <protection hidden="1"/>
    </xf>
    <xf numFmtId="4" fontId="16" fillId="0" borderId="58" xfId="64" applyNumberFormat="1" applyFont="1" applyFill="1" applyBorder="1" applyAlignment="1" applyProtection="1">
      <alignment/>
      <protection hidden="1"/>
    </xf>
    <xf numFmtId="185" fontId="16" fillId="0" borderId="10" xfId="64" applyNumberFormat="1" applyFont="1" applyFill="1" applyBorder="1" applyAlignment="1" applyProtection="1">
      <alignment wrapText="1"/>
      <protection hidden="1"/>
    </xf>
    <xf numFmtId="177" fontId="8" fillId="41" borderId="39" xfId="64" applyNumberFormat="1" applyFont="1" applyFill="1" applyBorder="1" applyAlignment="1" applyProtection="1">
      <alignment/>
      <protection hidden="1"/>
    </xf>
    <xf numFmtId="40" fontId="8" fillId="41" borderId="38" xfId="64" applyNumberFormat="1" applyFont="1" applyFill="1" applyBorder="1" applyAlignment="1" applyProtection="1">
      <alignment wrapText="1"/>
      <protection hidden="1"/>
    </xf>
    <xf numFmtId="177" fontId="16" fillId="41" borderId="30" xfId="64" applyNumberFormat="1" applyFont="1" applyFill="1" applyBorder="1" applyAlignment="1" applyProtection="1">
      <alignment/>
      <protection hidden="1"/>
    </xf>
    <xf numFmtId="40" fontId="16" fillId="41" borderId="30" xfId="64" applyNumberFormat="1" applyFont="1" applyFill="1" applyBorder="1" applyAlignment="1" applyProtection="1">
      <alignment wrapText="1"/>
      <protection hidden="1"/>
    </xf>
    <xf numFmtId="49" fontId="15" fillId="0" borderId="0" xfId="64" applyNumberFormat="1" applyAlignment="1">
      <alignment horizontal="center" vertical="center"/>
      <protection/>
    </xf>
    <xf numFmtId="0" fontId="15" fillId="38" borderId="0" xfId="64" applyFill="1">
      <alignment/>
      <protection/>
    </xf>
    <xf numFmtId="4" fontId="15" fillId="0" borderId="0" xfId="64" applyNumberFormat="1">
      <alignment/>
      <protection/>
    </xf>
    <xf numFmtId="0" fontId="15" fillId="42" borderId="0" xfId="64" applyFill="1">
      <alignment/>
      <protection/>
    </xf>
    <xf numFmtId="4" fontId="15" fillId="44" borderId="0" xfId="64" applyNumberFormat="1" applyFill="1">
      <alignment/>
      <protection/>
    </xf>
    <xf numFmtId="4" fontId="15" fillId="43" borderId="0" xfId="64" applyNumberFormat="1" applyFill="1">
      <alignment/>
      <protection/>
    </xf>
    <xf numFmtId="177" fontId="16" fillId="38" borderId="30" xfId="64" applyNumberFormat="1" applyFont="1" applyFill="1" applyBorder="1" applyAlignment="1" applyProtection="1">
      <alignment wrapText="1"/>
      <protection hidden="1"/>
    </xf>
    <xf numFmtId="177" fontId="16" fillId="42" borderId="39" xfId="64" applyNumberFormat="1" applyFont="1" applyFill="1" applyBorder="1" applyAlignment="1" applyProtection="1">
      <alignment/>
      <protection hidden="1"/>
    </xf>
    <xf numFmtId="177" fontId="8" fillId="42" borderId="31" xfId="64" applyNumberFormat="1" applyFont="1" applyFill="1" applyBorder="1" applyAlignment="1" applyProtection="1">
      <alignment/>
      <protection hidden="1"/>
    </xf>
    <xf numFmtId="40" fontId="16" fillId="47" borderId="30" xfId="64" applyNumberFormat="1" applyFont="1" applyFill="1" applyBorder="1" applyAlignment="1" applyProtection="1">
      <alignment/>
      <protection hidden="1"/>
    </xf>
    <xf numFmtId="177" fontId="16" fillId="47" borderId="30" xfId="64" applyNumberFormat="1" applyFont="1" applyFill="1" applyBorder="1" applyAlignment="1" applyProtection="1">
      <alignment/>
      <protection hidden="1"/>
    </xf>
    <xf numFmtId="4" fontId="16" fillId="47" borderId="30" xfId="64" applyNumberFormat="1" applyFont="1" applyFill="1" applyBorder="1" applyAlignment="1" applyProtection="1">
      <alignment/>
      <protection hidden="1"/>
    </xf>
    <xf numFmtId="40" fontId="16" fillId="47" borderId="30" xfId="64" applyNumberFormat="1" applyFont="1" applyFill="1" applyBorder="1" applyAlignment="1" applyProtection="1">
      <alignment wrapText="1"/>
      <protection hidden="1"/>
    </xf>
    <xf numFmtId="4" fontId="8" fillId="49" borderId="31" xfId="64" applyNumberFormat="1" applyFont="1" applyFill="1" applyBorder="1" applyAlignment="1" applyProtection="1">
      <alignment horizontal="left" wrapText="1"/>
      <protection hidden="1"/>
    </xf>
    <xf numFmtId="185" fontId="16" fillId="48" borderId="31" xfId="64" applyNumberFormat="1" applyFont="1" applyFill="1" applyBorder="1" applyAlignment="1" applyProtection="1">
      <alignment horizontal="center" wrapText="1"/>
      <protection hidden="1"/>
    </xf>
    <xf numFmtId="4" fontId="8" fillId="0" borderId="16" xfId="64" applyNumberFormat="1" applyFont="1" applyFill="1" applyBorder="1" applyAlignment="1" applyProtection="1">
      <alignment wrapText="1"/>
      <protection hidden="1"/>
    </xf>
    <xf numFmtId="40" fontId="8" fillId="0" borderId="16" xfId="64" applyNumberFormat="1" applyFont="1" applyFill="1" applyBorder="1" applyAlignment="1" applyProtection="1">
      <alignment/>
      <protection hidden="1"/>
    </xf>
    <xf numFmtId="175" fontId="8" fillId="0" borderId="16" xfId="64" applyNumberFormat="1" applyFont="1" applyFill="1" applyBorder="1" applyAlignment="1" applyProtection="1">
      <alignment wrapText="1"/>
      <protection hidden="1"/>
    </xf>
    <xf numFmtId="4" fontId="8" fillId="44" borderId="16" xfId="64" applyNumberFormat="1" applyFont="1" applyFill="1" applyBorder="1" applyAlignment="1" applyProtection="1">
      <alignment/>
      <protection hidden="1"/>
    </xf>
    <xf numFmtId="4" fontId="8" fillId="0" borderId="16" xfId="64" applyNumberFormat="1" applyFont="1" applyFill="1" applyBorder="1" applyAlignment="1" applyProtection="1">
      <alignment/>
      <protection hidden="1"/>
    </xf>
    <xf numFmtId="185" fontId="8" fillId="0" borderId="21" xfId="64" applyNumberFormat="1" applyFont="1" applyFill="1" applyBorder="1" applyAlignment="1" applyProtection="1">
      <alignment wrapText="1"/>
      <protection hidden="1"/>
    </xf>
    <xf numFmtId="192" fontId="8" fillId="0" borderId="68" xfId="64" applyNumberFormat="1" applyFont="1" applyFill="1" applyBorder="1" applyAlignment="1" applyProtection="1">
      <alignment/>
      <protection hidden="1"/>
    </xf>
    <xf numFmtId="4" fontId="8" fillId="0" borderId="68" xfId="64" applyNumberFormat="1" applyFont="1" applyFill="1" applyBorder="1" applyAlignment="1" applyProtection="1">
      <alignment wrapText="1"/>
      <protection hidden="1"/>
    </xf>
    <xf numFmtId="40" fontId="8" fillId="0" borderId="68" xfId="64" applyNumberFormat="1" applyFont="1" applyFill="1" applyBorder="1" applyAlignment="1" applyProtection="1">
      <alignment/>
      <protection hidden="1"/>
    </xf>
    <xf numFmtId="4" fontId="8" fillId="44" borderId="68" xfId="64" applyNumberFormat="1" applyFont="1" applyFill="1" applyBorder="1" applyAlignment="1" applyProtection="1">
      <alignment/>
      <protection hidden="1"/>
    </xf>
    <xf numFmtId="4" fontId="8" fillId="0" borderId="68" xfId="64" applyNumberFormat="1" applyFont="1" applyFill="1" applyBorder="1" applyAlignment="1" applyProtection="1">
      <alignment/>
      <protection hidden="1"/>
    </xf>
    <xf numFmtId="185" fontId="17" fillId="0" borderId="66" xfId="64" applyNumberFormat="1" applyFont="1" applyFill="1" applyBorder="1" applyAlignment="1" applyProtection="1">
      <alignment wrapText="1"/>
      <protection hidden="1"/>
    </xf>
    <xf numFmtId="185" fontId="17" fillId="0" borderId="41" xfId="64" applyNumberFormat="1" applyFont="1" applyFill="1" applyBorder="1" applyAlignment="1" applyProtection="1">
      <alignment wrapText="1"/>
      <protection hidden="1"/>
    </xf>
    <xf numFmtId="191" fontId="17" fillId="0" borderId="19" xfId="64" applyNumberFormat="1" applyFont="1" applyFill="1" applyBorder="1" applyAlignment="1" applyProtection="1">
      <alignment/>
      <protection hidden="1"/>
    </xf>
    <xf numFmtId="179" fontId="17" fillId="0" borderId="19" xfId="64" applyNumberFormat="1" applyFont="1" applyFill="1" applyBorder="1" applyAlignment="1" applyProtection="1">
      <alignment wrapText="1"/>
      <protection hidden="1"/>
    </xf>
    <xf numFmtId="192" fontId="17" fillId="0" borderId="19" xfId="64" applyNumberFormat="1" applyFont="1" applyFill="1" applyBorder="1" applyAlignment="1" applyProtection="1">
      <alignment/>
      <protection hidden="1"/>
    </xf>
    <xf numFmtId="179" fontId="17" fillId="0" borderId="19" xfId="64" applyNumberFormat="1" applyFont="1" applyFill="1" applyBorder="1" applyAlignment="1" applyProtection="1">
      <alignment/>
      <protection hidden="1"/>
    </xf>
    <xf numFmtId="49" fontId="17" fillId="0" borderId="19" xfId="64" applyNumberFormat="1" applyFont="1" applyFill="1" applyBorder="1" applyAlignment="1" applyProtection="1">
      <alignment horizontal="center" vertical="center"/>
      <protection hidden="1"/>
    </xf>
    <xf numFmtId="177" fontId="17" fillId="0" borderId="50" xfId="64" applyNumberFormat="1" applyFont="1" applyFill="1" applyBorder="1" applyAlignment="1" applyProtection="1">
      <alignment/>
      <protection hidden="1"/>
    </xf>
    <xf numFmtId="177" fontId="17" fillId="0" borderId="20" xfId="64" applyNumberFormat="1" applyFont="1" applyFill="1" applyBorder="1" applyAlignment="1" applyProtection="1">
      <alignment wrapText="1"/>
      <protection hidden="1"/>
    </xf>
    <xf numFmtId="4" fontId="17" fillId="0" borderId="50" xfId="64" applyNumberFormat="1" applyFont="1" applyFill="1" applyBorder="1" applyAlignment="1" applyProtection="1">
      <alignment wrapText="1"/>
      <protection hidden="1"/>
    </xf>
    <xf numFmtId="40" fontId="17" fillId="0" borderId="20" xfId="64" applyNumberFormat="1" applyFont="1" applyFill="1" applyBorder="1" applyAlignment="1" applyProtection="1">
      <alignment/>
      <protection hidden="1"/>
    </xf>
    <xf numFmtId="4" fontId="17" fillId="44" borderId="20" xfId="64" applyNumberFormat="1" applyFont="1" applyFill="1" applyBorder="1" applyAlignment="1" applyProtection="1">
      <alignment/>
      <protection hidden="1"/>
    </xf>
    <xf numFmtId="4" fontId="17" fillId="0" borderId="20" xfId="64" applyNumberFormat="1" applyFont="1" applyFill="1" applyBorder="1" applyAlignment="1" applyProtection="1">
      <alignment/>
      <protection hidden="1"/>
    </xf>
    <xf numFmtId="177" fontId="17" fillId="0" borderId="67" xfId="64" applyNumberFormat="1" applyFont="1" applyFill="1" applyBorder="1" applyAlignment="1" applyProtection="1">
      <alignment/>
      <protection hidden="1"/>
    </xf>
    <xf numFmtId="177" fontId="17" fillId="0" borderId="66" xfId="64" applyNumberFormat="1" applyFont="1" applyFill="1" applyBorder="1" applyAlignment="1" applyProtection="1">
      <alignment/>
      <protection hidden="1"/>
    </xf>
    <xf numFmtId="10" fontId="17" fillId="0" borderId="67" xfId="64" applyNumberFormat="1" applyFont="1" applyFill="1" applyBorder="1" applyAlignment="1" applyProtection="1">
      <alignment/>
      <protection hidden="1"/>
    </xf>
    <xf numFmtId="185" fontId="16" fillId="0" borderId="70" xfId="64" applyNumberFormat="1" applyFont="1" applyFill="1" applyBorder="1" applyAlignment="1" applyProtection="1">
      <alignment wrapText="1"/>
      <protection hidden="1"/>
    </xf>
    <xf numFmtId="177" fontId="16" fillId="0" borderId="15" xfId="64" applyNumberFormat="1" applyFont="1" applyFill="1" applyBorder="1" applyAlignment="1" applyProtection="1">
      <alignment wrapText="1"/>
      <protection hidden="1"/>
    </xf>
    <xf numFmtId="177" fontId="16" fillId="0" borderId="24" xfId="64" applyNumberFormat="1" applyFont="1" applyFill="1" applyBorder="1" applyAlignment="1" applyProtection="1">
      <alignment wrapText="1"/>
      <protection hidden="1"/>
    </xf>
    <xf numFmtId="40" fontId="16" fillId="0" borderId="15" xfId="64" applyNumberFormat="1" applyFont="1" applyFill="1" applyBorder="1" applyAlignment="1" applyProtection="1">
      <alignment/>
      <protection hidden="1"/>
    </xf>
    <xf numFmtId="177" fontId="8" fillId="0" borderId="10" xfId="64" applyNumberFormat="1" applyFont="1" applyFill="1" applyBorder="1" applyAlignment="1" applyProtection="1">
      <alignment/>
      <protection hidden="1"/>
    </xf>
    <xf numFmtId="177" fontId="16" fillId="0" borderId="24" xfId="64" applyNumberFormat="1" applyFont="1" applyFill="1" applyBorder="1" applyAlignment="1" applyProtection="1">
      <alignment/>
      <protection hidden="1"/>
    </xf>
    <xf numFmtId="177" fontId="16" fillId="0" borderId="15" xfId="64" applyNumberFormat="1" applyFont="1" applyFill="1" applyBorder="1" applyAlignment="1" applyProtection="1">
      <alignment/>
      <protection hidden="1"/>
    </xf>
    <xf numFmtId="4" fontId="16" fillId="44" borderId="15" xfId="64" applyNumberFormat="1" applyFont="1" applyFill="1" applyBorder="1" applyAlignment="1" applyProtection="1">
      <alignment/>
      <protection hidden="1"/>
    </xf>
    <xf numFmtId="4" fontId="16" fillId="0" borderId="15" xfId="64" applyNumberFormat="1" applyFont="1" applyFill="1" applyBorder="1" applyAlignment="1" applyProtection="1">
      <alignment/>
      <protection hidden="1"/>
    </xf>
    <xf numFmtId="4" fontId="16" fillId="44" borderId="10" xfId="64" applyNumberFormat="1" applyFont="1" applyFill="1" applyBorder="1" applyAlignment="1" applyProtection="1">
      <alignment/>
      <protection hidden="1"/>
    </xf>
    <xf numFmtId="4" fontId="16" fillId="49" borderId="10" xfId="64" applyNumberFormat="1" applyFont="1" applyFill="1" applyBorder="1" applyAlignment="1" applyProtection="1">
      <alignment/>
      <protection hidden="1"/>
    </xf>
    <xf numFmtId="40" fontId="16" fillId="49" borderId="10" xfId="64" applyNumberFormat="1" applyFont="1" applyFill="1" applyBorder="1" applyAlignment="1" applyProtection="1">
      <alignment/>
      <protection hidden="1"/>
    </xf>
    <xf numFmtId="185" fontId="16" fillId="48" borderId="66" xfId="64" applyNumberFormat="1" applyFont="1" applyFill="1" applyBorder="1" applyAlignment="1" applyProtection="1">
      <alignment wrapText="1"/>
      <protection hidden="1"/>
    </xf>
    <xf numFmtId="185" fontId="16" fillId="48" borderId="31" xfId="64" applyNumberFormat="1" applyFont="1" applyFill="1" applyBorder="1" applyAlignment="1" applyProtection="1">
      <alignment wrapText="1"/>
      <protection hidden="1"/>
    </xf>
    <xf numFmtId="185" fontId="16" fillId="48" borderId="67" xfId="64" applyNumberFormat="1" applyFont="1" applyFill="1" applyBorder="1" applyAlignment="1" applyProtection="1">
      <alignment wrapText="1"/>
      <protection hidden="1"/>
    </xf>
    <xf numFmtId="4" fontId="8" fillId="8" borderId="39" xfId="64" applyNumberFormat="1" applyFont="1" applyFill="1" applyBorder="1" applyAlignment="1" applyProtection="1">
      <alignment/>
      <protection hidden="1"/>
    </xf>
    <xf numFmtId="40" fontId="8" fillId="0" borderId="38" xfId="64" applyNumberFormat="1" applyFont="1" applyFill="1" applyBorder="1" applyAlignment="1" applyProtection="1">
      <alignment wrapText="1"/>
      <protection hidden="1"/>
    </xf>
    <xf numFmtId="191" fontId="8" fillId="0" borderId="31" xfId="64" applyNumberFormat="1" applyFont="1" applyFill="1" applyBorder="1" applyAlignment="1" applyProtection="1">
      <alignment/>
      <protection hidden="1"/>
    </xf>
    <xf numFmtId="179" fontId="8" fillId="0" borderId="31" xfId="64" applyNumberFormat="1" applyFont="1" applyFill="1" applyBorder="1" applyAlignment="1" applyProtection="1">
      <alignment wrapText="1"/>
      <protection hidden="1"/>
    </xf>
    <xf numFmtId="192" fontId="8" fillId="0" borderId="31" xfId="64" applyNumberFormat="1" applyFont="1" applyFill="1" applyBorder="1" applyAlignment="1" applyProtection="1">
      <alignment/>
      <protection hidden="1"/>
    </xf>
    <xf numFmtId="179" fontId="8" fillId="0" borderId="31" xfId="64" applyNumberFormat="1" applyFont="1" applyFill="1" applyBorder="1" applyAlignment="1" applyProtection="1">
      <alignment/>
      <protection hidden="1"/>
    </xf>
    <xf numFmtId="49" fontId="8" fillId="0" borderId="31" xfId="64" applyNumberFormat="1" applyFont="1" applyFill="1" applyBorder="1" applyAlignment="1" applyProtection="1">
      <alignment horizontal="center" vertical="center"/>
      <protection hidden="1"/>
    </xf>
    <xf numFmtId="177" fontId="8" fillId="0" borderId="17" xfId="64" applyNumberFormat="1" applyFont="1" applyFill="1" applyBorder="1" applyAlignment="1" applyProtection="1">
      <alignment/>
      <protection hidden="1"/>
    </xf>
    <xf numFmtId="40" fontId="8" fillId="8" borderId="30" xfId="64" applyNumberFormat="1" applyFont="1" applyFill="1" applyBorder="1" applyAlignment="1" applyProtection="1">
      <alignment/>
      <protection hidden="1"/>
    </xf>
    <xf numFmtId="175" fontId="8" fillId="8" borderId="30" xfId="64" applyNumberFormat="1" applyFont="1" applyFill="1" applyBorder="1" applyAlignment="1" applyProtection="1">
      <alignment wrapText="1"/>
      <protection hidden="1"/>
    </xf>
    <xf numFmtId="4" fontId="8" fillId="8" borderId="30" xfId="64" applyNumberFormat="1" applyFont="1" applyFill="1" applyBorder="1" applyAlignment="1" applyProtection="1">
      <alignment/>
      <protection hidden="1"/>
    </xf>
    <xf numFmtId="4" fontId="8" fillId="51" borderId="30" xfId="64" applyNumberFormat="1" applyFont="1" applyFill="1" applyBorder="1" applyAlignment="1" applyProtection="1">
      <alignment/>
      <protection hidden="1"/>
    </xf>
    <xf numFmtId="40" fontId="8" fillId="0" borderId="30" xfId="64" applyNumberFormat="1" applyFont="1" applyFill="1" applyBorder="1" applyAlignment="1" applyProtection="1">
      <alignment wrapText="1"/>
      <protection hidden="1"/>
    </xf>
    <xf numFmtId="40" fontId="8" fillId="0" borderId="67" xfId="64" applyNumberFormat="1" applyFont="1" applyFill="1" applyBorder="1" applyAlignment="1" applyProtection="1">
      <alignment/>
      <protection hidden="1"/>
    </xf>
    <xf numFmtId="40" fontId="16" fillId="51" borderId="30" xfId="64" applyNumberFormat="1" applyFont="1" applyFill="1" applyBorder="1" applyAlignment="1" applyProtection="1">
      <alignment/>
      <protection hidden="1"/>
    </xf>
    <xf numFmtId="177" fontId="16" fillId="51" borderId="30" xfId="64" applyNumberFormat="1" applyFont="1" applyFill="1" applyBorder="1" applyAlignment="1" applyProtection="1">
      <alignment/>
      <protection hidden="1"/>
    </xf>
    <xf numFmtId="4" fontId="16" fillId="51" borderId="30" xfId="64" applyNumberFormat="1" applyFont="1" applyFill="1" applyBorder="1" applyAlignment="1" applyProtection="1">
      <alignment/>
      <protection hidden="1"/>
    </xf>
    <xf numFmtId="185" fontId="16" fillId="0" borderId="66" xfId="64" applyNumberFormat="1" applyFont="1" applyFill="1" applyBorder="1" applyAlignment="1" applyProtection="1">
      <alignment/>
      <protection hidden="1"/>
    </xf>
    <xf numFmtId="0" fontId="0" fillId="0" borderId="31" xfId="0" applyBorder="1" applyAlignment="1">
      <alignment/>
    </xf>
    <xf numFmtId="4" fontId="0" fillId="44" borderId="31" xfId="0" applyNumberFormat="1" applyFill="1" applyBorder="1" applyAlignment="1">
      <alignment/>
    </xf>
    <xf numFmtId="4" fontId="0" fillId="0" borderId="31" xfId="0" applyNumberFormat="1" applyBorder="1" applyAlignment="1">
      <alignment/>
    </xf>
    <xf numFmtId="0" fontId="0" fillId="0" borderId="67" xfId="0" applyBorder="1" applyAlignment="1">
      <alignment/>
    </xf>
    <xf numFmtId="177" fontId="8" fillId="54" borderId="39" xfId="64" applyNumberFormat="1" applyFont="1" applyFill="1" applyBorder="1" applyAlignment="1" applyProtection="1">
      <alignment wrapText="1"/>
      <protection hidden="1"/>
    </xf>
    <xf numFmtId="177" fontId="8" fillId="42" borderId="39" xfId="64" applyNumberFormat="1" applyFont="1" applyFill="1" applyBorder="1" applyAlignment="1" applyProtection="1">
      <alignment/>
      <protection hidden="1"/>
    </xf>
    <xf numFmtId="40" fontId="8" fillId="54" borderId="39" xfId="64" applyNumberFormat="1" applyFont="1" applyFill="1" applyBorder="1" applyAlignment="1" applyProtection="1">
      <alignment/>
      <protection hidden="1"/>
    </xf>
    <xf numFmtId="177" fontId="8" fillId="54" borderId="39" xfId="64" applyNumberFormat="1" applyFont="1" applyFill="1" applyBorder="1" applyAlignment="1" applyProtection="1">
      <alignment/>
      <protection hidden="1"/>
    </xf>
    <xf numFmtId="4" fontId="8" fillId="54" borderId="39" xfId="64" applyNumberFormat="1" applyFont="1" applyFill="1" applyBorder="1" applyAlignment="1" applyProtection="1">
      <alignment/>
      <protection hidden="1"/>
    </xf>
    <xf numFmtId="177" fontId="16" fillId="54" borderId="39" xfId="64" applyNumberFormat="1" applyFont="1" applyFill="1" applyBorder="1" applyAlignment="1" applyProtection="1">
      <alignment wrapText="1"/>
      <protection hidden="1"/>
    </xf>
    <xf numFmtId="40" fontId="16" fillId="54" borderId="30" xfId="64" applyNumberFormat="1" applyFont="1" applyFill="1" applyBorder="1" applyAlignment="1" applyProtection="1">
      <alignment/>
      <protection hidden="1"/>
    </xf>
    <xf numFmtId="177" fontId="16" fillId="54" borderId="30" xfId="64" applyNumberFormat="1" applyFont="1" applyFill="1" applyBorder="1" applyAlignment="1" applyProtection="1">
      <alignment/>
      <protection hidden="1"/>
    </xf>
    <xf numFmtId="4" fontId="16" fillId="54" borderId="30" xfId="64" applyNumberFormat="1" applyFont="1" applyFill="1" applyBorder="1" applyAlignment="1" applyProtection="1">
      <alignment/>
      <protection hidden="1"/>
    </xf>
    <xf numFmtId="40" fontId="16" fillId="0" borderId="30" xfId="64" applyNumberFormat="1" applyFont="1" applyFill="1" applyBorder="1" applyAlignment="1" applyProtection="1">
      <alignment wrapText="1"/>
      <protection hidden="1"/>
    </xf>
    <xf numFmtId="0" fontId="15" fillId="47" borderId="45" xfId="64" applyFill="1" applyBorder="1" applyProtection="1">
      <alignment/>
      <protection hidden="1"/>
    </xf>
    <xf numFmtId="0" fontId="15" fillId="47" borderId="62" xfId="64" applyNumberFormat="1" applyFont="1" applyFill="1" applyBorder="1" applyAlignment="1" applyProtection="1">
      <alignment/>
      <protection hidden="1"/>
    </xf>
    <xf numFmtId="0" fontId="15" fillId="47" borderId="0" xfId="64" applyFill="1" applyProtection="1">
      <alignment/>
      <protection hidden="1"/>
    </xf>
    <xf numFmtId="0" fontId="15" fillId="47" borderId="0" xfId="64" applyFill="1">
      <alignment/>
      <protection/>
    </xf>
    <xf numFmtId="192" fontId="8" fillId="55" borderId="39" xfId="64" applyNumberFormat="1" applyFont="1" applyFill="1" applyBorder="1" applyAlignment="1" applyProtection="1">
      <alignment/>
      <protection hidden="1"/>
    </xf>
    <xf numFmtId="40" fontId="8" fillId="55" borderId="39" xfId="64" applyNumberFormat="1" applyFont="1" applyFill="1" applyBorder="1" applyAlignment="1" applyProtection="1">
      <alignment/>
      <protection hidden="1"/>
    </xf>
    <xf numFmtId="40" fontId="8" fillId="56" borderId="39" xfId="64" applyNumberFormat="1" applyFont="1" applyFill="1" applyBorder="1" applyAlignment="1" applyProtection="1">
      <alignment/>
      <protection hidden="1"/>
    </xf>
    <xf numFmtId="177" fontId="8" fillId="47" borderId="39" xfId="64" applyNumberFormat="1" applyFont="1" applyFill="1" applyBorder="1" applyAlignment="1" applyProtection="1">
      <alignment/>
      <protection hidden="1"/>
    </xf>
    <xf numFmtId="4" fontId="8" fillId="47" borderId="39" xfId="64" applyNumberFormat="1" applyFont="1" applyFill="1" applyBorder="1" applyAlignment="1" applyProtection="1">
      <alignment/>
      <protection hidden="1"/>
    </xf>
    <xf numFmtId="177" fontId="17" fillId="42" borderId="31" xfId="64" applyNumberFormat="1" applyFont="1" applyFill="1" applyBorder="1" applyAlignment="1" applyProtection="1">
      <alignment/>
      <protection hidden="1"/>
    </xf>
    <xf numFmtId="40" fontId="16" fillId="56" borderId="30" xfId="64" applyNumberFormat="1" applyFont="1" applyFill="1" applyBorder="1" applyAlignment="1" applyProtection="1">
      <alignment/>
      <protection hidden="1"/>
    </xf>
    <xf numFmtId="4" fontId="16" fillId="44" borderId="31" xfId="64" applyNumberFormat="1" applyFont="1" applyFill="1" applyBorder="1" applyAlignment="1" applyProtection="1">
      <alignment/>
      <protection hidden="1"/>
    </xf>
    <xf numFmtId="4" fontId="16" fillId="0" borderId="31" xfId="64" applyNumberFormat="1" applyFont="1" applyFill="1" applyBorder="1" applyAlignment="1" applyProtection="1">
      <alignment/>
      <protection hidden="1"/>
    </xf>
    <xf numFmtId="40" fontId="16" fillId="0" borderId="31" xfId="64" applyNumberFormat="1" applyFont="1" applyFill="1" applyBorder="1" applyAlignment="1" applyProtection="1">
      <alignment wrapText="1"/>
      <protection hidden="1"/>
    </xf>
    <xf numFmtId="49" fontId="8" fillId="44" borderId="39" xfId="64" applyNumberFormat="1" applyFont="1" applyFill="1" applyBorder="1" applyAlignment="1" applyProtection="1">
      <alignment horizontal="center" vertical="center"/>
      <protection hidden="1"/>
    </xf>
    <xf numFmtId="177" fontId="8" fillId="44" borderId="39" xfId="64" applyNumberFormat="1" applyFont="1" applyFill="1" applyBorder="1" applyAlignment="1" applyProtection="1">
      <alignment/>
      <protection hidden="1"/>
    </xf>
    <xf numFmtId="40" fontId="8" fillId="44" borderId="39" xfId="64" applyNumberFormat="1" applyFont="1" applyFill="1" applyBorder="1" applyAlignment="1" applyProtection="1">
      <alignment/>
      <protection hidden="1"/>
    </xf>
    <xf numFmtId="175" fontId="8" fillId="44" borderId="39" xfId="64" applyNumberFormat="1" applyFont="1" applyFill="1" applyBorder="1" applyAlignment="1" applyProtection="1">
      <alignment wrapText="1"/>
      <protection hidden="1"/>
    </xf>
    <xf numFmtId="177" fontId="16" fillId="44" borderId="30" xfId="64" applyNumberFormat="1" applyFont="1" applyFill="1" applyBorder="1" applyAlignment="1" applyProtection="1">
      <alignment/>
      <protection hidden="1"/>
    </xf>
    <xf numFmtId="177" fontId="16" fillId="38" borderId="58" xfId="64" applyNumberFormat="1" applyFont="1" applyFill="1" applyBorder="1" applyAlignment="1" applyProtection="1">
      <alignment wrapText="1"/>
      <protection hidden="1"/>
    </xf>
    <xf numFmtId="177" fontId="16" fillId="38" borderId="16" xfId="64" applyNumberFormat="1" applyFont="1" applyFill="1" applyBorder="1" applyAlignment="1" applyProtection="1">
      <alignment wrapText="1"/>
      <protection hidden="1"/>
    </xf>
    <xf numFmtId="177" fontId="16" fillId="42" borderId="16" xfId="64" applyNumberFormat="1" applyFont="1" applyFill="1" applyBorder="1" applyAlignment="1" applyProtection="1">
      <alignment/>
      <protection hidden="1"/>
    </xf>
    <xf numFmtId="177" fontId="8" fillId="42" borderId="46" xfId="64" applyNumberFormat="1" applyFont="1" applyFill="1" applyBorder="1" applyAlignment="1" applyProtection="1">
      <alignment/>
      <protection hidden="1"/>
    </xf>
    <xf numFmtId="4" fontId="16" fillId="44" borderId="58" xfId="64" applyNumberFormat="1" applyFont="1" applyFill="1" applyBorder="1" applyAlignment="1" applyProtection="1">
      <alignment/>
      <protection hidden="1"/>
    </xf>
    <xf numFmtId="40" fontId="16" fillId="0" borderId="58" xfId="64" applyNumberFormat="1" applyFont="1" applyFill="1" applyBorder="1" applyAlignment="1" applyProtection="1">
      <alignment wrapText="1"/>
      <protection hidden="1"/>
    </xf>
    <xf numFmtId="4" fontId="16" fillId="48" borderId="0" xfId="64" applyNumberFormat="1" applyFont="1" applyFill="1" applyBorder="1" applyAlignment="1" applyProtection="1">
      <alignment horizontal="center" wrapText="1"/>
      <protection hidden="1"/>
    </xf>
    <xf numFmtId="185" fontId="16" fillId="48" borderId="0" xfId="64" applyNumberFormat="1" applyFont="1" applyFill="1" applyBorder="1" applyAlignment="1" applyProtection="1">
      <alignment horizontal="center" wrapText="1"/>
      <protection hidden="1"/>
    </xf>
    <xf numFmtId="49" fontId="8" fillId="0" borderId="39" xfId="64" applyNumberFormat="1" applyFont="1" applyFill="1" applyBorder="1" applyAlignment="1" applyProtection="1">
      <alignment/>
      <protection hidden="1"/>
    </xf>
    <xf numFmtId="192" fontId="8" fillId="51" borderId="39" xfId="64" applyNumberFormat="1" applyFont="1" applyFill="1" applyBorder="1" applyAlignment="1" applyProtection="1">
      <alignment/>
      <protection hidden="1"/>
    </xf>
    <xf numFmtId="40" fontId="8" fillId="51" borderId="38" xfId="64" applyNumberFormat="1" applyFont="1" applyFill="1" applyBorder="1" applyAlignment="1" applyProtection="1">
      <alignment wrapText="1"/>
      <protection hidden="1"/>
    </xf>
    <xf numFmtId="0" fontId="15" fillId="51" borderId="62" xfId="64" applyNumberFormat="1" applyFont="1" applyFill="1" applyBorder="1" applyAlignment="1" applyProtection="1">
      <alignment/>
      <protection hidden="1"/>
    </xf>
    <xf numFmtId="177" fontId="16" fillId="51" borderId="30" xfId="64" applyNumberFormat="1" applyFont="1" applyFill="1" applyBorder="1" applyAlignment="1" applyProtection="1">
      <alignment wrapText="1"/>
      <protection hidden="1"/>
    </xf>
    <xf numFmtId="177" fontId="16" fillId="51" borderId="39" xfId="64" applyNumberFormat="1" applyFont="1" applyFill="1" applyBorder="1" applyAlignment="1" applyProtection="1">
      <alignment wrapText="1"/>
      <protection hidden="1"/>
    </xf>
    <xf numFmtId="4" fontId="17" fillId="51" borderId="31" xfId="64" applyNumberFormat="1" applyFont="1" applyFill="1" applyBorder="1" applyAlignment="1" applyProtection="1">
      <alignment wrapText="1"/>
      <protection hidden="1"/>
    </xf>
    <xf numFmtId="177" fontId="8" fillId="51" borderId="31" xfId="64" applyNumberFormat="1" applyFont="1" applyFill="1" applyBorder="1" applyAlignment="1" applyProtection="1">
      <alignment/>
      <protection hidden="1"/>
    </xf>
    <xf numFmtId="40" fontId="16" fillId="51" borderId="30" xfId="64" applyNumberFormat="1" applyFont="1" applyFill="1" applyBorder="1" applyAlignment="1" applyProtection="1">
      <alignment wrapText="1"/>
      <protection hidden="1"/>
    </xf>
    <xf numFmtId="177" fontId="8" fillId="51" borderId="67" xfId="64" applyNumberFormat="1" applyFont="1" applyFill="1" applyBorder="1" applyAlignment="1" applyProtection="1">
      <alignment/>
      <protection hidden="1"/>
    </xf>
    <xf numFmtId="177" fontId="8" fillId="51" borderId="66" xfId="64" applyNumberFormat="1" applyFont="1" applyFill="1" applyBorder="1" applyAlignment="1" applyProtection="1">
      <alignment/>
      <protection hidden="1"/>
    </xf>
    <xf numFmtId="10" fontId="8" fillId="51" borderId="67" xfId="64" applyNumberFormat="1" applyFont="1" applyFill="1" applyBorder="1" applyAlignment="1" applyProtection="1">
      <alignment/>
      <protection hidden="1"/>
    </xf>
    <xf numFmtId="4" fontId="8" fillId="51" borderId="31" xfId="64" applyNumberFormat="1" applyFont="1" applyFill="1" applyBorder="1" applyAlignment="1" applyProtection="1">
      <alignment wrapText="1"/>
      <protection hidden="1"/>
    </xf>
    <xf numFmtId="192" fontId="22" fillId="0" borderId="30" xfId="53" applyNumberFormat="1" applyFont="1" applyFill="1" applyBorder="1" applyAlignment="1" applyProtection="1">
      <alignment horizontal="left"/>
      <protection hidden="1"/>
    </xf>
    <xf numFmtId="40" fontId="8" fillId="57" borderId="39" xfId="64" applyNumberFormat="1" applyFont="1" applyFill="1" applyBorder="1" applyAlignment="1" applyProtection="1">
      <alignment/>
      <protection hidden="1"/>
    </xf>
    <xf numFmtId="40" fontId="16" fillId="57" borderId="30" xfId="64" applyNumberFormat="1" applyFont="1" applyFill="1" applyBorder="1" applyAlignment="1" applyProtection="1">
      <alignment/>
      <protection hidden="1"/>
    </xf>
    <xf numFmtId="185" fontId="16" fillId="51" borderId="31" xfId="64" applyNumberFormat="1" applyFont="1" applyFill="1" applyBorder="1" applyAlignment="1" applyProtection="1">
      <alignment horizontal="center" wrapText="1"/>
      <protection hidden="1"/>
    </xf>
    <xf numFmtId="4" fontId="16" fillId="44" borderId="31" xfId="64" applyNumberFormat="1" applyFont="1" applyFill="1" applyBorder="1" applyAlignment="1" applyProtection="1">
      <alignment horizontal="center" wrapText="1"/>
      <protection hidden="1"/>
    </xf>
    <xf numFmtId="4" fontId="16" fillId="51" borderId="31" xfId="64" applyNumberFormat="1" applyFont="1" applyFill="1" applyBorder="1" applyAlignment="1" applyProtection="1">
      <alignment horizontal="center" wrapText="1"/>
      <protection hidden="1"/>
    </xf>
    <xf numFmtId="185" fontId="8" fillId="57" borderId="26" xfId="64" applyNumberFormat="1" applyFont="1" applyFill="1" applyBorder="1" applyAlignment="1" applyProtection="1">
      <alignment wrapText="1"/>
      <protection hidden="1"/>
    </xf>
    <xf numFmtId="192" fontId="8" fillId="57" borderId="39" xfId="64" applyNumberFormat="1" applyFont="1" applyFill="1" applyBorder="1" applyAlignment="1" applyProtection="1">
      <alignment/>
      <protection hidden="1"/>
    </xf>
    <xf numFmtId="192" fontId="10" fillId="0" borderId="30" xfId="53" applyNumberFormat="1" applyFont="1" applyFill="1" applyBorder="1" applyAlignment="1" applyProtection="1">
      <alignment horizontal="left"/>
      <protection hidden="1"/>
    </xf>
    <xf numFmtId="177" fontId="8" fillId="58" borderId="39" xfId="64" applyNumberFormat="1" applyFont="1" applyFill="1" applyBorder="1" applyAlignment="1" applyProtection="1">
      <alignment/>
      <protection hidden="1"/>
    </xf>
    <xf numFmtId="177" fontId="16" fillId="58" borderId="30" xfId="64" applyNumberFormat="1" applyFont="1" applyFill="1" applyBorder="1" applyAlignment="1" applyProtection="1">
      <alignment/>
      <protection hidden="1"/>
    </xf>
    <xf numFmtId="49" fontId="8" fillId="51" borderId="39" xfId="64" applyNumberFormat="1" applyFont="1" applyFill="1" applyBorder="1" applyAlignment="1" applyProtection="1">
      <alignment/>
      <protection hidden="1"/>
    </xf>
    <xf numFmtId="185" fontId="34" fillId="0" borderId="31" xfId="64" applyNumberFormat="1" applyFont="1" applyFill="1" applyBorder="1" applyAlignment="1" applyProtection="1">
      <alignment wrapText="1"/>
      <protection hidden="1"/>
    </xf>
    <xf numFmtId="185" fontId="16" fillId="8" borderId="31" xfId="64" applyNumberFormat="1" applyFont="1" applyFill="1" applyBorder="1" applyAlignment="1" applyProtection="1">
      <alignment wrapText="1"/>
      <protection hidden="1"/>
    </xf>
    <xf numFmtId="195" fontId="8" fillId="51" borderId="39" xfId="64" applyNumberFormat="1" applyFont="1" applyFill="1" applyBorder="1" applyAlignment="1" applyProtection="1">
      <alignment wrapText="1"/>
      <protection hidden="1"/>
    </xf>
    <xf numFmtId="0" fontId="15" fillId="41" borderId="0" xfId="64" applyFill="1" applyBorder="1">
      <alignment/>
      <protection/>
    </xf>
    <xf numFmtId="40" fontId="8" fillId="51" borderId="30" xfId="64" applyNumberFormat="1" applyFont="1" applyFill="1" applyBorder="1" applyAlignment="1" applyProtection="1">
      <alignment/>
      <protection hidden="1"/>
    </xf>
    <xf numFmtId="40" fontId="8" fillId="8" borderId="39" xfId="64" applyNumberFormat="1" applyFont="1" applyFill="1" applyBorder="1" applyAlignment="1" applyProtection="1">
      <alignment/>
      <protection hidden="1"/>
    </xf>
    <xf numFmtId="4" fontId="8" fillId="50" borderId="39" xfId="64" applyNumberFormat="1" applyFont="1" applyFill="1" applyBorder="1" applyAlignment="1" applyProtection="1">
      <alignment/>
      <protection hidden="1"/>
    </xf>
    <xf numFmtId="40" fontId="16" fillId="8" borderId="30" xfId="64" applyNumberFormat="1" applyFont="1" applyFill="1" applyBorder="1" applyAlignment="1" applyProtection="1">
      <alignment/>
      <protection hidden="1"/>
    </xf>
    <xf numFmtId="40" fontId="8" fillId="57" borderId="30" xfId="64" applyNumberFormat="1" applyFont="1" applyFill="1" applyBorder="1" applyAlignment="1" applyProtection="1">
      <alignment/>
      <protection hidden="1"/>
    </xf>
    <xf numFmtId="177" fontId="8" fillId="57" borderId="30" xfId="64" applyNumberFormat="1" applyFont="1" applyFill="1" applyBorder="1" applyAlignment="1" applyProtection="1">
      <alignment/>
      <protection hidden="1"/>
    </xf>
    <xf numFmtId="177" fontId="16" fillId="44" borderId="39" xfId="64" applyNumberFormat="1" applyFont="1" applyFill="1" applyBorder="1" applyAlignment="1" applyProtection="1">
      <alignment wrapText="1"/>
      <protection hidden="1"/>
    </xf>
    <xf numFmtId="0" fontId="15" fillId="9" borderId="45" xfId="64" applyFill="1" applyBorder="1" applyProtection="1">
      <alignment/>
      <protection hidden="1"/>
    </xf>
    <xf numFmtId="185" fontId="8" fillId="9" borderId="65" xfId="64" applyNumberFormat="1" applyFont="1" applyFill="1" applyBorder="1" applyAlignment="1" applyProtection="1">
      <alignment wrapText="1"/>
      <protection hidden="1"/>
    </xf>
    <xf numFmtId="185" fontId="16" fillId="9" borderId="65" xfId="64" applyNumberFormat="1" applyFont="1" applyFill="1" applyBorder="1" applyAlignment="1" applyProtection="1">
      <alignment wrapText="1"/>
      <protection hidden="1"/>
    </xf>
    <xf numFmtId="40" fontId="8" fillId="9" borderId="30" xfId="64" applyNumberFormat="1" applyFont="1" applyFill="1" applyBorder="1" applyAlignment="1" applyProtection="1">
      <alignment/>
      <protection hidden="1"/>
    </xf>
    <xf numFmtId="177" fontId="8" fillId="9" borderId="30" xfId="64" applyNumberFormat="1" applyFont="1" applyFill="1" applyBorder="1" applyAlignment="1" applyProtection="1">
      <alignment/>
      <protection hidden="1"/>
    </xf>
    <xf numFmtId="177" fontId="8" fillId="9" borderId="65" xfId="64" applyNumberFormat="1" applyFont="1" applyFill="1" applyBorder="1" applyAlignment="1" applyProtection="1">
      <alignment/>
      <protection hidden="1"/>
    </xf>
    <xf numFmtId="40" fontId="8" fillId="9" borderId="65" xfId="64" applyNumberFormat="1" applyFont="1" applyFill="1" applyBorder="1" applyAlignment="1" applyProtection="1">
      <alignment/>
      <protection hidden="1"/>
    </xf>
    <xf numFmtId="10" fontId="8" fillId="9" borderId="65" xfId="64" applyNumberFormat="1" applyFont="1" applyFill="1" applyBorder="1" applyAlignment="1" applyProtection="1">
      <alignment/>
      <protection hidden="1"/>
    </xf>
    <xf numFmtId="0" fontId="15" fillId="9" borderId="62" xfId="64" applyNumberFormat="1" applyFont="1" applyFill="1" applyBorder="1" applyAlignment="1" applyProtection="1">
      <alignment/>
      <protection hidden="1"/>
    </xf>
    <xf numFmtId="0" fontId="15" fillId="9" borderId="0" xfId="64" applyFill="1" applyProtection="1">
      <alignment/>
      <protection hidden="1"/>
    </xf>
    <xf numFmtId="0" fontId="15" fillId="9" borderId="0" xfId="64" applyFill="1" applyBorder="1">
      <alignment/>
      <protection/>
    </xf>
    <xf numFmtId="0" fontId="15" fillId="9" borderId="0" xfId="64" applyFill="1">
      <alignment/>
      <protection/>
    </xf>
    <xf numFmtId="177" fontId="16" fillId="9" borderId="30" xfId="64" applyNumberFormat="1" applyFont="1" applyFill="1" applyBorder="1" applyAlignment="1" applyProtection="1">
      <alignment wrapText="1"/>
      <protection hidden="1"/>
    </xf>
    <xf numFmtId="177" fontId="16" fillId="9" borderId="39" xfId="64" applyNumberFormat="1" applyFont="1" applyFill="1" applyBorder="1" applyAlignment="1" applyProtection="1">
      <alignment wrapText="1"/>
      <protection hidden="1"/>
    </xf>
    <xf numFmtId="4" fontId="17" fillId="9" borderId="39" xfId="64" applyNumberFormat="1" applyFont="1" applyFill="1" applyBorder="1" applyAlignment="1" applyProtection="1">
      <alignment wrapText="1"/>
      <protection hidden="1"/>
    </xf>
    <xf numFmtId="177" fontId="16" fillId="9" borderId="30" xfId="64" applyNumberFormat="1" applyFont="1" applyFill="1" applyBorder="1" applyAlignment="1" applyProtection="1">
      <alignment/>
      <protection hidden="1"/>
    </xf>
    <xf numFmtId="4" fontId="16" fillId="9" borderId="30" xfId="64" applyNumberFormat="1" applyFont="1" applyFill="1" applyBorder="1" applyAlignment="1" applyProtection="1">
      <alignment/>
      <protection hidden="1"/>
    </xf>
    <xf numFmtId="177" fontId="8" fillId="9" borderId="67" xfId="64" applyNumberFormat="1" applyFont="1" applyFill="1" applyBorder="1" applyAlignment="1" applyProtection="1">
      <alignment/>
      <protection hidden="1"/>
    </xf>
    <xf numFmtId="177" fontId="8" fillId="9" borderId="66" xfId="64" applyNumberFormat="1" applyFont="1" applyFill="1" applyBorder="1" applyAlignment="1" applyProtection="1">
      <alignment/>
      <protection hidden="1"/>
    </xf>
    <xf numFmtId="10" fontId="8" fillId="9" borderId="67" xfId="64" applyNumberFormat="1" applyFont="1" applyFill="1" applyBorder="1" applyAlignment="1" applyProtection="1">
      <alignment/>
      <protection hidden="1"/>
    </xf>
    <xf numFmtId="192" fontId="8" fillId="0" borderId="17" xfId="64" applyNumberFormat="1" applyFont="1" applyFill="1" applyBorder="1" applyAlignment="1" applyProtection="1">
      <alignment/>
      <protection hidden="1"/>
    </xf>
    <xf numFmtId="175" fontId="15" fillId="0" borderId="0" xfId="64" applyNumberFormat="1" applyFill="1">
      <alignment/>
      <protection/>
    </xf>
    <xf numFmtId="185" fontId="8" fillId="44" borderId="26" xfId="64" applyNumberFormat="1" applyFont="1" applyFill="1" applyBorder="1" applyAlignment="1" applyProtection="1">
      <alignment wrapText="1"/>
      <protection hidden="1"/>
    </xf>
    <xf numFmtId="191" fontId="8" fillId="44" borderId="39" xfId="64" applyNumberFormat="1" applyFont="1" applyFill="1" applyBorder="1" applyAlignment="1" applyProtection="1">
      <alignment/>
      <protection hidden="1"/>
    </xf>
    <xf numFmtId="179" fontId="8" fillId="44" borderId="39" xfId="64" applyNumberFormat="1" applyFont="1" applyFill="1" applyBorder="1" applyAlignment="1" applyProtection="1">
      <alignment wrapText="1"/>
      <protection hidden="1"/>
    </xf>
    <xf numFmtId="192" fontId="8" fillId="44" borderId="39" xfId="64" applyNumberFormat="1" applyFont="1" applyFill="1" applyBorder="1" applyAlignment="1" applyProtection="1">
      <alignment/>
      <protection hidden="1"/>
    </xf>
    <xf numFmtId="179" fontId="8" fillId="44" borderId="39" xfId="64" applyNumberFormat="1" applyFont="1" applyFill="1" applyBorder="1" applyAlignment="1" applyProtection="1">
      <alignment/>
      <protection hidden="1"/>
    </xf>
    <xf numFmtId="40" fontId="17" fillId="0" borderId="39" xfId="64" applyNumberFormat="1" applyFont="1" applyFill="1" applyBorder="1" applyAlignment="1" applyProtection="1">
      <alignment/>
      <protection hidden="1"/>
    </xf>
    <xf numFmtId="40" fontId="17" fillId="51" borderId="39" xfId="64" applyNumberFormat="1" applyFont="1" applyFill="1" applyBorder="1" applyAlignment="1" applyProtection="1">
      <alignment/>
      <protection hidden="1"/>
    </xf>
    <xf numFmtId="40" fontId="17" fillId="8" borderId="39" xfId="64" applyNumberFormat="1" applyFont="1" applyFill="1" applyBorder="1" applyAlignment="1" applyProtection="1">
      <alignment/>
      <protection hidden="1"/>
    </xf>
    <xf numFmtId="40" fontId="15" fillId="0" borderId="45" xfId="64" applyNumberFormat="1" applyFill="1" applyBorder="1" applyProtection="1">
      <alignment/>
      <protection hidden="1"/>
    </xf>
    <xf numFmtId="0" fontId="15" fillId="0" borderId="45" xfId="64" applyFill="1" applyBorder="1" applyAlignment="1" applyProtection="1">
      <alignment wrapText="1"/>
      <protection hidden="1"/>
    </xf>
    <xf numFmtId="191" fontId="8" fillId="51" borderId="39" xfId="64" applyNumberFormat="1" applyFont="1" applyFill="1" applyBorder="1" applyAlignment="1" applyProtection="1">
      <alignment wrapText="1"/>
      <protection hidden="1"/>
    </xf>
    <xf numFmtId="49" fontId="8" fillId="51" borderId="39" xfId="64" applyNumberFormat="1" applyFont="1" applyFill="1" applyBorder="1" applyAlignment="1" applyProtection="1">
      <alignment horizontal="center" vertical="center" wrapText="1"/>
      <protection hidden="1"/>
    </xf>
    <xf numFmtId="40" fontId="8" fillId="51" borderId="39" xfId="64" applyNumberFormat="1" applyFont="1" applyFill="1" applyBorder="1" applyAlignment="1" applyProtection="1">
      <alignment wrapText="1"/>
      <protection hidden="1"/>
    </xf>
    <xf numFmtId="177" fontId="8" fillId="51" borderId="65" xfId="64" applyNumberFormat="1" applyFont="1" applyFill="1" applyBorder="1" applyAlignment="1" applyProtection="1">
      <alignment wrapText="1"/>
      <protection hidden="1"/>
    </xf>
    <xf numFmtId="40" fontId="8" fillId="51" borderId="65" xfId="64" applyNumberFormat="1" applyFont="1" applyFill="1" applyBorder="1" applyAlignment="1" applyProtection="1">
      <alignment wrapText="1"/>
      <protection hidden="1"/>
    </xf>
    <xf numFmtId="10" fontId="8" fillId="51" borderId="65" xfId="64" applyNumberFormat="1" applyFont="1" applyFill="1" applyBorder="1" applyAlignment="1" applyProtection="1">
      <alignment wrapText="1"/>
      <protection hidden="1"/>
    </xf>
    <xf numFmtId="0" fontId="15" fillId="0" borderId="62" xfId="64" applyNumberFormat="1" applyFont="1" applyFill="1" applyBorder="1" applyAlignment="1" applyProtection="1">
      <alignment wrapText="1"/>
      <protection hidden="1"/>
    </xf>
    <xf numFmtId="0" fontId="15" fillId="0" borderId="0" xfId="64" applyFill="1" applyAlignment="1" applyProtection="1">
      <alignment wrapText="1"/>
      <protection hidden="1"/>
    </xf>
    <xf numFmtId="0" fontId="15" fillId="0" borderId="0" xfId="64" applyFill="1" applyBorder="1" applyAlignment="1">
      <alignment wrapText="1"/>
      <protection/>
    </xf>
    <xf numFmtId="0" fontId="15" fillId="0" borderId="0" xfId="64" applyFill="1" applyAlignment="1">
      <alignment wrapText="1"/>
      <protection/>
    </xf>
    <xf numFmtId="0" fontId="15" fillId="50" borderId="45" xfId="64" applyFill="1" applyBorder="1" applyProtection="1">
      <alignment/>
      <protection hidden="1"/>
    </xf>
    <xf numFmtId="192" fontId="8" fillId="50" borderId="39" xfId="64" applyNumberFormat="1" applyFont="1" applyFill="1" applyBorder="1" applyAlignment="1" applyProtection="1">
      <alignment/>
      <protection hidden="1"/>
    </xf>
    <xf numFmtId="0" fontId="15" fillId="50" borderId="62" xfId="64" applyNumberFormat="1" applyFont="1" applyFill="1" applyBorder="1" applyAlignment="1" applyProtection="1">
      <alignment/>
      <protection hidden="1"/>
    </xf>
    <xf numFmtId="0" fontId="15" fillId="50" borderId="0" xfId="64" applyFill="1" applyProtection="1">
      <alignment/>
      <protection hidden="1"/>
    </xf>
    <xf numFmtId="0" fontId="15" fillId="50" borderId="0" xfId="64" applyFill="1" applyBorder="1">
      <alignment/>
      <protection/>
    </xf>
    <xf numFmtId="0" fontId="15" fillId="50" borderId="0" xfId="64" applyFill="1">
      <alignment/>
      <protection/>
    </xf>
    <xf numFmtId="177" fontId="16" fillId="50" borderId="30" xfId="64" applyNumberFormat="1" applyFont="1" applyFill="1" applyBorder="1" applyAlignment="1" applyProtection="1">
      <alignment wrapText="1"/>
      <protection hidden="1"/>
    </xf>
    <xf numFmtId="177" fontId="16" fillId="50" borderId="39" xfId="64" applyNumberFormat="1" applyFont="1" applyFill="1" applyBorder="1" applyAlignment="1" applyProtection="1">
      <alignment wrapText="1"/>
      <protection hidden="1"/>
    </xf>
    <xf numFmtId="4" fontId="17" fillId="50" borderId="31" xfId="64" applyNumberFormat="1" applyFont="1" applyFill="1" applyBorder="1" applyAlignment="1" applyProtection="1">
      <alignment wrapText="1"/>
      <protection hidden="1"/>
    </xf>
    <xf numFmtId="40" fontId="16" fillId="50" borderId="30" xfId="64" applyNumberFormat="1" applyFont="1" applyFill="1" applyBorder="1" applyAlignment="1" applyProtection="1">
      <alignment/>
      <protection hidden="1"/>
    </xf>
    <xf numFmtId="4" fontId="16" fillId="50" borderId="30" xfId="64" applyNumberFormat="1" applyFont="1" applyFill="1" applyBorder="1" applyAlignment="1" applyProtection="1">
      <alignment/>
      <protection hidden="1"/>
    </xf>
    <xf numFmtId="177" fontId="8" fillId="50" borderId="67" xfId="64" applyNumberFormat="1" applyFont="1" applyFill="1" applyBorder="1" applyAlignment="1" applyProtection="1">
      <alignment/>
      <protection hidden="1"/>
    </xf>
    <xf numFmtId="177" fontId="8" fillId="50" borderId="66" xfId="64" applyNumberFormat="1" applyFont="1" applyFill="1" applyBorder="1" applyAlignment="1" applyProtection="1">
      <alignment/>
      <protection hidden="1"/>
    </xf>
    <xf numFmtId="10" fontId="8" fillId="50" borderId="67" xfId="64" applyNumberFormat="1" applyFont="1" applyFill="1" applyBorder="1" applyAlignment="1" applyProtection="1">
      <alignment/>
      <protection hidden="1"/>
    </xf>
    <xf numFmtId="175" fontId="15" fillId="50" borderId="0" xfId="64" applyNumberFormat="1" applyFill="1" applyBorder="1">
      <alignment/>
      <protection/>
    </xf>
    <xf numFmtId="185" fontId="16" fillId="51" borderId="66" xfId="64" applyNumberFormat="1" applyFont="1" applyFill="1" applyBorder="1" applyAlignment="1" applyProtection="1">
      <alignment wrapText="1"/>
      <protection hidden="1"/>
    </xf>
    <xf numFmtId="185" fontId="16" fillId="51" borderId="31" xfId="64" applyNumberFormat="1" applyFont="1" applyFill="1" applyBorder="1" applyAlignment="1" applyProtection="1">
      <alignment wrapText="1"/>
      <protection hidden="1"/>
    </xf>
    <xf numFmtId="177" fontId="16" fillId="51" borderId="31" xfId="64" applyNumberFormat="1" applyFont="1" applyFill="1" applyBorder="1" applyAlignment="1" applyProtection="1">
      <alignment/>
      <protection hidden="1"/>
    </xf>
    <xf numFmtId="4" fontId="8" fillId="59" borderId="39" xfId="64" applyNumberFormat="1" applyFont="1" applyFill="1" applyBorder="1" applyAlignment="1" applyProtection="1">
      <alignment/>
      <protection hidden="1"/>
    </xf>
    <xf numFmtId="40" fontId="16" fillId="59" borderId="30" xfId="64" applyNumberFormat="1" applyFont="1" applyFill="1" applyBorder="1" applyAlignment="1" applyProtection="1">
      <alignment/>
      <protection hidden="1"/>
    </xf>
    <xf numFmtId="40" fontId="8" fillId="47" borderId="39" xfId="64" applyNumberFormat="1" applyFont="1" applyFill="1" applyBorder="1" applyAlignment="1" applyProtection="1">
      <alignment/>
      <protection hidden="1"/>
    </xf>
    <xf numFmtId="4" fontId="17" fillId="0" borderId="16" xfId="64" applyNumberFormat="1" applyFont="1" applyFill="1" applyBorder="1" applyAlignment="1" applyProtection="1">
      <alignment wrapText="1"/>
      <protection hidden="1"/>
    </xf>
    <xf numFmtId="4" fontId="16" fillId="8" borderId="58" xfId="64" applyNumberFormat="1" applyFont="1" applyFill="1" applyBorder="1" applyAlignment="1" applyProtection="1">
      <alignment/>
      <protection hidden="1"/>
    </xf>
    <xf numFmtId="177" fontId="8" fillId="59" borderId="39" xfId="64" applyNumberFormat="1" applyFont="1" applyFill="1" applyBorder="1" applyAlignment="1" applyProtection="1">
      <alignment wrapText="1"/>
      <protection hidden="1"/>
    </xf>
    <xf numFmtId="4" fontId="16" fillId="59" borderId="30" xfId="64" applyNumberFormat="1" applyFont="1" applyFill="1" applyBorder="1" applyAlignment="1" applyProtection="1">
      <alignment/>
      <protection hidden="1"/>
    </xf>
    <xf numFmtId="4" fontId="8" fillId="0" borderId="50" xfId="64" applyNumberFormat="1" applyFont="1" applyFill="1" applyBorder="1" applyAlignment="1" applyProtection="1">
      <alignment wrapText="1"/>
      <protection hidden="1"/>
    </xf>
    <xf numFmtId="177" fontId="8" fillId="0" borderId="50" xfId="64" applyNumberFormat="1" applyFont="1" applyFill="1" applyBorder="1" applyAlignment="1" applyProtection="1">
      <alignment/>
      <protection hidden="1"/>
    </xf>
    <xf numFmtId="177" fontId="17" fillId="0" borderId="20" xfId="64" applyNumberFormat="1" applyFont="1" applyFill="1" applyBorder="1" applyAlignment="1" applyProtection="1">
      <alignment/>
      <protection hidden="1"/>
    </xf>
    <xf numFmtId="4" fontId="17" fillId="8" borderId="20" xfId="64" applyNumberFormat="1" applyFont="1" applyFill="1" applyBorder="1" applyAlignment="1" applyProtection="1">
      <alignment/>
      <protection hidden="1"/>
    </xf>
    <xf numFmtId="40" fontId="17" fillId="0" borderId="20" xfId="64" applyNumberFormat="1" applyFont="1" applyFill="1" applyBorder="1" applyAlignment="1" applyProtection="1">
      <alignment wrapText="1"/>
      <protection hidden="1"/>
    </xf>
    <xf numFmtId="177" fontId="8" fillId="0" borderId="71" xfId="64" applyNumberFormat="1" applyFont="1" applyFill="1" applyBorder="1" applyAlignment="1" applyProtection="1">
      <alignment/>
      <protection hidden="1"/>
    </xf>
    <xf numFmtId="177" fontId="8" fillId="0" borderId="72" xfId="64" applyNumberFormat="1" applyFont="1" applyFill="1" applyBorder="1" applyAlignment="1" applyProtection="1">
      <alignment/>
      <protection hidden="1"/>
    </xf>
    <xf numFmtId="10" fontId="8" fillId="0" borderId="71" xfId="64" applyNumberFormat="1" applyFont="1" applyFill="1" applyBorder="1" applyAlignment="1" applyProtection="1">
      <alignment/>
      <protection hidden="1"/>
    </xf>
    <xf numFmtId="0" fontId="15" fillId="0" borderId="55" xfId="64" applyNumberFormat="1" applyFont="1" applyFill="1" applyBorder="1" applyAlignment="1" applyProtection="1">
      <alignment/>
      <protection hidden="1"/>
    </xf>
    <xf numFmtId="0" fontId="41" fillId="0" borderId="63" xfId="64" applyNumberFormat="1" applyFont="1" applyFill="1" applyBorder="1" applyAlignment="1" applyProtection="1">
      <alignment/>
      <protection hidden="1"/>
    </xf>
    <xf numFmtId="40" fontId="17" fillId="0" borderId="64" xfId="64" applyNumberFormat="1" applyFont="1" applyFill="1" applyBorder="1" applyAlignment="1" applyProtection="1">
      <alignment/>
      <protection hidden="1"/>
    </xf>
    <xf numFmtId="49" fontId="17" fillId="0" borderId="64" xfId="64" applyNumberFormat="1" applyFont="1" applyFill="1" applyBorder="1" applyAlignment="1" applyProtection="1">
      <alignment horizontal="center" vertical="center"/>
      <protection hidden="1"/>
    </xf>
    <xf numFmtId="40" fontId="17" fillId="0" borderId="73" xfId="64" applyNumberFormat="1" applyFont="1" applyFill="1" applyBorder="1" applyAlignment="1" applyProtection="1">
      <alignment/>
      <protection hidden="1"/>
    </xf>
    <xf numFmtId="40" fontId="17" fillId="38" borderId="64" xfId="64" applyNumberFormat="1" applyFont="1" applyFill="1" applyBorder="1" applyAlignment="1" applyProtection="1">
      <alignment/>
      <protection hidden="1"/>
    </xf>
    <xf numFmtId="40" fontId="17" fillId="38" borderId="74" xfId="64" applyNumberFormat="1" applyFont="1" applyFill="1" applyBorder="1" applyAlignment="1" applyProtection="1">
      <alignment/>
      <protection hidden="1"/>
    </xf>
    <xf numFmtId="4" fontId="17" fillId="56" borderId="31" xfId="64" applyNumberFormat="1" applyFont="1" applyFill="1" applyBorder="1" applyAlignment="1" applyProtection="1">
      <alignment wrapText="1"/>
      <protection hidden="1"/>
    </xf>
    <xf numFmtId="40" fontId="17" fillId="44" borderId="73" xfId="64" applyNumberFormat="1" applyFont="1" applyFill="1" applyBorder="1" applyAlignment="1" applyProtection="1">
      <alignment/>
      <protection hidden="1"/>
    </xf>
    <xf numFmtId="4" fontId="17" fillId="0" borderId="73" xfId="64" applyNumberFormat="1" applyFont="1" applyFill="1" applyBorder="1" applyAlignment="1" applyProtection="1">
      <alignment/>
      <protection hidden="1"/>
    </xf>
    <xf numFmtId="40" fontId="15" fillId="0" borderId="74" xfId="64" applyNumberFormat="1" applyFont="1" applyFill="1" applyBorder="1" applyAlignment="1" applyProtection="1">
      <alignment/>
      <protection hidden="1"/>
    </xf>
    <xf numFmtId="40" fontId="15" fillId="0" borderId="64" xfId="64" applyNumberFormat="1" applyFont="1" applyFill="1" applyBorder="1" applyAlignment="1" applyProtection="1">
      <alignment/>
      <protection hidden="1"/>
    </xf>
    <xf numFmtId="40" fontId="15" fillId="0" borderId="18" xfId="64" applyNumberFormat="1" applyFont="1" applyFill="1" applyBorder="1" applyAlignment="1" applyProtection="1">
      <alignment/>
      <protection hidden="1"/>
    </xf>
    <xf numFmtId="40" fontId="15" fillId="0" borderId="0" xfId="64" applyNumberFormat="1" applyFont="1" applyFill="1" applyAlignment="1" applyProtection="1">
      <alignment/>
      <protection hidden="1"/>
    </xf>
    <xf numFmtId="10" fontId="17" fillId="0" borderId="63" xfId="64" applyNumberFormat="1" applyFont="1" applyFill="1" applyBorder="1" applyAlignment="1" applyProtection="1">
      <alignment/>
      <protection hidden="1"/>
    </xf>
    <xf numFmtId="49" fontId="15" fillId="0" borderId="0" xfId="64" applyNumberFormat="1" applyFont="1" applyFill="1" applyAlignment="1" applyProtection="1">
      <alignment horizontal="center" vertical="center"/>
      <protection hidden="1"/>
    </xf>
    <xf numFmtId="4" fontId="8" fillId="0" borderId="0" xfId="64" applyNumberFormat="1" applyFont="1" applyFill="1" applyAlignment="1" applyProtection="1">
      <alignment/>
      <protection hidden="1"/>
    </xf>
    <xf numFmtId="4" fontId="15" fillId="44" borderId="0" xfId="64" applyNumberFormat="1" applyFont="1" applyFill="1" applyAlignment="1" applyProtection="1">
      <alignment/>
      <protection hidden="1"/>
    </xf>
    <xf numFmtId="4" fontId="15" fillId="0" borderId="0" xfId="64" applyNumberFormat="1" applyFont="1" applyFill="1" applyAlignment="1" applyProtection="1">
      <alignment/>
      <protection hidden="1"/>
    </xf>
    <xf numFmtId="10" fontId="15" fillId="0" borderId="0" xfId="64" applyNumberFormat="1" applyFont="1" applyFill="1" applyAlignment="1" applyProtection="1">
      <alignment/>
      <protection hidden="1"/>
    </xf>
    <xf numFmtId="49" fontId="15" fillId="0" borderId="0" xfId="64" applyNumberFormat="1" applyFill="1" applyAlignment="1" applyProtection="1">
      <alignment horizontal="center" vertical="center"/>
      <protection hidden="1"/>
    </xf>
    <xf numFmtId="4" fontId="15" fillId="0" borderId="0" xfId="64" applyNumberFormat="1" applyFill="1" applyProtection="1">
      <alignment/>
      <protection hidden="1"/>
    </xf>
    <xf numFmtId="4" fontId="8" fillId="0" borderId="0" xfId="64" applyNumberFormat="1" applyFont="1" applyFill="1" applyProtection="1">
      <alignment/>
      <protection hidden="1"/>
    </xf>
    <xf numFmtId="0" fontId="15" fillId="0" borderId="0" xfId="64" applyNumberFormat="1" applyFont="1" applyFill="1" applyAlignment="1" applyProtection="1">
      <alignment horizontal="left"/>
      <protection hidden="1"/>
    </xf>
    <xf numFmtId="0" fontId="15" fillId="0" borderId="39" xfId="64" applyNumberFormat="1" applyFont="1" applyFill="1" applyBorder="1" applyAlignment="1" applyProtection="1">
      <alignment horizontal="left"/>
      <protection hidden="1"/>
    </xf>
    <xf numFmtId="175" fontId="15" fillId="60" borderId="39" xfId="64" applyNumberFormat="1" applyFont="1" applyFill="1" applyBorder="1" applyAlignment="1" applyProtection="1">
      <alignment horizontal="left"/>
      <protection hidden="1"/>
    </xf>
    <xf numFmtId="2" fontId="15" fillId="0" borderId="0" xfId="64" applyNumberFormat="1" applyFill="1" applyProtection="1">
      <alignment/>
      <protection hidden="1"/>
    </xf>
    <xf numFmtId="0" fontId="15" fillId="0" borderId="0" xfId="64" applyFont="1" applyFill="1" applyProtection="1">
      <alignment/>
      <protection hidden="1"/>
    </xf>
    <xf numFmtId="4" fontId="15" fillId="0" borderId="0" xfId="64" applyNumberFormat="1" applyFill="1" applyAlignment="1" applyProtection="1">
      <alignment wrapText="1"/>
      <protection hidden="1"/>
    </xf>
    <xf numFmtId="40" fontId="15" fillId="60" borderId="39" xfId="64" applyNumberFormat="1" applyFont="1" applyFill="1" applyBorder="1" applyAlignment="1" applyProtection="1">
      <alignment horizontal="left"/>
      <protection hidden="1"/>
    </xf>
    <xf numFmtId="4" fontId="41" fillId="0" borderId="0" xfId="64" applyNumberFormat="1" applyFont="1" applyFill="1" applyProtection="1">
      <alignment/>
      <protection hidden="1"/>
    </xf>
    <xf numFmtId="175" fontId="15" fillId="0" borderId="39" xfId="64" applyNumberFormat="1" applyFont="1" applyFill="1" applyBorder="1" applyAlignment="1" applyProtection="1">
      <alignment horizontal="left"/>
      <protection hidden="1"/>
    </xf>
    <xf numFmtId="4" fontId="15" fillId="0" borderId="58" xfId="64" applyNumberFormat="1" applyFill="1" applyBorder="1" applyProtection="1">
      <alignment/>
      <protection hidden="1"/>
    </xf>
    <xf numFmtId="0" fontId="15" fillId="0" borderId="46" xfId="64" applyFill="1" applyBorder="1" applyProtection="1">
      <alignment/>
      <protection hidden="1"/>
    </xf>
    <xf numFmtId="0" fontId="15" fillId="44" borderId="46" xfId="64" applyFill="1" applyBorder="1" applyProtection="1">
      <alignment/>
      <protection hidden="1"/>
    </xf>
    <xf numFmtId="4" fontId="15" fillId="0" borderId="46" xfId="64" applyNumberFormat="1" applyFill="1" applyBorder="1" applyProtection="1">
      <alignment/>
      <protection hidden="1"/>
    </xf>
    <xf numFmtId="4" fontId="15" fillId="0" borderId="14" xfId="64" applyNumberFormat="1" applyFill="1" applyBorder="1" applyProtection="1">
      <alignment/>
      <protection hidden="1"/>
    </xf>
    <xf numFmtId="4" fontId="15" fillId="0" borderId="13" xfId="64" applyNumberFormat="1" applyFill="1" applyBorder="1" applyProtection="1">
      <alignment/>
      <protection hidden="1"/>
    </xf>
    <xf numFmtId="4" fontId="15" fillId="0" borderId="0" xfId="64" applyNumberFormat="1" applyFill="1" applyBorder="1" applyProtection="1">
      <alignment/>
      <protection hidden="1"/>
    </xf>
    <xf numFmtId="4" fontId="15" fillId="44" borderId="0" xfId="64" applyNumberFormat="1" applyFill="1" applyBorder="1" applyProtection="1">
      <alignment/>
      <protection hidden="1"/>
    </xf>
    <xf numFmtId="4" fontId="15" fillId="0" borderId="11" xfId="64" applyNumberFormat="1" applyFill="1" applyBorder="1" applyProtection="1">
      <alignment/>
      <protection hidden="1"/>
    </xf>
    <xf numFmtId="4" fontId="15" fillId="0" borderId="13" xfId="64" applyNumberFormat="1" applyFill="1" applyBorder="1" applyAlignment="1" applyProtection="1">
      <alignment wrapText="1"/>
      <protection hidden="1"/>
    </xf>
    <xf numFmtId="4" fontId="15" fillId="0" borderId="15" xfId="64" applyNumberFormat="1" applyFill="1" applyBorder="1" applyProtection="1">
      <alignment/>
      <protection hidden="1"/>
    </xf>
    <xf numFmtId="4" fontId="41" fillId="0" borderId="10" xfId="64" applyNumberFormat="1" applyFont="1" applyFill="1" applyBorder="1" applyProtection="1">
      <alignment/>
      <protection hidden="1"/>
    </xf>
    <xf numFmtId="4" fontId="41" fillId="44" borderId="10" xfId="64" applyNumberFormat="1" applyFont="1" applyFill="1" applyBorder="1" applyProtection="1">
      <alignment/>
      <protection hidden="1"/>
    </xf>
    <xf numFmtId="4" fontId="15" fillId="0" borderId="10" xfId="64" applyNumberFormat="1" applyFill="1" applyBorder="1" applyProtection="1">
      <alignment/>
      <protection hidden="1"/>
    </xf>
    <xf numFmtId="4" fontId="15" fillId="0" borderId="23" xfId="64" applyNumberFormat="1" applyFill="1" applyBorder="1" applyProtection="1">
      <alignment/>
      <protection hidden="1"/>
    </xf>
    <xf numFmtId="0" fontId="24" fillId="0" borderId="39" xfId="65" applyNumberFormat="1" applyFont="1" applyFill="1" applyBorder="1" applyAlignment="1" applyProtection="1">
      <alignment horizontal="centerContinuous" vertical="top"/>
      <protection hidden="1"/>
    </xf>
    <xf numFmtId="0" fontId="15" fillId="41" borderId="39" xfId="64" applyFill="1" applyBorder="1">
      <alignment/>
      <protection/>
    </xf>
    <xf numFmtId="0" fontId="22" fillId="0" borderId="39" xfId="65" applyNumberFormat="1" applyFont="1" applyFill="1" applyBorder="1" applyAlignment="1" applyProtection="1">
      <alignment horizontal="center" wrapText="1"/>
      <protection hidden="1"/>
    </xf>
    <xf numFmtId="0" fontId="24" fillId="0" borderId="39" xfId="65" applyNumberFormat="1" applyFont="1" applyFill="1" applyBorder="1" applyAlignment="1" applyProtection="1">
      <alignment horizontal="center" wrapText="1"/>
      <protection hidden="1"/>
    </xf>
    <xf numFmtId="0" fontId="24" fillId="0" borderId="39" xfId="65" applyNumberFormat="1" applyFont="1" applyFill="1" applyBorder="1" applyAlignment="1" applyProtection="1">
      <alignment horizontal="center" vertical="top"/>
      <protection hidden="1"/>
    </xf>
    <xf numFmtId="0" fontId="22" fillId="0" borderId="39" xfId="65" applyFont="1" applyFill="1" applyBorder="1" applyAlignment="1">
      <alignment horizontal="center"/>
      <protection/>
    </xf>
    <xf numFmtId="0" fontId="22" fillId="0" borderId="39" xfId="65" applyFont="1" applyFill="1" applyBorder="1">
      <alignment/>
      <protection/>
    </xf>
    <xf numFmtId="0" fontId="15" fillId="0" borderId="39" xfId="64" applyFill="1" applyBorder="1">
      <alignment/>
      <protection/>
    </xf>
    <xf numFmtId="4" fontId="15" fillId="44" borderId="39" xfId="64" applyNumberFormat="1" applyFill="1" applyBorder="1">
      <alignment/>
      <protection/>
    </xf>
    <xf numFmtId="4" fontId="15" fillId="41" borderId="39" xfId="64" applyNumberFormat="1" applyFill="1" applyBorder="1">
      <alignment/>
      <protection/>
    </xf>
    <xf numFmtId="1" fontId="32" fillId="0" borderId="12" xfId="65" applyNumberFormat="1" applyFont="1" applyFill="1" applyBorder="1" applyAlignment="1" applyProtection="1">
      <alignment horizontal="left" vertical="top" wrapText="1"/>
      <protection hidden="1"/>
    </xf>
    <xf numFmtId="1" fontId="32" fillId="0" borderId="13" xfId="65" applyNumberFormat="1" applyFont="1" applyFill="1" applyBorder="1" applyAlignment="1" applyProtection="1">
      <alignment horizontal="left" vertical="top" wrapText="1"/>
      <protection hidden="1"/>
    </xf>
    <xf numFmtId="4" fontId="10" fillId="41" borderId="39" xfId="65" applyNumberFormat="1" applyFont="1" applyFill="1" applyBorder="1" applyAlignment="1" applyProtection="1">
      <alignment horizontal="center" vertical="center" wrapText="1"/>
      <protection hidden="1"/>
    </xf>
    <xf numFmtId="4" fontId="10" fillId="0" borderId="39" xfId="65" applyNumberFormat="1" applyFont="1" applyFill="1" applyBorder="1" applyAlignment="1" applyProtection="1">
      <alignment horizontal="center" vertical="center" wrapText="1"/>
      <protection hidden="1"/>
    </xf>
    <xf numFmtId="4" fontId="22" fillId="0" borderId="39" xfId="53" applyNumberFormat="1" applyFont="1" applyFill="1" applyBorder="1" applyAlignment="1" applyProtection="1">
      <alignment horizontal="center" vertical="center"/>
      <protection hidden="1"/>
    </xf>
    <xf numFmtId="4" fontId="10" fillId="0" borderId="39" xfId="65" applyNumberFormat="1" applyFont="1" applyFill="1" applyBorder="1" applyAlignment="1" applyProtection="1">
      <alignment horizontal="center" vertical="center"/>
      <protection hidden="1"/>
    </xf>
    <xf numFmtId="4" fontId="22" fillId="0" borderId="39" xfId="65" applyNumberFormat="1" applyFont="1" applyFill="1" applyBorder="1" applyAlignment="1" applyProtection="1">
      <alignment horizontal="center" vertical="center"/>
      <protection hidden="1"/>
    </xf>
    <xf numFmtId="4" fontId="22" fillId="0" borderId="39" xfId="64" applyNumberFormat="1" applyFont="1" applyFill="1" applyBorder="1" applyAlignment="1">
      <alignment horizontal="center" vertical="center"/>
      <protection/>
    </xf>
    <xf numFmtId="1" fontId="11" fillId="0" borderId="39" xfId="53" applyNumberFormat="1" applyFont="1" applyFill="1" applyBorder="1" applyAlignment="1" applyProtection="1">
      <alignment horizontal="left" vertical="top" wrapText="1"/>
      <protection hidden="1"/>
    </xf>
    <xf numFmtId="4" fontId="10" fillId="41" borderId="39" xfId="53" applyNumberFormat="1" applyFont="1" applyFill="1" applyBorder="1" applyAlignment="1" applyProtection="1">
      <alignment horizontal="center" vertical="center" wrapText="1"/>
      <protection hidden="1"/>
    </xf>
    <xf numFmtId="4" fontId="10" fillId="0" borderId="39" xfId="53" applyNumberFormat="1" applyFont="1" applyFill="1" applyBorder="1" applyAlignment="1" applyProtection="1">
      <alignment horizontal="center" vertical="center" wrapText="1"/>
      <protection hidden="1"/>
    </xf>
    <xf numFmtId="0" fontId="11" fillId="0" borderId="64" xfId="65" applyNumberFormat="1" applyFont="1" applyFill="1" applyBorder="1" applyAlignment="1" applyProtection="1">
      <alignment horizontal="left" vertical="top" wrapText="1"/>
      <protection hidden="1"/>
    </xf>
    <xf numFmtId="0" fontId="11" fillId="0" borderId="73" xfId="65" applyNumberFormat="1" applyFont="1" applyFill="1" applyBorder="1" applyAlignment="1" applyProtection="1">
      <alignment horizontal="left" vertical="top" wrapText="1"/>
      <protection hidden="1"/>
    </xf>
    <xf numFmtId="0" fontId="11" fillId="0" borderId="75" xfId="65" applyNumberFormat="1" applyFont="1" applyFill="1" applyBorder="1" applyAlignment="1" applyProtection="1">
      <alignment horizontal="left" vertical="top" wrapText="1"/>
      <protection hidden="1"/>
    </xf>
    <xf numFmtId="0" fontId="11" fillId="0" borderId="76" xfId="65" applyNumberFormat="1" applyFont="1" applyFill="1" applyBorder="1" applyAlignment="1" applyProtection="1">
      <alignment horizontal="left" vertical="top" wrapText="1"/>
      <protection hidden="1"/>
    </xf>
    <xf numFmtId="4" fontId="22" fillId="0" borderId="39" xfId="53" applyNumberFormat="1" applyFont="1" applyFill="1" applyBorder="1" applyAlignment="1" applyProtection="1">
      <alignment horizontal="center" vertical="center" wrapText="1"/>
      <protection hidden="1"/>
    </xf>
    <xf numFmtId="4" fontId="22" fillId="0" borderId="39" xfId="66" applyNumberFormat="1" applyFont="1" applyFill="1" applyBorder="1" applyAlignment="1" applyProtection="1">
      <alignment horizontal="center" vertical="center"/>
      <protection hidden="1"/>
    </xf>
    <xf numFmtId="0" fontId="11" fillId="0" borderId="61" xfId="65" applyNumberFormat="1" applyFont="1" applyFill="1" applyBorder="1" applyAlignment="1" applyProtection="1">
      <alignment horizontal="left" vertical="top" wrapText="1"/>
      <protection hidden="1"/>
    </xf>
    <xf numFmtId="0" fontId="11" fillId="0" borderId="77" xfId="65" applyNumberFormat="1" applyFont="1" applyFill="1" applyBorder="1" applyAlignment="1" applyProtection="1">
      <alignment horizontal="left" vertical="top" wrapText="1"/>
      <protection hidden="1"/>
    </xf>
    <xf numFmtId="0" fontId="11" fillId="0" borderId="39" xfId="53" applyNumberFormat="1" applyFont="1" applyFill="1" applyBorder="1" applyAlignment="1" applyProtection="1">
      <alignment horizontal="left" vertical="top" wrapText="1"/>
      <protection hidden="1"/>
    </xf>
    <xf numFmtId="0" fontId="15" fillId="44" borderId="39" xfId="64" applyFill="1" applyBorder="1">
      <alignment/>
      <protection/>
    </xf>
    <xf numFmtId="0" fontId="11" fillId="0" borderId="12" xfId="65" applyNumberFormat="1" applyFont="1" applyFill="1" applyBorder="1" applyAlignment="1" applyProtection="1">
      <alignment horizontal="left" vertical="top" wrapText="1"/>
      <protection hidden="1"/>
    </xf>
    <xf numFmtId="0" fontId="11" fillId="0" borderId="13" xfId="65" applyNumberFormat="1" applyFont="1" applyFill="1" applyBorder="1" applyAlignment="1" applyProtection="1">
      <alignment horizontal="left" vertical="top" wrapText="1"/>
      <protection hidden="1"/>
    </xf>
    <xf numFmtId="0" fontId="11" fillId="0" borderId="63" xfId="65" applyNumberFormat="1" applyFont="1" applyFill="1" applyBorder="1" applyAlignment="1" applyProtection="1">
      <alignment horizontal="left" vertical="top" wrapText="1"/>
      <protection hidden="1"/>
    </xf>
    <xf numFmtId="0" fontId="11" fillId="0" borderId="55" xfId="65" applyNumberFormat="1" applyFont="1" applyFill="1" applyBorder="1" applyAlignment="1" applyProtection="1">
      <alignment horizontal="left" vertical="top" wrapText="1"/>
      <protection hidden="1"/>
    </xf>
    <xf numFmtId="4" fontId="22" fillId="0" borderId="39" xfId="0" applyNumberFormat="1" applyFont="1" applyFill="1" applyBorder="1" applyAlignment="1">
      <alignment horizontal="center" vertical="center"/>
    </xf>
    <xf numFmtId="4" fontId="10" fillId="44" borderId="39" xfId="65" applyNumberFormat="1" applyFont="1" applyFill="1" applyBorder="1" applyAlignment="1" applyProtection="1">
      <alignment horizontal="center" vertical="center" wrapText="1"/>
      <protection hidden="1"/>
    </xf>
    <xf numFmtId="4" fontId="15" fillId="41" borderId="0" xfId="64" applyNumberFormat="1" applyFill="1" applyProtection="1">
      <alignment/>
      <protection hidden="1"/>
    </xf>
    <xf numFmtId="4" fontId="15" fillId="0" borderId="0" xfId="64" applyNumberFormat="1" applyFill="1">
      <alignment/>
      <protection/>
    </xf>
    <xf numFmtId="4" fontId="15" fillId="0" borderId="0" xfId="64" applyNumberFormat="1" applyFill="1" applyAlignment="1">
      <alignment horizontal="center" vertical="center"/>
      <protection/>
    </xf>
    <xf numFmtId="0" fontId="45" fillId="0" borderId="46" xfId="66" applyNumberFormat="1" applyFont="1" applyFill="1" applyBorder="1" applyAlignment="1" applyProtection="1">
      <alignment/>
      <protection hidden="1"/>
    </xf>
    <xf numFmtId="0" fontId="45" fillId="0" borderId="14" xfId="66" applyFont="1" applyFill="1" applyBorder="1">
      <alignment/>
      <protection/>
    </xf>
    <xf numFmtId="0" fontId="45" fillId="0" borderId="39" xfId="66" applyNumberFormat="1" applyFont="1" applyFill="1" applyBorder="1" applyAlignment="1" applyProtection="1">
      <alignment/>
      <protection hidden="1"/>
    </xf>
    <xf numFmtId="0" fontId="45" fillId="0" borderId="39" xfId="66" applyFont="1" applyFill="1" applyBorder="1">
      <alignment/>
      <protection/>
    </xf>
    <xf numFmtId="0" fontId="46" fillId="0" borderId="13" xfId="66" applyNumberFormat="1" applyFont="1" applyFill="1" applyBorder="1" applyAlignment="1" applyProtection="1">
      <alignment horizontal="center" vertical="center" wrapText="1"/>
      <protection hidden="1"/>
    </xf>
    <xf numFmtId="0" fontId="46" fillId="0" borderId="11" xfId="66" applyNumberFormat="1" applyFont="1" applyFill="1" applyBorder="1" applyAlignment="1" applyProtection="1">
      <alignment horizontal="center" vertical="center"/>
      <protection hidden="1"/>
    </xf>
    <xf numFmtId="0" fontId="47" fillId="0" borderId="12" xfId="66" applyNumberFormat="1" applyFont="1" applyFill="1" applyBorder="1" applyAlignment="1" applyProtection="1">
      <alignment horizontal="center"/>
      <protection hidden="1"/>
    </xf>
    <xf numFmtId="0" fontId="47" fillId="0" borderId="12" xfId="66" applyFont="1" applyFill="1" applyBorder="1" applyAlignment="1">
      <alignment horizontal="center"/>
      <protection/>
    </xf>
    <xf numFmtId="196" fontId="42" fillId="0" borderId="56" xfId="66" applyNumberFormat="1" applyFont="1" applyFill="1" applyBorder="1" applyAlignment="1" applyProtection="1">
      <alignment wrapText="1"/>
      <protection hidden="1"/>
    </xf>
    <xf numFmtId="4" fontId="48" fillId="0" borderId="78" xfId="66" applyNumberFormat="1" applyFont="1" applyFill="1" applyBorder="1" applyAlignment="1" applyProtection="1">
      <alignment horizontal="right" vertical="center"/>
      <protection hidden="1"/>
    </xf>
    <xf numFmtId="4" fontId="48" fillId="0" borderId="75" xfId="66" applyNumberFormat="1" applyFont="1" applyFill="1" applyBorder="1" applyAlignment="1" applyProtection="1">
      <alignment horizontal="right" vertical="center"/>
      <protection hidden="1"/>
    </xf>
    <xf numFmtId="4" fontId="48" fillId="0" borderId="79" xfId="66" applyNumberFormat="1" applyFont="1" applyFill="1" applyBorder="1" applyAlignment="1" applyProtection="1">
      <alignment horizontal="right" vertical="center"/>
      <protection hidden="1"/>
    </xf>
    <xf numFmtId="196" fontId="42" fillId="0" borderId="15" xfId="66" applyNumberFormat="1" applyFont="1" applyFill="1" applyBorder="1" applyAlignment="1" applyProtection="1">
      <alignment wrapText="1"/>
      <protection hidden="1"/>
    </xf>
    <xf numFmtId="4" fontId="42" fillId="0" borderId="23" xfId="66" applyNumberFormat="1" applyFont="1" applyFill="1" applyBorder="1" applyAlignment="1" applyProtection="1">
      <alignment/>
      <protection hidden="1"/>
    </xf>
    <xf numFmtId="4" fontId="42" fillId="0" borderId="24" xfId="66" applyNumberFormat="1" applyFont="1" applyFill="1" applyBorder="1" applyAlignment="1" applyProtection="1">
      <alignment/>
      <protection hidden="1"/>
    </xf>
    <xf numFmtId="196" fontId="49" fillId="0" borderId="30" xfId="66" applyNumberFormat="1" applyFont="1" applyFill="1" applyBorder="1" applyAlignment="1" applyProtection="1">
      <alignment wrapText="1"/>
      <protection hidden="1"/>
    </xf>
    <xf numFmtId="4" fontId="49" fillId="0" borderId="17" xfId="66" applyNumberFormat="1" applyFont="1" applyFill="1" applyBorder="1" applyAlignment="1" applyProtection="1">
      <alignment/>
      <protection hidden="1"/>
    </xf>
    <xf numFmtId="4" fontId="49" fillId="0" borderId="39" xfId="66" applyNumberFormat="1" applyFont="1" applyFill="1" applyBorder="1" applyAlignment="1" applyProtection="1">
      <alignment/>
      <protection hidden="1"/>
    </xf>
    <xf numFmtId="196" fontId="49" fillId="0" borderId="39" xfId="66" applyNumberFormat="1" applyFont="1" applyFill="1" applyBorder="1" applyAlignment="1" applyProtection="1">
      <alignment wrapText="1"/>
      <protection hidden="1"/>
    </xf>
    <xf numFmtId="196" fontId="48" fillId="0" borderId="30" xfId="66" applyNumberFormat="1" applyFont="1" applyFill="1" applyBorder="1" applyAlignment="1" applyProtection="1">
      <alignment wrapText="1"/>
      <protection hidden="1"/>
    </xf>
    <xf numFmtId="4" fontId="48" fillId="0" borderId="17" xfId="66" applyNumberFormat="1" applyFont="1" applyFill="1" applyBorder="1" applyAlignment="1" applyProtection="1">
      <alignment/>
      <protection hidden="1"/>
    </xf>
    <xf numFmtId="4" fontId="48" fillId="0" borderId="39" xfId="66" applyNumberFormat="1" applyFont="1" applyFill="1" applyBorder="1" applyAlignment="1" applyProtection="1">
      <alignment/>
      <protection hidden="1"/>
    </xf>
    <xf numFmtId="196" fontId="42" fillId="0" borderId="30" xfId="66" applyNumberFormat="1" applyFont="1" applyFill="1" applyBorder="1" applyAlignment="1" applyProtection="1">
      <alignment wrapText="1"/>
      <protection hidden="1"/>
    </xf>
    <xf numFmtId="4" fontId="42" fillId="0" borderId="17" xfId="66" applyNumberFormat="1" applyFont="1" applyFill="1" applyBorder="1" applyAlignment="1" applyProtection="1">
      <alignment/>
      <protection hidden="1"/>
    </xf>
    <xf numFmtId="4" fontId="42" fillId="0" borderId="39" xfId="66" applyNumberFormat="1" applyFont="1" applyFill="1" applyBorder="1" applyAlignment="1" applyProtection="1">
      <alignment/>
      <protection hidden="1"/>
    </xf>
    <xf numFmtId="196" fontId="50" fillId="0" borderId="30" xfId="66" applyNumberFormat="1" applyFont="1" applyFill="1" applyBorder="1" applyAlignment="1" applyProtection="1">
      <alignment wrapText="1"/>
      <protection hidden="1"/>
    </xf>
    <xf numFmtId="4" fontId="50" fillId="0" borderId="17" xfId="66" applyNumberFormat="1" applyFont="1" applyFill="1" applyBorder="1" applyAlignment="1" applyProtection="1">
      <alignment/>
      <protection hidden="1"/>
    </xf>
    <xf numFmtId="4" fontId="50" fillId="0" borderId="39" xfId="66" applyNumberFormat="1" applyFont="1" applyFill="1" applyBorder="1" applyAlignment="1" applyProtection="1">
      <alignment/>
      <protection hidden="1"/>
    </xf>
    <xf numFmtId="196" fontId="51" fillId="0" borderId="30" xfId="66" applyNumberFormat="1" applyFont="1" applyFill="1" applyBorder="1" applyAlignment="1" applyProtection="1">
      <alignment wrapText="1"/>
      <protection hidden="1"/>
    </xf>
    <xf numFmtId="196" fontId="51" fillId="0" borderId="39" xfId="66" applyNumberFormat="1" applyFont="1" applyFill="1" applyBorder="1" applyAlignment="1" applyProtection="1">
      <alignment wrapText="1"/>
      <protection hidden="1"/>
    </xf>
    <xf numFmtId="4" fontId="51" fillId="0" borderId="17" xfId="66" applyNumberFormat="1" applyFont="1" applyFill="1" applyBorder="1" applyAlignment="1" applyProtection="1">
      <alignment/>
      <protection hidden="1"/>
    </xf>
    <xf numFmtId="4" fontId="51" fillId="0" borderId="39" xfId="66" applyNumberFormat="1" applyFont="1" applyFill="1" applyBorder="1" applyAlignment="1" applyProtection="1">
      <alignment/>
      <protection hidden="1"/>
    </xf>
    <xf numFmtId="49" fontId="11" fillId="0" borderId="30" xfId="0" applyNumberFormat="1" applyFont="1" applyFill="1" applyBorder="1" applyAlignment="1">
      <alignment horizontal="right"/>
    </xf>
    <xf numFmtId="49" fontId="10" fillId="0" borderId="30" xfId="0" applyNumberFormat="1" applyFont="1" applyFill="1" applyBorder="1" applyAlignment="1">
      <alignment horizontal="right"/>
    </xf>
    <xf numFmtId="4" fontId="10" fillId="0" borderId="17" xfId="66" applyNumberFormat="1" applyFont="1" applyFill="1" applyBorder="1" applyAlignment="1" applyProtection="1">
      <alignment/>
      <protection hidden="1"/>
    </xf>
    <xf numFmtId="4" fontId="10" fillId="0" borderId="39" xfId="66" applyNumberFormat="1" applyFont="1" applyFill="1" applyBorder="1" applyAlignment="1" applyProtection="1">
      <alignment/>
      <protection hidden="1"/>
    </xf>
    <xf numFmtId="196" fontId="42" fillId="0" borderId="30" xfId="66" applyNumberFormat="1" applyFont="1" applyFill="1" applyBorder="1" applyAlignment="1" applyProtection="1">
      <alignment horizontal="right" wrapText="1"/>
      <protection hidden="1"/>
    </xf>
    <xf numFmtId="196" fontId="49" fillId="0" borderId="58" xfId="66" applyNumberFormat="1" applyFont="1" applyFill="1" applyBorder="1" applyAlignment="1" applyProtection="1">
      <alignment wrapText="1"/>
      <protection hidden="1"/>
    </xf>
    <xf numFmtId="4" fontId="49" fillId="0" borderId="14" xfId="67" applyNumberFormat="1" applyFont="1" applyFill="1" applyBorder="1" applyAlignment="1" applyProtection="1">
      <alignment/>
      <protection hidden="1"/>
    </xf>
    <xf numFmtId="4" fontId="49" fillId="0" borderId="16" xfId="67" applyNumberFormat="1" applyFont="1" applyFill="1" applyBorder="1" applyAlignment="1" applyProtection="1">
      <alignment/>
      <protection hidden="1"/>
    </xf>
    <xf numFmtId="0" fontId="15" fillId="0" borderId="60" xfId="64" applyFill="1" applyBorder="1">
      <alignment/>
      <protection/>
    </xf>
    <xf numFmtId="0" fontId="42" fillId="0" borderId="60" xfId="66" applyNumberFormat="1" applyFont="1" applyFill="1" applyBorder="1" applyAlignment="1" applyProtection="1">
      <alignment horizontal="left"/>
      <protection hidden="1"/>
    </xf>
    <xf numFmtId="4" fontId="11" fillId="0" borderId="60" xfId="0" applyNumberFormat="1" applyFont="1" applyFill="1" applyBorder="1" applyAlignment="1">
      <alignment/>
    </xf>
    <xf numFmtId="4" fontId="11" fillId="0" borderId="56" xfId="0" applyNumberFormat="1" applyFont="1" applyFill="1" applyBorder="1" applyAlignment="1">
      <alignment/>
    </xf>
    <xf numFmtId="4" fontId="15" fillId="0" borderId="60" xfId="64" applyNumberFormat="1" applyFill="1" applyBorder="1">
      <alignment/>
      <protection/>
    </xf>
    <xf numFmtId="49" fontId="15" fillId="0" borderId="0" xfId="64" applyNumberFormat="1" applyFill="1" applyAlignment="1">
      <alignment horizontal="center" vertical="center"/>
      <protection/>
    </xf>
    <xf numFmtId="49" fontId="29" fillId="0" borderId="0" xfId="0" applyNumberFormat="1" applyFont="1" applyBorder="1" applyAlignment="1">
      <alignment horizontal="center"/>
    </xf>
    <xf numFmtId="0" fontId="30" fillId="0" borderId="0" xfId="0" applyFont="1" applyAlignment="1">
      <alignment horizontal="center"/>
    </xf>
    <xf numFmtId="49" fontId="11" fillId="0" borderId="0" xfId="0" applyNumberFormat="1" applyFont="1" applyBorder="1" applyAlignment="1">
      <alignment horizontal="center"/>
    </xf>
    <xf numFmtId="49" fontId="32" fillId="0" borderId="51" xfId="0" applyNumberFormat="1" applyFont="1" applyFill="1" applyBorder="1" applyAlignment="1">
      <alignment horizontal="center" vertical="center" wrapText="1"/>
    </xf>
    <xf numFmtId="49" fontId="32" fillId="0" borderId="52" xfId="0" applyNumberFormat="1" applyFont="1" applyFill="1" applyBorder="1" applyAlignment="1">
      <alignment horizontal="center" vertical="center" wrapText="1"/>
    </xf>
    <xf numFmtId="49" fontId="32" fillId="0" borderId="53" xfId="0" applyNumberFormat="1" applyFont="1" applyFill="1" applyBorder="1" applyAlignment="1">
      <alignment horizontal="center" vertical="center" wrapText="1"/>
    </xf>
    <xf numFmtId="49" fontId="32" fillId="0" borderId="59" xfId="0" applyNumberFormat="1" applyFont="1" applyFill="1" applyBorder="1" applyAlignment="1">
      <alignment horizontal="center" vertical="center" wrapText="1"/>
    </xf>
    <xf numFmtId="49" fontId="32" fillId="0" borderId="62" xfId="0" applyNumberFormat="1" applyFont="1" applyFill="1" applyBorder="1" applyAlignment="1">
      <alignment horizontal="center" vertical="center" wrapText="1"/>
    </xf>
    <xf numFmtId="49" fontId="32" fillId="0" borderId="63" xfId="0" applyNumberFormat="1" applyFont="1" applyFill="1" applyBorder="1" applyAlignment="1">
      <alignment horizontal="center" vertical="center" wrapText="1"/>
    </xf>
    <xf numFmtId="0" fontId="32" fillId="0" borderId="51" xfId="0" applyFont="1" applyFill="1" applyBorder="1" applyAlignment="1">
      <alignment horizontal="center" vertical="center" wrapText="1"/>
    </xf>
    <xf numFmtId="0" fontId="32" fillId="0" borderId="52"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0" borderId="52" xfId="0" applyFont="1" applyBorder="1" applyAlignment="1">
      <alignment horizontal="center" vertical="center" wrapText="1"/>
    </xf>
    <xf numFmtId="0" fontId="32" fillId="0" borderId="53" xfId="0" applyFont="1" applyBorder="1" applyAlignment="1">
      <alignment horizontal="center" vertical="center" wrapText="1"/>
    </xf>
    <xf numFmtId="49" fontId="32" fillId="0" borderId="51" xfId="0" applyNumberFormat="1" applyFont="1" applyBorder="1" applyAlignment="1">
      <alignment horizontal="center" vertical="center" wrapText="1"/>
    </xf>
    <xf numFmtId="49" fontId="32" fillId="34" borderId="51" xfId="0" applyNumberFormat="1" applyFont="1" applyFill="1" applyBorder="1" applyAlignment="1">
      <alignment horizontal="center" vertical="center" wrapText="1"/>
    </xf>
    <xf numFmtId="0" fontId="0" fillId="0" borderId="39" xfId="0" applyFill="1" applyBorder="1" applyAlignment="1">
      <alignment horizontal="center" wrapText="1"/>
    </xf>
    <xf numFmtId="0" fontId="15" fillId="0" borderId="0" xfId="64" applyFill="1" applyAlignment="1">
      <alignment horizontal="center"/>
      <protection/>
    </xf>
    <xf numFmtId="0" fontId="49" fillId="0" borderId="16" xfId="66" applyNumberFormat="1" applyFont="1" applyFill="1" applyBorder="1" applyAlignment="1" applyProtection="1">
      <alignment wrapText="1"/>
      <protection hidden="1"/>
    </xf>
    <xf numFmtId="196" fontId="49" fillId="0" borderId="16" xfId="66" applyNumberFormat="1" applyFont="1" applyFill="1" applyBorder="1" applyAlignment="1" applyProtection="1">
      <alignment horizontal="center" wrapText="1"/>
      <protection hidden="1"/>
    </xf>
    <xf numFmtId="0" fontId="42" fillId="0" borderId="56" xfId="66" applyNumberFormat="1" applyFont="1" applyFill="1" applyBorder="1" applyAlignment="1" applyProtection="1">
      <alignment horizontal="center"/>
      <protection hidden="1"/>
    </xf>
    <xf numFmtId="0" fontId="42" fillId="0" borderId="78" xfId="66" applyNumberFormat="1" applyFont="1" applyFill="1" applyBorder="1" applyAlignment="1" applyProtection="1">
      <alignment horizontal="center"/>
      <protection hidden="1"/>
    </xf>
    <xf numFmtId="0" fontId="42" fillId="0" borderId="80" xfId="66" applyNumberFormat="1" applyFont="1" applyFill="1" applyBorder="1" applyAlignment="1" applyProtection="1">
      <alignment horizontal="center"/>
      <protection hidden="1"/>
    </xf>
    <xf numFmtId="0" fontId="42" fillId="0" borderId="79" xfId="66" applyNumberFormat="1" applyFont="1" applyFill="1" applyBorder="1" applyAlignment="1" applyProtection="1">
      <alignment horizontal="center"/>
      <protection hidden="1"/>
    </xf>
    <xf numFmtId="0" fontId="11" fillId="0" borderId="39" xfId="0" applyFont="1" applyFill="1" applyBorder="1" applyAlignment="1">
      <alignment wrapText="1"/>
    </xf>
    <xf numFmtId="196" fontId="42" fillId="0" borderId="39" xfId="66" applyNumberFormat="1" applyFont="1" applyFill="1" applyBorder="1" applyAlignment="1" applyProtection="1">
      <alignment horizontal="center" wrapText="1"/>
      <protection hidden="1"/>
    </xf>
    <xf numFmtId="0" fontId="10" fillId="0" borderId="39" xfId="0" applyFont="1" applyFill="1" applyBorder="1" applyAlignment="1">
      <alignment wrapText="1"/>
    </xf>
    <xf numFmtId="49" fontId="10" fillId="0" borderId="39" xfId="0" applyNumberFormat="1" applyFont="1" applyFill="1" applyBorder="1" applyAlignment="1">
      <alignment horizontal="center"/>
    </xf>
    <xf numFmtId="0" fontId="42" fillId="0" borderId="39" xfId="66" applyNumberFormat="1" applyFont="1" applyFill="1" applyBorder="1" applyAlignment="1" applyProtection="1">
      <alignment wrapText="1"/>
      <protection hidden="1"/>
    </xf>
    <xf numFmtId="0" fontId="51" fillId="0" borderId="39" xfId="66" applyNumberFormat="1" applyFont="1" applyFill="1" applyBorder="1" applyAlignment="1" applyProtection="1">
      <alignment wrapText="1"/>
      <protection hidden="1"/>
    </xf>
    <xf numFmtId="0" fontId="49" fillId="0" borderId="39" xfId="66" applyNumberFormat="1" applyFont="1" applyFill="1" applyBorder="1" applyAlignment="1" applyProtection="1">
      <alignment wrapText="1"/>
      <protection hidden="1"/>
    </xf>
    <xf numFmtId="196" fontId="49" fillId="0" borderId="39" xfId="66" applyNumberFormat="1" applyFont="1" applyFill="1" applyBorder="1" applyAlignment="1" applyProtection="1">
      <alignment horizontal="center" wrapText="1"/>
      <protection hidden="1"/>
    </xf>
    <xf numFmtId="0" fontId="50" fillId="0" borderId="39" xfId="66" applyNumberFormat="1" applyFont="1" applyFill="1" applyBorder="1" applyAlignment="1" applyProtection="1">
      <alignment wrapText="1"/>
      <protection hidden="1"/>
    </xf>
    <xf numFmtId="196" fontId="50" fillId="0" borderId="39" xfId="66" applyNumberFormat="1" applyFont="1" applyFill="1" applyBorder="1" applyAlignment="1" applyProtection="1">
      <alignment horizontal="center" wrapText="1"/>
      <protection hidden="1"/>
    </xf>
    <xf numFmtId="49" fontId="10" fillId="0" borderId="39" xfId="53" applyNumberFormat="1" applyFont="1" applyFill="1" applyBorder="1" applyAlignment="1" applyProtection="1">
      <alignment wrapText="1"/>
      <protection hidden="1"/>
    </xf>
    <xf numFmtId="0" fontId="48" fillId="0" borderId="39" xfId="66" applyNumberFormat="1" applyFont="1" applyFill="1" applyBorder="1" applyAlignment="1" applyProtection="1">
      <alignment wrapText="1"/>
      <protection hidden="1"/>
    </xf>
    <xf numFmtId="196" fontId="48" fillId="0" borderId="39" xfId="66" applyNumberFormat="1" applyFont="1" applyFill="1" applyBorder="1" applyAlignment="1" applyProtection="1">
      <alignment horizontal="center" wrapText="1"/>
      <protection hidden="1"/>
    </xf>
    <xf numFmtId="0" fontId="49" fillId="0" borderId="30" xfId="66" applyNumberFormat="1" applyFont="1" applyFill="1" applyBorder="1" applyAlignment="1" applyProtection="1">
      <alignment wrapText="1"/>
      <protection hidden="1"/>
    </xf>
    <xf numFmtId="0" fontId="49" fillId="0" borderId="17" xfId="66" applyNumberFormat="1" applyFont="1" applyFill="1" applyBorder="1" applyAlignment="1" applyProtection="1">
      <alignment wrapText="1"/>
      <protection hidden="1"/>
    </xf>
    <xf numFmtId="49" fontId="11" fillId="0" borderId="39" xfId="65" applyNumberFormat="1" applyFont="1" applyFill="1" applyBorder="1" applyAlignment="1" applyProtection="1">
      <alignment wrapText="1"/>
      <protection hidden="1"/>
    </xf>
    <xf numFmtId="0" fontId="45" fillId="0" borderId="58" xfId="66" applyNumberFormat="1" applyFont="1" applyFill="1" applyBorder="1" applyAlignment="1" applyProtection="1">
      <alignment horizontal="center" vertical="center"/>
      <protection hidden="1"/>
    </xf>
    <xf numFmtId="0" fontId="45" fillId="0" borderId="46" xfId="66" applyNumberFormat="1" applyFont="1" applyFill="1" applyBorder="1" applyAlignment="1" applyProtection="1">
      <alignment horizontal="center" vertical="center"/>
      <protection hidden="1"/>
    </xf>
    <xf numFmtId="0" fontId="45" fillId="0" borderId="15" xfId="66" applyNumberFormat="1" applyFont="1" applyFill="1" applyBorder="1" applyAlignment="1" applyProtection="1">
      <alignment horizontal="center" vertical="center"/>
      <protection hidden="1"/>
    </xf>
    <xf numFmtId="0" fontId="45" fillId="0" borderId="10" xfId="66" applyNumberFormat="1" applyFont="1" applyFill="1" applyBorder="1" applyAlignment="1" applyProtection="1">
      <alignment horizontal="center" vertical="center"/>
      <protection hidden="1"/>
    </xf>
    <xf numFmtId="0" fontId="45" fillId="0" borderId="58" xfId="66" applyNumberFormat="1" applyFont="1" applyFill="1" applyBorder="1" applyAlignment="1" applyProtection="1">
      <alignment horizontal="center" vertical="center" wrapText="1"/>
      <protection hidden="1"/>
    </xf>
    <xf numFmtId="0" fontId="45" fillId="0" borderId="15" xfId="66" applyNumberFormat="1" applyFont="1" applyFill="1" applyBorder="1" applyAlignment="1" applyProtection="1">
      <alignment horizontal="center" vertical="center" wrapText="1"/>
      <protection hidden="1"/>
    </xf>
    <xf numFmtId="0" fontId="45" fillId="0" borderId="39" xfId="66" applyNumberFormat="1" applyFont="1" applyFill="1" applyBorder="1" applyAlignment="1" applyProtection="1">
      <alignment horizontal="center" vertical="center" wrapText="1"/>
      <protection hidden="1"/>
    </xf>
    <xf numFmtId="0" fontId="45" fillId="0" borderId="14" xfId="66" applyNumberFormat="1" applyFont="1" applyFill="1" applyBorder="1" applyAlignment="1" applyProtection="1">
      <alignment horizontal="center" wrapText="1"/>
      <protection hidden="1"/>
    </xf>
    <xf numFmtId="0" fontId="45" fillId="0" borderId="23" xfId="66" applyNumberFormat="1" applyFont="1" applyFill="1" applyBorder="1" applyAlignment="1" applyProtection="1">
      <alignment horizontal="center" wrapText="1"/>
      <protection hidden="1"/>
    </xf>
    <xf numFmtId="0" fontId="46" fillId="0" borderId="39" xfId="66" applyNumberFormat="1" applyFont="1" applyFill="1" applyBorder="1" applyAlignment="1" applyProtection="1">
      <alignment vertical="center"/>
      <protection hidden="1"/>
    </xf>
    <xf numFmtId="0" fontId="46" fillId="0" borderId="39" xfId="66" applyNumberFormat="1" applyFont="1" applyFill="1" applyBorder="1" applyAlignment="1" applyProtection="1">
      <alignment horizontal="center" vertical="center" wrapText="1"/>
      <protection hidden="1"/>
    </xf>
    <xf numFmtId="49" fontId="11" fillId="0" borderId="56" xfId="53" applyNumberFormat="1" applyFont="1" applyFill="1" applyBorder="1" applyAlignment="1" applyProtection="1">
      <alignment horizontal="center" vertical="top" wrapText="1"/>
      <protection hidden="1"/>
    </xf>
    <xf numFmtId="49" fontId="11" fillId="0" borderId="60" xfId="53" applyNumberFormat="1" applyFont="1" applyFill="1" applyBorder="1" applyAlignment="1" applyProtection="1">
      <alignment horizontal="center" vertical="top" wrapText="1"/>
      <protection hidden="1"/>
    </xf>
    <xf numFmtId="49" fontId="11" fillId="0" borderId="78" xfId="53" applyNumberFormat="1" applyFont="1" applyFill="1" applyBorder="1" applyAlignment="1" applyProtection="1">
      <alignment horizontal="center" vertical="top" wrapText="1"/>
      <protection hidden="1"/>
    </xf>
    <xf numFmtId="2" fontId="11" fillId="0" borderId="56" xfId="65" applyNumberFormat="1" applyFont="1" applyFill="1" applyBorder="1" applyAlignment="1" applyProtection="1">
      <alignment horizontal="center" vertical="top" wrapText="1"/>
      <protection hidden="1"/>
    </xf>
    <xf numFmtId="2" fontId="11" fillId="0" borderId="60" xfId="65" applyNumberFormat="1" applyFont="1" applyFill="1" applyBorder="1" applyAlignment="1" applyProtection="1">
      <alignment horizontal="center" vertical="top" wrapText="1"/>
      <protection hidden="1"/>
    </xf>
    <xf numFmtId="2" fontId="11" fillId="0" borderId="78" xfId="65" applyNumberFormat="1" applyFont="1" applyFill="1" applyBorder="1" applyAlignment="1" applyProtection="1">
      <alignment horizontal="center" vertical="top" wrapText="1"/>
      <protection hidden="1"/>
    </xf>
    <xf numFmtId="0" fontId="11" fillId="0" borderId="56" xfId="53" applyNumberFormat="1" applyFont="1" applyFill="1" applyBorder="1" applyAlignment="1" applyProtection="1">
      <alignment horizontal="center" vertical="top" wrapText="1"/>
      <protection hidden="1"/>
    </xf>
    <xf numFmtId="0" fontId="11" fillId="0" borderId="60" xfId="53" applyNumberFormat="1" applyFont="1" applyFill="1" applyBorder="1" applyAlignment="1" applyProtection="1">
      <alignment horizontal="center" vertical="top" wrapText="1"/>
      <protection hidden="1"/>
    </xf>
    <xf numFmtId="49" fontId="11" fillId="0" borderId="39" xfId="65" applyNumberFormat="1" applyFont="1" applyFill="1" applyBorder="1" applyAlignment="1" applyProtection="1">
      <alignment horizontal="center" vertical="top" wrapText="1"/>
      <protection hidden="1"/>
    </xf>
    <xf numFmtId="49" fontId="11" fillId="0" borderId="56" xfId="65" applyNumberFormat="1" applyFont="1" applyFill="1" applyBorder="1" applyAlignment="1" applyProtection="1">
      <alignment horizontal="center" vertical="top" wrapText="1"/>
      <protection hidden="1"/>
    </xf>
    <xf numFmtId="49" fontId="11" fillId="0" borderId="60" xfId="65" applyNumberFormat="1" applyFont="1" applyFill="1" applyBorder="1" applyAlignment="1" applyProtection="1">
      <alignment horizontal="center" vertical="top" wrapText="1"/>
      <protection hidden="1"/>
    </xf>
    <xf numFmtId="49" fontId="11" fillId="0" borderId="78" xfId="65" applyNumberFormat="1" applyFont="1" applyFill="1" applyBorder="1" applyAlignment="1" applyProtection="1">
      <alignment horizontal="center" vertical="top" wrapText="1"/>
      <protection hidden="1"/>
    </xf>
    <xf numFmtId="49" fontId="11" fillId="0" borderId="56" xfId="66" applyNumberFormat="1" applyFont="1" applyFill="1" applyBorder="1" applyAlignment="1" applyProtection="1">
      <alignment horizontal="center" vertical="top" wrapText="1"/>
      <protection hidden="1"/>
    </xf>
    <xf numFmtId="49" fontId="11" fillId="0" borderId="60" xfId="66" applyNumberFormat="1" applyFont="1" applyFill="1" applyBorder="1" applyAlignment="1" applyProtection="1">
      <alignment horizontal="center" vertical="top" wrapText="1"/>
      <protection hidden="1"/>
    </xf>
    <xf numFmtId="49" fontId="11" fillId="0" borderId="78" xfId="66" applyNumberFormat="1" applyFont="1" applyFill="1" applyBorder="1" applyAlignment="1" applyProtection="1">
      <alignment horizontal="center" vertical="top" wrapText="1"/>
      <protection hidden="1"/>
    </xf>
    <xf numFmtId="185" fontId="17" fillId="0" borderId="41" xfId="64" applyNumberFormat="1" applyFont="1" applyFill="1" applyBorder="1" applyAlignment="1" applyProtection="1">
      <alignment wrapText="1"/>
      <protection hidden="1"/>
    </xf>
    <xf numFmtId="185" fontId="17" fillId="0" borderId="72" xfId="64" applyNumberFormat="1" applyFont="1" applyFill="1" applyBorder="1" applyAlignment="1" applyProtection="1">
      <alignment wrapText="1"/>
      <protection hidden="1"/>
    </xf>
    <xf numFmtId="177" fontId="17" fillId="0" borderId="29" xfId="64" applyNumberFormat="1" applyFont="1" applyFill="1" applyBorder="1" applyAlignment="1" applyProtection="1">
      <alignment/>
      <protection hidden="1"/>
    </xf>
    <xf numFmtId="0" fontId="91" fillId="0" borderId="0" xfId="0" applyFont="1" applyAlignment="1">
      <alignment horizontal="center" wrapText="1"/>
    </xf>
    <xf numFmtId="49" fontId="11" fillId="0" borderId="63" xfId="53" applyNumberFormat="1" applyFont="1" applyFill="1" applyBorder="1" applyAlignment="1" applyProtection="1">
      <alignment horizontal="center" vertical="top" wrapText="1"/>
      <protection hidden="1"/>
    </xf>
    <xf numFmtId="49" fontId="11" fillId="0" borderId="55" xfId="53" applyNumberFormat="1" applyFont="1" applyFill="1" applyBorder="1" applyAlignment="1" applyProtection="1">
      <alignment horizontal="center" vertical="top" wrapText="1"/>
      <protection hidden="1"/>
    </xf>
    <xf numFmtId="49" fontId="11" fillId="0" borderId="74" xfId="53" applyNumberFormat="1" applyFont="1" applyFill="1" applyBorder="1" applyAlignment="1" applyProtection="1">
      <alignment horizontal="center" vertical="top" wrapText="1"/>
      <protection hidden="1"/>
    </xf>
    <xf numFmtId="185" fontId="16" fillId="0" borderId="65" xfId="64" applyNumberFormat="1" applyFont="1" applyFill="1" applyBorder="1" applyAlignment="1" applyProtection="1">
      <alignment wrapText="1"/>
      <protection hidden="1"/>
    </xf>
    <xf numFmtId="185" fontId="16" fillId="0" borderId="26" xfId="64" applyNumberFormat="1" applyFont="1" applyFill="1" applyBorder="1" applyAlignment="1" applyProtection="1">
      <alignment wrapText="1"/>
      <protection hidden="1"/>
    </xf>
    <xf numFmtId="185" fontId="16" fillId="0" borderId="66" xfId="64" applyNumberFormat="1" applyFont="1" applyFill="1" applyBorder="1" applyAlignment="1" applyProtection="1">
      <alignment wrapText="1"/>
      <protection hidden="1"/>
    </xf>
    <xf numFmtId="177" fontId="16" fillId="0" borderId="65" xfId="64" applyNumberFormat="1" applyFont="1" applyFill="1" applyBorder="1" applyAlignment="1" applyProtection="1">
      <alignment/>
      <protection hidden="1"/>
    </xf>
    <xf numFmtId="185" fontId="16" fillId="48" borderId="66" xfId="64" applyNumberFormat="1" applyFont="1" applyFill="1" applyBorder="1" applyAlignment="1" applyProtection="1">
      <alignment wrapText="1"/>
      <protection hidden="1"/>
    </xf>
    <xf numFmtId="185" fontId="16" fillId="48" borderId="31" xfId="64" applyNumberFormat="1" applyFont="1" applyFill="1" applyBorder="1" applyAlignment="1" applyProtection="1">
      <alignment wrapText="1"/>
      <protection hidden="1"/>
    </xf>
    <xf numFmtId="185" fontId="16" fillId="48" borderId="67" xfId="64" applyNumberFormat="1" applyFont="1" applyFill="1" applyBorder="1" applyAlignment="1" applyProtection="1">
      <alignment wrapText="1"/>
      <protection hidden="1"/>
    </xf>
    <xf numFmtId="185" fontId="16" fillId="0" borderId="31" xfId="64" applyNumberFormat="1" applyFont="1" applyFill="1" applyBorder="1" applyAlignment="1" applyProtection="1">
      <alignment wrapText="1"/>
      <protection hidden="1"/>
    </xf>
    <xf numFmtId="185" fontId="16" fillId="0" borderId="17" xfId="64" applyNumberFormat="1" applyFont="1" applyFill="1" applyBorder="1" applyAlignment="1" applyProtection="1">
      <alignment wrapText="1"/>
      <protection hidden="1"/>
    </xf>
    <xf numFmtId="177" fontId="16" fillId="0" borderId="66" xfId="64" applyNumberFormat="1" applyFont="1" applyFill="1" applyBorder="1" applyAlignment="1" applyProtection="1">
      <alignment/>
      <protection hidden="1"/>
    </xf>
    <xf numFmtId="177" fontId="16" fillId="0" borderId="31" xfId="64" applyNumberFormat="1" applyFont="1" applyFill="1" applyBorder="1" applyAlignment="1" applyProtection="1">
      <alignment/>
      <protection hidden="1"/>
    </xf>
    <xf numFmtId="177" fontId="16" fillId="0" borderId="67" xfId="64" applyNumberFormat="1" applyFont="1" applyFill="1" applyBorder="1" applyAlignment="1" applyProtection="1">
      <alignment/>
      <protection hidden="1"/>
    </xf>
    <xf numFmtId="185" fontId="16" fillId="0" borderId="70" xfId="64" applyNumberFormat="1" applyFont="1" applyFill="1" applyBorder="1" applyAlignment="1" applyProtection="1">
      <alignment wrapText="1"/>
      <protection hidden="1"/>
    </xf>
    <xf numFmtId="185" fontId="16" fillId="0" borderId="10" xfId="64" applyNumberFormat="1" applyFont="1" applyFill="1" applyBorder="1" applyAlignment="1" applyProtection="1">
      <alignment wrapText="1"/>
      <protection hidden="1"/>
    </xf>
    <xf numFmtId="185" fontId="16" fillId="0" borderId="47" xfId="64" applyNumberFormat="1" applyFont="1" applyFill="1" applyBorder="1" applyAlignment="1" applyProtection="1">
      <alignment wrapText="1"/>
      <protection hidden="1"/>
    </xf>
    <xf numFmtId="185" fontId="17" fillId="48" borderId="56" xfId="64" applyNumberFormat="1" applyFont="1" applyFill="1" applyBorder="1" applyAlignment="1" applyProtection="1">
      <alignment horizontal="center" wrapText="1"/>
      <protection hidden="1"/>
    </xf>
    <xf numFmtId="185" fontId="17" fillId="48" borderId="60" xfId="64" applyNumberFormat="1" applyFont="1" applyFill="1" applyBorder="1" applyAlignment="1" applyProtection="1">
      <alignment horizontal="center" wrapText="1"/>
      <protection hidden="1"/>
    </xf>
    <xf numFmtId="185" fontId="17" fillId="48" borderId="57" xfId="64" applyNumberFormat="1" applyFont="1" applyFill="1" applyBorder="1" applyAlignment="1" applyProtection="1">
      <alignment horizontal="center" wrapText="1"/>
      <protection hidden="1"/>
    </xf>
    <xf numFmtId="185" fontId="8" fillId="49" borderId="31" xfId="64" applyNumberFormat="1" applyFont="1" applyFill="1" applyBorder="1" applyAlignment="1" applyProtection="1">
      <alignment horizontal="left" wrapText="1"/>
      <protection hidden="1"/>
    </xf>
    <xf numFmtId="185" fontId="16" fillId="0" borderId="35" xfId="64" applyNumberFormat="1" applyFont="1" applyFill="1" applyBorder="1" applyAlignment="1" applyProtection="1">
      <alignment wrapText="1"/>
      <protection hidden="1"/>
    </xf>
    <xf numFmtId="185" fontId="16" fillId="0" borderId="81" xfId="64" applyNumberFormat="1" applyFont="1" applyFill="1" applyBorder="1" applyAlignment="1" applyProtection="1">
      <alignment wrapText="1"/>
      <protection hidden="1"/>
    </xf>
    <xf numFmtId="185" fontId="8" fillId="51" borderId="31" xfId="64" applyNumberFormat="1" applyFont="1" applyFill="1" applyBorder="1" applyAlignment="1" applyProtection="1">
      <alignment horizontal="left" wrapText="1"/>
      <protection hidden="1"/>
    </xf>
    <xf numFmtId="185" fontId="16" fillId="51" borderId="65" xfId="64" applyNumberFormat="1" applyFont="1" applyFill="1" applyBorder="1" applyAlignment="1" applyProtection="1">
      <alignment wrapText="1"/>
      <protection hidden="1"/>
    </xf>
    <xf numFmtId="185" fontId="16" fillId="51" borderId="26" xfId="64" applyNumberFormat="1" applyFont="1" applyFill="1" applyBorder="1" applyAlignment="1" applyProtection="1">
      <alignment wrapText="1"/>
      <protection hidden="1"/>
    </xf>
    <xf numFmtId="185" fontId="16" fillId="51" borderId="66" xfId="64" applyNumberFormat="1" applyFont="1" applyFill="1" applyBorder="1" applyAlignment="1" applyProtection="1">
      <alignment wrapText="1"/>
      <protection hidden="1"/>
    </xf>
    <xf numFmtId="177" fontId="16" fillId="51" borderId="65" xfId="64" applyNumberFormat="1" applyFont="1" applyFill="1" applyBorder="1" applyAlignment="1" applyProtection="1">
      <alignment/>
      <protection hidden="1"/>
    </xf>
    <xf numFmtId="185" fontId="16" fillId="50" borderId="26" xfId="64" applyNumberFormat="1" applyFont="1" applyFill="1" applyBorder="1" applyAlignment="1" applyProtection="1">
      <alignment wrapText="1"/>
      <protection hidden="1"/>
    </xf>
    <xf numFmtId="185" fontId="16" fillId="50" borderId="66" xfId="64" applyNumberFormat="1" applyFont="1" applyFill="1" applyBorder="1" applyAlignment="1" applyProtection="1">
      <alignment wrapText="1"/>
      <protection hidden="1"/>
    </xf>
    <xf numFmtId="177" fontId="16" fillId="50" borderId="65" xfId="64" applyNumberFormat="1" applyFont="1" applyFill="1" applyBorder="1" applyAlignment="1" applyProtection="1">
      <alignment/>
      <protection hidden="1"/>
    </xf>
    <xf numFmtId="185" fontId="16" fillId="0" borderId="67" xfId="64" applyNumberFormat="1" applyFont="1" applyFill="1" applyBorder="1" applyAlignment="1" applyProtection="1">
      <alignment wrapText="1"/>
      <protection hidden="1"/>
    </xf>
    <xf numFmtId="185" fontId="16" fillId="0" borderId="46" xfId="64" applyNumberFormat="1" applyFont="1" applyFill="1" applyBorder="1" applyAlignment="1" applyProtection="1">
      <alignment wrapText="1"/>
      <protection hidden="1"/>
    </xf>
    <xf numFmtId="185" fontId="16" fillId="0" borderId="14" xfId="64" applyNumberFormat="1" applyFont="1" applyFill="1" applyBorder="1" applyAlignment="1" applyProtection="1">
      <alignment wrapText="1"/>
      <protection hidden="1"/>
    </xf>
    <xf numFmtId="185" fontId="16" fillId="48" borderId="56" xfId="64" applyNumberFormat="1" applyFont="1" applyFill="1" applyBorder="1" applyAlignment="1" applyProtection="1">
      <alignment horizontal="center" wrapText="1"/>
      <protection hidden="1"/>
    </xf>
    <xf numFmtId="185" fontId="16" fillId="48" borderId="60" xfId="64" applyNumberFormat="1" applyFont="1" applyFill="1" applyBorder="1" applyAlignment="1" applyProtection="1">
      <alignment horizontal="center" wrapText="1"/>
      <protection hidden="1"/>
    </xf>
    <xf numFmtId="185" fontId="16" fillId="48" borderId="57" xfId="64" applyNumberFormat="1" applyFont="1" applyFill="1" applyBorder="1" applyAlignment="1" applyProtection="1">
      <alignment horizontal="center" wrapText="1"/>
      <protection hidden="1"/>
    </xf>
    <xf numFmtId="185" fontId="16" fillId="0" borderId="31" xfId="64" applyNumberFormat="1" applyFont="1" applyFill="1" applyBorder="1" applyAlignment="1" applyProtection="1">
      <alignment horizontal="center" wrapText="1"/>
      <protection hidden="1"/>
    </xf>
    <xf numFmtId="185" fontId="16" fillId="9" borderId="66" xfId="64" applyNumberFormat="1" applyFont="1" applyFill="1" applyBorder="1" applyAlignment="1" applyProtection="1">
      <alignment wrapText="1"/>
      <protection hidden="1"/>
    </xf>
    <xf numFmtId="185" fontId="16" fillId="9" borderId="31" xfId="64" applyNumberFormat="1" applyFont="1" applyFill="1" applyBorder="1" applyAlignment="1" applyProtection="1">
      <alignment wrapText="1"/>
      <protection hidden="1"/>
    </xf>
    <xf numFmtId="185" fontId="16" fillId="9" borderId="17" xfId="64" applyNumberFormat="1" applyFont="1" applyFill="1" applyBorder="1" applyAlignment="1" applyProtection="1">
      <alignment wrapText="1"/>
      <protection hidden="1"/>
    </xf>
    <xf numFmtId="177" fontId="16" fillId="9" borderId="66" xfId="64" applyNumberFormat="1" applyFont="1" applyFill="1" applyBorder="1" applyAlignment="1" applyProtection="1">
      <alignment/>
      <protection hidden="1"/>
    </xf>
    <xf numFmtId="177" fontId="16" fillId="9" borderId="31" xfId="64" applyNumberFormat="1" applyFont="1" applyFill="1" applyBorder="1" applyAlignment="1" applyProtection="1">
      <alignment/>
      <protection hidden="1"/>
    </xf>
    <xf numFmtId="177" fontId="16" fillId="9" borderId="67" xfId="64" applyNumberFormat="1" applyFont="1" applyFill="1" applyBorder="1" applyAlignment="1" applyProtection="1">
      <alignment/>
      <protection hidden="1"/>
    </xf>
    <xf numFmtId="185" fontId="16" fillId="48" borderId="31" xfId="64" applyNumberFormat="1" applyFont="1" applyFill="1" applyBorder="1" applyAlignment="1" applyProtection="1">
      <alignment horizontal="center" wrapText="1"/>
      <protection hidden="1"/>
    </xf>
    <xf numFmtId="49" fontId="16" fillId="51" borderId="66" xfId="64" applyNumberFormat="1" applyFont="1" applyFill="1" applyBorder="1" applyAlignment="1" applyProtection="1">
      <alignment horizontal="center" vertical="center" wrapText="1"/>
      <protection hidden="1"/>
    </xf>
    <xf numFmtId="49" fontId="16" fillId="51" borderId="31" xfId="64" applyNumberFormat="1" applyFont="1" applyFill="1" applyBorder="1" applyAlignment="1" applyProtection="1">
      <alignment horizontal="center" vertical="center" wrapText="1"/>
      <protection hidden="1"/>
    </xf>
    <xf numFmtId="49" fontId="16" fillId="51" borderId="67" xfId="64" applyNumberFormat="1" applyFont="1" applyFill="1" applyBorder="1" applyAlignment="1" applyProtection="1">
      <alignment horizontal="center" vertical="center" wrapText="1"/>
      <protection hidden="1"/>
    </xf>
    <xf numFmtId="185" fontId="16" fillId="51" borderId="31" xfId="64" applyNumberFormat="1" applyFont="1" applyFill="1" applyBorder="1" applyAlignment="1" applyProtection="1">
      <alignment wrapText="1"/>
      <protection hidden="1"/>
    </xf>
    <xf numFmtId="185" fontId="16" fillId="51" borderId="17" xfId="64" applyNumberFormat="1" applyFont="1" applyFill="1" applyBorder="1" applyAlignment="1" applyProtection="1">
      <alignment wrapText="1"/>
      <protection hidden="1"/>
    </xf>
    <xf numFmtId="177" fontId="16" fillId="51" borderId="66" xfId="64" applyNumberFormat="1" applyFont="1" applyFill="1" applyBorder="1" applyAlignment="1" applyProtection="1">
      <alignment/>
      <protection hidden="1"/>
    </xf>
    <xf numFmtId="177" fontId="16" fillId="51" borderId="31" xfId="64" applyNumberFormat="1" applyFont="1" applyFill="1" applyBorder="1" applyAlignment="1" applyProtection="1">
      <alignment/>
      <protection hidden="1"/>
    </xf>
    <xf numFmtId="177" fontId="16" fillId="51" borderId="67" xfId="64" applyNumberFormat="1" applyFont="1" applyFill="1" applyBorder="1" applyAlignment="1" applyProtection="1">
      <alignment/>
      <protection hidden="1"/>
    </xf>
    <xf numFmtId="185" fontId="34" fillId="49" borderId="31" xfId="64" applyNumberFormat="1" applyFont="1" applyFill="1" applyBorder="1" applyAlignment="1" applyProtection="1">
      <alignment horizontal="left" wrapText="1"/>
      <protection hidden="1"/>
    </xf>
    <xf numFmtId="185" fontId="16" fillId="49" borderId="54" xfId="64" applyNumberFormat="1" applyFont="1" applyFill="1" applyBorder="1" applyAlignment="1" applyProtection="1">
      <alignment horizontal="left" wrapText="1"/>
      <protection hidden="1"/>
    </xf>
    <xf numFmtId="185" fontId="16" fillId="49" borderId="66" xfId="64" applyNumberFormat="1" applyFont="1" applyFill="1" applyBorder="1" applyAlignment="1" applyProtection="1">
      <alignment horizontal="center" wrapText="1"/>
      <protection hidden="1"/>
    </xf>
    <xf numFmtId="185" fontId="16" fillId="49" borderId="31" xfId="64" applyNumberFormat="1" applyFont="1" applyFill="1" applyBorder="1" applyAlignment="1" applyProtection="1">
      <alignment horizontal="center" wrapText="1"/>
      <protection hidden="1"/>
    </xf>
    <xf numFmtId="185" fontId="16" fillId="49" borderId="67" xfId="64" applyNumberFormat="1" applyFont="1" applyFill="1" applyBorder="1" applyAlignment="1" applyProtection="1">
      <alignment horizontal="center" wrapText="1"/>
      <protection hidden="1"/>
    </xf>
    <xf numFmtId="185" fontId="16" fillId="51" borderId="66" xfId="64" applyNumberFormat="1" applyFont="1" applyFill="1" applyBorder="1" applyAlignment="1" applyProtection="1">
      <alignment horizontal="center" wrapText="1"/>
      <protection hidden="1"/>
    </xf>
    <xf numFmtId="185" fontId="16" fillId="51" borderId="31" xfId="64" applyNumberFormat="1" applyFont="1" applyFill="1" applyBorder="1" applyAlignment="1" applyProtection="1">
      <alignment horizontal="center" wrapText="1"/>
      <protection hidden="1"/>
    </xf>
    <xf numFmtId="185" fontId="16" fillId="51" borderId="67" xfId="64" applyNumberFormat="1" applyFont="1" applyFill="1" applyBorder="1" applyAlignment="1" applyProtection="1">
      <alignment horizontal="center" wrapText="1"/>
      <protection hidden="1"/>
    </xf>
    <xf numFmtId="185" fontId="16" fillId="0" borderId="66" xfId="64" applyNumberFormat="1" applyFont="1" applyFill="1" applyBorder="1" applyAlignment="1" applyProtection="1">
      <alignment horizontal="center" wrapText="1"/>
      <protection hidden="1"/>
    </xf>
    <xf numFmtId="185" fontId="16" fillId="0" borderId="10" xfId="64" applyNumberFormat="1" applyFont="1" applyFill="1" applyBorder="1" applyAlignment="1" applyProtection="1">
      <alignment horizontal="center" wrapText="1"/>
      <protection hidden="1"/>
    </xf>
    <xf numFmtId="185" fontId="16" fillId="0" borderId="67" xfId="64" applyNumberFormat="1" applyFont="1" applyFill="1" applyBorder="1" applyAlignment="1" applyProtection="1">
      <alignment horizontal="center" wrapText="1"/>
      <protection hidden="1"/>
    </xf>
    <xf numFmtId="185" fontId="16" fillId="47" borderId="66" xfId="64" applyNumberFormat="1" applyFont="1" applyFill="1" applyBorder="1" applyAlignment="1" applyProtection="1">
      <alignment wrapText="1"/>
      <protection hidden="1"/>
    </xf>
    <xf numFmtId="185" fontId="16" fillId="47" borderId="31" xfId="64" applyNumberFormat="1" applyFont="1" applyFill="1" applyBorder="1" applyAlignment="1" applyProtection="1">
      <alignment wrapText="1"/>
      <protection hidden="1"/>
    </xf>
    <xf numFmtId="185" fontId="16" fillId="47" borderId="67" xfId="64" applyNumberFormat="1" applyFont="1" applyFill="1" applyBorder="1" applyAlignment="1" applyProtection="1">
      <alignment wrapText="1"/>
      <protection hidden="1"/>
    </xf>
    <xf numFmtId="0" fontId="2" fillId="0" borderId="31" xfId="0" applyFont="1" applyBorder="1" applyAlignment="1">
      <alignment horizontal="center" wrapText="1"/>
    </xf>
    <xf numFmtId="185" fontId="16" fillId="49" borderId="31" xfId="64" applyNumberFormat="1" applyFont="1" applyFill="1" applyBorder="1" applyAlignment="1" applyProtection="1">
      <alignment horizontal="left" wrapText="1"/>
      <protection hidden="1"/>
    </xf>
    <xf numFmtId="185" fontId="16" fillId="0" borderId="23" xfId="64" applyNumberFormat="1" applyFont="1" applyFill="1" applyBorder="1" applyAlignment="1" applyProtection="1">
      <alignment wrapText="1"/>
      <protection hidden="1"/>
    </xf>
    <xf numFmtId="185" fontId="16" fillId="48" borderId="30" xfId="64" applyNumberFormat="1" applyFont="1" applyFill="1" applyBorder="1" applyAlignment="1" applyProtection="1">
      <alignment horizontal="center" wrapText="1"/>
      <protection hidden="1"/>
    </xf>
    <xf numFmtId="185" fontId="16" fillId="48" borderId="17" xfId="64" applyNumberFormat="1" applyFont="1" applyFill="1" applyBorder="1" applyAlignment="1" applyProtection="1">
      <alignment horizontal="center" wrapText="1"/>
      <protection hidden="1"/>
    </xf>
    <xf numFmtId="49" fontId="41" fillId="48" borderId="31" xfId="64" applyNumberFormat="1" applyFont="1" applyFill="1" applyBorder="1" applyAlignment="1">
      <alignment horizontal="left" wrapText="1"/>
      <protection/>
    </xf>
    <xf numFmtId="185" fontId="16" fillId="49" borderId="82" xfId="64" applyNumberFormat="1" applyFont="1" applyFill="1" applyBorder="1" applyAlignment="1" applyProtection="1">
      <alignment horizontal="left" wrapText="1"/>
      <protection hidden="1"/>
    </xf>
    <xf numFmtId="185" fontId="16" fillId="50" borderId="70" xfId="64" applyNumberFormat="1" applyFont="1" applyFill="1" applyBorder="1" applyAlignment="1" applyProtection="1">
      <alignment wrapText="1"/>
      <protection hidden="1"/>
    </xf>
    <xf numFmtId="185" fontId="16" fillId="50" borderId="10" xfId="64" applyNumberFormat="1" applyFont="1" applyFill="1" applyBorder="1" applyAlignment="1" applyProtection="1">
      <alignment wrapText="1"/>
      <protection hidden="1"/>
    </xf>
    <xf numFmtId="185" fontId="16" fillId="50" borderId="47" xfId="64" applyNumberFormat="1" applyFont="1" applyFill="1" applyBorder="1" applyAlignment="1" applyProtection="1">
      <alignment wrapText="1"/>
      <protection hidden="1"/>
    </xf>
    <xf numFmtId="185" fontId="16" fillId="49" borderId="66" xfId="64" applyNumberFormat="1" applyFont="1" applyFill="1" applyBorder="1" applyAlignment="1" applyProtection="1">
      <alignment wrapText="1"/>
      <protection hidden="1"/>
    </xf>
    <xf numFmtId="185" fontId="16" fillId="49" borderId="31" xfId="64" applyNumberFormat="1" applyFont="1" applyFill="1" applyBorder="1" applyAlignment="1" applyProtection="1">
      <alignment wrapText="1"/>
      <protection hidden="1"/>
    </xf>
    <xf numFmtId="185" fontId="16" fillId="49" borderId="67" xfId="64" applyNumberFormat="1" applyFont="1" applyFill="1" applyBorder="1" applyAlignment="1" applyProtection="1">
      <alignment wrapText="1"/>
      <protection hidden="1"/>
    </xf>
    <xf numFmtId="3" fontId="16" fillId="0" borderId="66" xfId="64" applyNumberFormat="1" applyFont="1" applyFill="1" applyBorder="1" applyAlignment="1" applyProtection="1">
      <alignment wrapText="1"/>
      <protection hidden="1"/>
    </xf>
    <xf numFmtId="3" fontId="16" fillId="0" borderId="31" xfId="64" applyNumberFormat="1" applyFont="1" applyFill="1" applyBorder="1" applyAlignment="1" applyProtection="1">
      <alignment wrapText="1"/>
      <protection hidden="1"/>
    </xf>
    <xf numFmtId="3" fontId="16" fillId="0" borderId="17" xfId="64" applyNumberFormat="1" applyFont="1" applyFill="1" applyBorder="1" applyAlignment="1" applyProtection="1">
      <alignment wrapText="1"/>
      <protection hidden="1"/>
    </xf>
    <xf numFmtId="0" fontId="41" fillId="0" borderId="51" xfId="64" applyNumberFormat="1" applyFont="1" applyFill="1" applyBorder="1" applyAlignment="1" applyProtection="1">
      <alignment horizontal="center" vertical="center" wrapText="1"/>
      <protection hidden="1"/>
    </xf>
    <xf numFmtId="0" fontId="41" fillId="0" borderId="53" xfId="64" applyNumberFormat="1" applyFont="1" applyFill="1" applyBorder="1" applyAlignment="1" applyProtection="1">
      <alignment horizontal="center" vertical="center" wrapText="1"/>
      <protection hidden="1"/>
    </xf>
    <xf numFmtId="0" fontId="42" fillId="49" borderId="30" xfId="66" applyNumberFormat="1" applyFont="1" applyFill="1" applyBorder="1" applyAlignment="1" applyProtection="1">
      <alignment horizontal="left" wrapText="1"/>
      <protection hidden="1"/>
    </xf>
    <xf numFmtId="0" fontId="42" fillId="49" borderId="31" xfId="66" applyNumberFormat="1" applyFont="1" applyFill="1" applyBorder="1" applyAlignment="1" applyProtection="1">
      <alignment horizontal="left" wrapText="1"/>
      <protection hidden="1"/>
    </xf>
    <xf numFmtId="0" fontId="42" fillId="49" borderId="17" xfId="66" applyNumberFormat="1" applyFont="1" applyFill="1" applyBorder="1" applyAlignment="1" applyProtection="1">
      <alignment horizontal="left" wrapText="1"/>
      <protection hidden="1"/>
    </xf>
    <xf numFmtId="185" fontId="16" fillId="49" borderId="70" xfId="64" applyNumberFormat="1" applyFont="1" applyFill="1" applyBorder="1" applyAlignment="1" applyProtection="1">
      <alignment wrapText="1"/>
      <protection hidden="1"/>
    </xf>
    <xf numFmtId="185" fontId="16" fillId="49" borderId="10" xfId="64" applyNumberFormat="1" applyFont="1" applyFill="1" applyBorder="1" applyAlignment="1" applyProtection="1">
      <alignment wrapText="1"/>
      <protection hidden="1"/>
    </xf>
    <xf numFmtId="185" fontId="16" fillId="49" borderId="47" xfId="64" applyNumberFormat="1" applyFont="1" applyFill="1" applyBorder="1" applyAlignment="1" applyProtection="1">
      <alignment wrapText="1"/>
      <protection hidden="1"/>
    </xf>
    <xf numFmtId="4" fontId="15" fillId="46" borderId="30" xfId="64" applyNumberFormat="1" applyFill="1" applyBorder="1" applyAlignment="1" applyProtection="1">
      <alignment horizontal="center"/>
      <protection hidden="1"/>
    </xf>
    <xf numFmtId="4" fontId="15" fillId="46" borderId="31" xfId="64" applyNumberFormat="1" applyFill="1" applyBorder="1" applyAlignment="1" applyProtection="1">
      <alignment horizontal="center"/>
      <protection hidden="1"/>
    </xf>
    <xf numFmtId="4" fontId="15" fillId="46" borderId="17" xfId="64" applyNumberFormat="1" applyFill="1" applyBorder="1" applyAlignment="1" applyProtection="1">
      <alignment horizontal="center"/>
      <protection hidden="1"/>
    </xf>
    <xf numFmtId="4" fontId="15" fillId="46" borderId="0" xfId="64" applyNumberFormat="1" applyFill="1" applyAlignment="1" applyProtection="1">
      <alignment horizontal="center"/>
      <protection hidden="1"/>
    </xf>
    <xf numFmtId="0" fontId="41" fillId="38" borderId="61" xfId="64" applyNumberFormat="1" applyFont="1" applyFill="1" applyBorder="1" applyAlignment="1" applyProtection="1">
      <alignment horizontal="center"/>
      <protection hidden="1"/>
    </xf>
    <xf numFmtId="0" fontId="41" fillId="38" borderId="64" xfId="64" applyNumberFormat="1" applyFont="1" applyFill="1" applyBorder="1" applyAlignment="1" applyProtection="1">
      <alignment horizontal="center"/>
      <protection hidden="1"/>
    </xf>
    <xf numFmtId="0" fontId="41" fillId="0" borderId="52" xfId="64" applyNumberFormat="1" applyFont="1" applyFill="1" applyBorder="1" applyAlignment="1" applyProtection="1">
      <alignment horizontal="center" vertical="center" wrapText="1"/>
      <protection hidden="1"/>
    </xf>
    <xf numFmtId="4" fontId="15" fillId="12" borderId="10" xfId="64" applyNumberFormat="1" applyFill="1" applyBorder="1" applyAlignment="1" applyProtection="1">
      <alignment horizontal="center"/>
      <protection hidden="1"/>
    </xf>
    <xf numFmtId="4" fontId="15" fillId="12" borderId="0" xfId="64" applyNumberFormat="1" applyFill="1" applyBorder="1" applyAlignment="1" applyProtection="1">
      <alignment horizontal="center"/>
      <protection hidden="1"/>
    </xf>
    <xf numFmtId="0" fontId="15" fillId="13" borderId="0" xfId="64" applyFill="1" applyAlignment="1" applyProtection="1">
      <alignment horizontal="center"/>
      <protection hidden="1"/>
    </xf>
    <xf numFmtId="0" fontId="15" fillId="12" borderId="39" xfId="64" applyFont="1" applyFill="1" applyBorder="1" applyAlignment="1" applyProtection="1">
      <alignment horizontal="center"/>
      <protection hidden="1"/>
    </xf>
    <xf numFmtId="4" fontId="15" fillId="46" borderId="39" xfId="64" applyNumberFormat="1" applyFont="1" applyFill="1" applyBorder="1" applyAlignment="1" applyProtection="1">
      <alignment horizontal="center"/>
      <protection hidden="1"/>
    </xf>
    <xf numFmtId="4" fontId="15" fillId="46" borderId="39" xfId="64" applyNumberFormat="1" applyFill="1" applyBorder="1" applyAlignment="1" applyProtection="1">
      <alignment horizontal="center"/>
      <protection hidden="1"/>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2 4" xfId="56"/>
    <cellStyle name="Обычный 2 5" xfId="57"/>
    <cellStyle name="Обычный 2 6" xfId="58"/>
    <cellStyle name="Обычный 3" xfId="59"/>
    <cellStyle name="Обычный 4" xfId="60"/>
    <cellStyle name="Обычный 5" xfId="61"/>
    <cellStyle name="Обычный 6" xfId="62"/>
    <cellStyle name="Обычный 7" xfId="63"/>
    <cellStyle name="Обычный_tmp" xfId="64"/>
    <cellStyle name="Обычный_Tmp1" xfId="65"/>
    <cellStyle name="Обычный_Tmp2" xfId="66"/>
    <cellStyle name="Обычный_Tmp5" xfId="67"/>
    <cellStyle name="Followed Hyperlink"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arus\&#1052;&#1086;&#1080;%20&#1076;&#1086;&#1082;&#1091;&#1084;&#1077;&#1085;&#1090;&#1099;\Downloads\&#1086;&#1090;%2019.01.17&#1087;&#1086;&#1084;&#1077;&#1089;&#1103;&#1095;&#1085;&#1072;&#1103;%20&#1088;&#1072;&#1079;&#1073;&#1080;&#1074;&#1082;&#107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Речка"/>
    </sheetNames>
    <sheetDataSet>
      <sheetData sheetId="0">
        <row r="20">
          <cell r="D20">
            <v>0</v>
          </cell>
        </row>
        <row r="30">
          <cell r="C3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CJ197"/>
  <sheetViews>
    <sheetView showGridLines="0" tabSelected="1" zoomScalePageLayoutView="0" workbookViewId="0" topLeftCell="A1">
      <selection activeCell="D19" sqref="D19"/>
    </sheetView>
  </sheetViews>
  <sheetFormatPr defaultColWidth="9.125" defaultRowHeight="12.75"/>
  <cols>
    <col min="1" max="1" width="41.375" style="52" customWidth="1"/>
    <col min="2" max="2" width="6.875" style="52" customWidth="1"/>
    <col min="3" max="3" width="26.50390625" style="52" customWidth="1"/>
    <col min="4" max="4" width="17.875" style="67" customWidth="1"/>
    <col min="5" max="5" width="18.875" style="156" customWidth="1"/>
    <col min="6" max="6" width="17.50390625" style="1" customWidth="1"/>
    <col min="7" max="7" width="16.50390625" style="1" hidden="1" customWidth="1"/>
    <col min="8" max="8" width="9.125" style="52" hidden="1" customWidth="1"/>
    <col min="9" max="9" width="2.50390625" style="1" hidden="1" customWidth="1"/>
    <col min="10" max="10" width="11.625" style="181" hidden="1" customWidth="1"/>
    <col min="11" max="11" width="15.00390625" style="1" hidden="1" customWidth="1"/>
    <col min="12" max="12" width="0" style="1" hidden="1" customWidth="1"/>
    <col min="13" max="16384" width="9.125" style="1" customWidth="1"/>
  </cols>
  <sheetData>
    <row r="1" spans="1:12" ht="38.25" customHeight="1">
      <c r="A1" s="199"/>
      <c r="B1" s="200"/>
      <c r="C1" s="200"/>
      <c r="D1" s="200"/>
      <c r="E1" s="200"/>
      <c r="F1" s="200"/>
      <c r="G1" s="119"/>
      <c r="H1" s="179"/>
      <c r="I1" s="119"/>
      <c r="J1" s="177"/>
      <c r="K1" s="119"/>
      <c r="L1" s="119"/>
    </row>
    <row r="2" spans="1:12" ht="24" customHeight="1" thickBot="1">
      <c r="A2" s="1199" t="s">
        <v>230</v>
      </c>
      <c r="B2" s="1200"/>
      <c r="C2" s="1200"/>
      <c r="D2" s="1200"/>
      <c r="E2" s="201"/>
      <c r="F2" s="202" t="s">
        <v>8</v>
      </c>
      <c r="G2" s="175"/>
      <c r="H2" s="178"/>
      <c r="I2" s="175"/>
      <c r="J2" s="196"/>
      <c r="K2" s="175"/>
      <c r="L2" s="175"/>
    </row>
    <row r="3" spans="1:12" ht="13.5" customHeight="1">
      <c r="A3" s="199"/>
      <c r="B3" s="199"/>
      <c r="C3" s="199"/>
      <c r="D3" s="199"/>
      <c r="E3" s="203" t="s">
        <v>231</v>
      </c>
      <c r="F3" s="204" t="s">
        <v>232</v>
      </c>
      <c r="G3" s="119"/>
      <c r="H3" s="179"/>
      <c r="I3" s="119"/>
      <c r="J3" s="177"/>
      <c r="K3" s="119"/>
      <c r="L3" s="119"/>
    </row>
    <row r="4" spans="1:6" ht="13.5" customHeight="1">
      <c r="A4" s="199"/>
      <c r="B4" s="199"/>
      <c r="C4" s="205"/>
      <c r="D4" s="205"/>
      <c r="E4" s="206" t="s">
        <v>233</v>
      </c>
      <c r="F4" s="207" t="s">
        <v>495</v>
      </c>
    </row>
    <row r="5" spans="1:12" ht="13.5" customHeight="1">
      <c r="A5" s="199" t="s">
        <v>234</v>
      </c>
      <c r="B5" s="199"/>
      <c r="C5" s="199"/>
      <c r="D5" s="199"/>
      <c r="E5" s="206" t="s">
        <v>235</v>
      </c>
      <c r="F5" s="208" t="s">
        <v>97</v>
      </c>
      <c r="G5" s="175"/>
      <c r="H5" s="178"/>
      <c r="I5" s="175"/>
      <c r="J5" s="196"/>
      <c r="K5" s="175"/>
      <c r="L5" s="175"/>
    </row>
    <row r="6" spans="1:12" ht="13.5" customHeight="1">
      <c r="A6" s="199" t="s">
        <v>236</v>
      </c>
      <c r="B6" s="209"/>
      <c r="C6" s="209"/>
      <c r="D6" s="209"/>
      <c r="E6" s="206" t="s">
        <v>237</v>
      </c>
      <c r="F6" s="207"/>
      <c r="G6" s="119"/>
      <c r="H6" s="179"/>
      <c r="I6" s="119"/>
      <c r="J6" s="177"/>
      <c r="K6" s="119"/>
      <c r="L6" s="119"/>
    </row>
    <row r="7" spans="1:6" ht="13.5" customHeight="1">
      <c r="A7" s="199" t="s">
        <v>244</v>
      </c>
      <c r="B7" s="210"/>
      <c r="C7" s="210"/>
      <c r="D7" s="210"/>
      <c r="E7" s="206" t="s">
        <v>238</v>
      </c>
      <c r="F7" s="208" t="s">
        <v>96</v>
      </c>
    </row>
    <row r="8" spans="1:12" ht="13.5" customHeight="1">
      <c r="A8" s="199" t="s">
        <v>239</v>
      </c>
      <c r="B8" s="210"/>
      <c r="C8" s="199"/>
      <c r="D8" s="199"/>
      <c r="E8" s="199"/>
      <c r="F8" s="207"/>
      <c r="G8" s="175"/>
      <c r="H8" s="178"/>
      <c r="I8" s="175"/>
      <c r="J8" s="196"/>
      <c r="K8" s="175"/>
      <c r="L8" s="175"/>
    </row>
    <row r="9" spans="1:12" ht="13.5" customHeight="1" thickBot="1">
      <c r="A9" s="199" t="s">
        <v>240</v>
      </c>
      <c r="B9" s="199"/>
      <c r="C9" s="199"/>
      <c r="D9" s="199"/>
      <c r="E9" s="199"/>
      <c r="F9" s="211" t="s">
        <v>2</v>
      </c>
      <c r="G9" s="175"/>
      <c r="H9" s="178"/>
      <c r="I9" s="175"/>
      <c r="K9" s="181"/>
      <c r="L9" s="175"/>
    </row>
    <row r="10" spans="1:12" ht="13.5" customHeight="1">
      <c r="A10" s="313"/>
      <c r="B10" s="212"/>
      <c r="C10" s="212"/>
      <c r="D10" s="212"/>
      <c r="E10" s="212"/>
      <c r="F10" s="212"/>
      <c r="G10" s="175"/>
      <c r="H10" s="178"/>
      <c r="I10" s="175"/>
      <c r="J10" s="196"/>
      <c r="K10" s="181"/>
      <c r="L10" s="175"/>
    </row>
    <row r="11" spans="1:11" ht="14.25" customHeight="1">
      <c r="A11" s="213"/>
      <c r="B11" s="214"/>
      <c r="C11" s="214" t="s">
        <v>242</v>
      </c>
      <c r="D11" s="215"/>
      <c r="E11" s="216"/>
      <c r="F11" s="217"/>
      <c r="K11" s="181"/>
    </row>
    <row r="12" spans="1:6" ht="5.25" customHeight="1" thickBot="1">
      <c r="A12" s="218"/>
      <c r="B12" s="218"/>
      <c r="C12" s="219"/>
      <c r="D12" s="220"/>
      <c r="E12" s="221"/>
      <c r="F12" s="222"/>
    </row>
    <row r="13" spans="1:6" ht="12.75" customHeight="1">
      <c r="A13" s="223"/>
      <c r="B13" s="224"/>
      <c r="C13" s="224"/>
      <c r="D13" s="225"/>
      <c r="E13" s="225" t="s">
        <v>18</v>
      </c>
      <c r="F13" s="225"/>
    </row>
    <row r="14" spans="1:12" ht="9.75" customHeight="1">
      <c r="A14" s="228"/>
      <c r="B14" s="226" t="s">
        <v>27</v>
      </c>
      <c r="C14" s="226"/>
      <c r="D14" s="227" t="s">
        <v>87</v>
      </c>
      <c r="E14" s="227"/>
      <c r="F14" s="227" t="s">
        <v>6</v>
      </c>
      <c r="G14" s="175"/>
      <c r="H14" s="178"/>
      <c r="I14" s="175"/>
      <c r="J14" s="196"/>
      <c r="K14" s="175"/>
      <c r="L14" s="175"/>
    </row>
    <row r="15" spans="1:6" ht="9.75" customHeight="1">
      <c r="A15" s="228" t="s">
        <v>9</v>
      </c>
      <c r="B15" s="226" t="s">
        <v>28</v>
      </c>
      <c r="C15" s="226" t="s">
        <v>11</v>
      </c>
      <c r="D15" s="227" t="s">
        <v>88</v>
      </c>
      <c r="E15" s="227"/>
      <c r="F15" s="227" t="s">
        <v>7</v>
      </c>
    </row>
    <row r="16" spans="1:11" ht="9.75" customHeight="1">
      <c r="A16" s="228"/>
      <c r="B16" s="226" t="s">
        <v>29</v>
      </c>
      <c r="C16" s="226"/>
      <c r="D16" s="227" t="s">
        <v>7</v>
      </c>
      <c r="E16" s="227"/>
      <c r="F16" s="227"/>
      <c r="K16" s="181"/>
    </row>
    <row r="17" spans="1:6" ht="9.75" customHeight="1" thickBot="1">
      <c r="A17" s="229"/>
      <c r="B17" s="230"/>
      <c r="C17" s="230"/>
      <c r="D17" s="231"/>
      <c r="E17" s="231"/>
      <c r="F17" s="231"/>
    </row>
    <row r="18" spans="1:6" ht="9.75" customHeight="1" thickBot="1">
      <c r="A18" s="232">
        <v>1</v>
      </c>
      <c r="B18" s="232">
        <v>2</v>
      </c>
      <c r="C18" s="232">
        <v>3</v>
      </c>
      <c r="D18" s="233" t="s">
        <v>4</v>
      </c>
      <c r="E18" s="233" t="s">
        <v>5</v>
      </c>
      <c r="F18" s="233" t="s">
        <v>19</v>
      </c>
    </row>
    <row r="19" spans="1:88" s="172" customFormat="1" ht="33" customHeight="1" thickBot="1">
      <c r="A19" s="378" t="s">
        <v>26</v>
      </c>
      <c r="B19" s="323" t="s">
        <v>38</v>
      </c>
      <c r="C19" s="324" t="s">
        <v>57</v>
      </c>
      <c r="D19" s="325">
        <f>D21+D73</f>
        <v>51519916.18</v>
      </c>
      <c r="E19" s="325">
        <f>E21+E73</f>
        <v>3296926.2500000005</v>
      </c>
      <c r="F19" s="325">
        <f>F21+F73</f>
        <v>48223765.87</v>
      </c>
      <c r="G19" s="181">
        <v>79194711.19</v>
      </c>
      <c r="H19" s="52"/>
      <c r="I19" s="1"/>
      <c r="J19" s="181"/>
      <c r="K19" s="1"/>
      <c r="L19" s="1"/>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row>
    <row r="20" spans="1:88" s="192" customFormat="1" ht="15.75" customHeight="1" thickBot="1">
      <c r="A20" s="234" t="s">
        <v>10</v>
      </c>
      <c r="B20" s="235"/>
      <c r="C20" s="289"/>
      <c r="D20" s="255"/>
      <c r="E20" s="255"/>
      <c r="F20" s="255"/>
      <c r="G20" s="196">
        <f>E19-G19</f>
        <v>-75897784.94</v>
      </c>
      <c r="H20" s="178"/>
      <c r="I20" s="175"/>
      <c r="J20" s="196"/>
      <c r="K20" s="175"/>
      <c r="L20" s="175"/>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row>
    <row r="21" spans="1:88" s="172" customFormat="1" ht="32.25" customHeight="1" thickBot="1">
      <c r="A21" s="273" t="s">
        <v>98</v>
      </c>
      <c r="B21" s="326"/>
      <c r="C21" s="379"/>
      <c r="D21" s="380">
        <f>D23+D35+D40+D45+D49+D53+D58+D61+D65</f>
        <v>8200000</v>
      </c>
      <c r="E21" s="327">
        <f>E23+E35+E40+E45+E49+E53+E58+E61+E65+E71</f>
        <v>746689.7400000001</v>
      </c>
      <c r="F21" s="327">
        <f>F23+F35+F40+F45+F49+F53+F58+F61+F70+F71+F65</f>
        <v>7454086.2</v>
      </c>
      <c r="G21" s="1"/>
      <c r="H21" s="52"/>
      <c r="I21" s="1"/>
      <c r="J21" s="181"/>
      <c r="K21" s="1"/>
      <c r="L21" s="1"/>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row>
    <row r="22" spans="1:6" ht="15" customHeight="1" hidden="1" thickBot="1">
      <c r="A22" s="236" t="s">
        <v>279</v>
      </c>
      <c r="B22" s="237"/>
      <c r="C22" s="241" t="s">
        <v>280</v>
      </c>
      <c r="D22" s="255"/>
      <c r="E22" s="255"/>
      <c r="F22" s="278"/>
    </row>
    <row r="23" spans="1:88" s="193" customFormat="1" ht="15" customHeight="1" thickBot="1">
      <c r="A23" s="270" t="s">
        <v>160</v>
      </c>
      <c r="B23" s="238"/>
      <c r="C23" s="290" t="s">
        <v>276</v>
      </c>
      <c r="D23" s="288">
        <f>D24</f>
        <v>5500000</v>
      </c>
      <c r="E23" s="288">
        <f>SUM(E24:E34)</f>
        <v>489876.66000000003</v>
      </c>
      <c r="F23" s="288">
        <f>F24</f>
        <v>5010892.8</v>
      </c>
      <c r="G23" s="1"/>
      <c r="H23" s="52"/>
      <c r="I23" s="1"/>
      <c r="J23" s="181" t="s">
        <v>491</v>
      </c>
      <c r="K23" s="181">
        <f>E23+E40+E45+E49</f>
        <v>492845.9</v>
      </c>
      <c r="L23" s="1"/>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row>
    <row r="24" spans="1:11" ht="15" customHeight="1" thickBot="1">
      <c r="A24" s="375" t="s">
        <v>160</v>
      </c>
      <c r="B24" s="235"/>
      <c r="C24" s="248" t="s">
        <v>487</v>
      </c>
      <c r="D24" s="255">
        <v>5500000</v>
      </c>
      <c r="E24" s="257">
        <v>489107.2</v>
      </c>
      <c r="F24" s="252">
        <f>D24-E24</f>
        <v>5010892.8</v>
      </c>
      <c r="G24" s="416"/>
      <c r="K24" s="181"/>
    </row>
    <row r="25" spans="1:11" ht="15" customHeight="1" thickBot="1">
      <c r="A25" s="375" t="s">
        <v>160</v>
      </c>
      <c r="B25" s="235"/>
      <c r="C25" s="248" t="s">
        <v>489</v>
      </c>
      <c r="D25" s="255">
        <v>0</v>
      </c>
      <c r="E25" s="257">
        <v>685.46</v>
      </c>
      <c r="F25" s="252">
        <f>D25-E25</f>
        <v>-685.46</v>
      </c>
      <c r="K25" s="181"/>
    </row>
    <row r="26" spans="1:6" ht="15" customHeight="1" thickBot="1">
      <c r="A26" s="375" t="s">
        <v>160</v>
      </c>
      <c r="B26" s="235"/>
      <c r="C26" s="248" t="s">
        <v>488</v>
      </c>
      <c r="D26" s="255">
        <v>0</v>
      </c>
      <c r="E26" s="257">
        <v>84</v>
      </c>
      <c r="F26" s="252">
        <f aca="true" t="shared" si="0" ref="F26:F34">D26-E26</f>
        <v>-84</v>
      </c>
    </row>
    <row r="27" spans="1:12" ht="15" customHeight="1" thickBot="1">
      <c r="A27" s="375" t="s">
        <v>160</v>
      </c>
      <c r="B27" s="235"/>
      <c r="C27" s="248" t="s">
        <v>203</v>
      </c>
      <c r="D27" s="255">
        <v>0</v>
      </c>
      <c r="E27" s="257">
        <v>0</v>
      </c>
      <c r="F27" s="252">
        <f t="shared" si="0"/>
        <v>0</v>
      </c>
      <c r="G27" s="37"/>
      <c r="H27" s="328"/>
      <c r="I27" s="37"/>
      <c r="J27" s="197"/>
      <c r="K27" s="37"/>
      <c r="L27" s="37"/>
    </row>
    <row r="28" spans="1:12" ht="15" customHeight="1" thickBot="1">
      <c r="A28" s="375" t="s">
        <v>160</v>
      </c>
      <c r="B28" s="235"/>
      <c r="C28" s="248" t="s">
        <v>264</v>
      </c>
      <c r="D28" s="255">
        <v>0</v>
      </c>
      <c r="E28" s="257">
        <v>0</v>
      </c>
      <c r="F28" s="252">
        <f t="shared" si="0"/>
        <v>0</v>
      </c>
      <c r="G28" s="119"/>
      <c r="H28" s="179"/>
      <c r="I28" s="119"/>
      <c r="J28" s="177"/>
      <c r="K28" s="119"/>
      <c r="L28" s="119"/>
    </row>
    <row r="29" spans="1:12" ht="31.5" customHeight="1" hidden="1" thickBot="1">
      <c r="A29" s="375" t="s">
        <v>160</v>
      </c>
      <c r="B29" s="235"/>
      <c r="C29" s="248" t="s">
        <v>197</v>
      </c>
      <c r="D29" s="255">
        <v>0</v>
      </c>
      <c r="E29" s="257">
        <v>0</v>
      </c>
      <c r="F29" s="252">
        <f t="shared" si="0"/>
        <v>0</v>
      </c>
      <c r="G29" s="119"/>
      <c r="H29" s="179"/>
      <c r="I29" s="119"/>
      <c r="J29" s="177"/>
      <c r="K29" s="119"/>
      <c r="L29" s="119"/>
    </row>
    <row r="30" spans="1:12" ht="15" customHeight="1" hidden="1" thickBot="1">
      <c r="A30" s="375" t="s">
        <v>160</v>
      </c>
      <c r="B30" s="235"/>
      <c r="C30" s="248" t="s">
        <v>197</v>
      </c>
      <c r="D30" s="255">
        <v>0</v>
      </c>
      <c r="E30" s="257">
        <v>0</v>
      </c>
      <c r="F30" s="252">
        <f t="shared" si="0"/>
        <v>0</v>
      </c>
      <c r="G30" s="119"/>
      <c r="H30" s="179"/>
      <c r="I30" s="119"/>
      <c r="J30" s="177"/>
      <c r="K30" s="181"/>
      <c r="L30" s="119"/>
    </row>
    <row r="31" spans="1:12" ht="15" customHeight="1" hidden="1" thickBot="1">
      <c r="A31" s="375" t="s">
        <v>160</v>
      </c>
      <c r="B31" s="235"/>
      <c r="C31" s="248" t="s">
        <v>197</v>
      </c>
      <c r="D31" s="255">
        <v>0</v>
      </c>
      <c r="E31" s="257">
        <v>0</v>
      </c>
      <c r="F31" s="252">
        <f t="shared" si="0"/>
        <v>0</v>
      </c>
      <c r="G31" s="119"/>
      <c r="H31" s="179"/>
      <c r="I31" s="119"/>
      <c r="J31" s="177"/>
      <c r="K31" s="119"/>
      <c r="L31" s="119"/>
    </row>
    <row r="32" spans="1:12" ht="15" customHeight="1" hidden="1" thickBot="1">
      <c r="A32" s="375" t="s">
        <v>204</v>
      </c>
      <c r="B32" s="235"/>
      <c r="C32" s="248" t="s">
        <v>197</v>
      </c>
      <c r="D32" s="255">
        <v>0</v>
      </c>
      <c r="E32" s="257">
        <v>0</v>
      </c>
      <c r="F32" s="252">
        <f t="shared" si="0"/>
        <v>0</v>
      </c>
      <c r="G32" s="119"/>
      <c r="H32" s="179"/>
      <c r="I32" s="119"/>
      <c r="J32" s="177"/>
      <c r="K32" s="119"/>
      <c r="L32" s="119"/>
    </row>
    <row r="33" spans="1:12" ht="15" customHeight="1" hidden="1" thickBot="1">
      <c r="A33" s="375" t="s">
        <v>204</v>
      </c>
      <c r="B33" s="235"/>
      <c r="C33" s="248" t="s">
        <v>197</v>
      </c>
      <c r="D33" s="255">
        <v>0</v>
      </c>
      <c r="E33" s="257">
        <v>0</v>
      </c>
      <c r="F33" s="252">
        <f t="shared" si="0"/>
        <v>0</v>
      </c>
      <c r="G33" s="119"/>
      <c r="H33" s="179"/>
      <c r="I33" s="119"/>
      <c r="J33" s="177"/>
      <c r="K33" s="119"/>
      <c r="L33" s="119"/>
    </row>
    <row r="34" spans="1:12" ht="15" customHeight="1" hidden="1" thickBot="1">
      <c r="A34" s="375" t="s">
        <v>204</v>
      </c>
      <c r="B34" s="235"/>
      <c r="C34" s="248" t="s">
        <v>197</v>
      </c>
      <c r="D34" s="255">
        <v>0</v>
      </c>
      <c r="E34" s="257">
        <v>0</v>
      </c>
      <c r="F34" s="252">
        <f t="shared" si="0"/>
        <v>0</v>
      </c>
      <c r="G34" s="119"/>
      <c r="H34" s="179"/>
      <c r="I34" s="119"/>
      <c r="J34" s="177"/>
      <c r="K34" s="119"/>
      <c r="L34" s="119"/>
    </row>
    <row r="35" spans="1:12" ht="39" customHeight="1" thickBot="1">
      <c r="A35" s="271" t="s">
        <v>291</v>
      </c>
      <c r="B35" s="272"/>
      <c r="C35" s="276" t="s">
        <v>293</v>
      </c>
      <c r="D35" s="277">
        <f>D36+D37+D38+D39</f>
        <v>1084000</v>
      </c>
      <c r="E35" s="277">
        <f>E36+E37+E38+E39</f>
        <v>94704.37999999999</v>
      </c>
      <c r="F35" s="277">
        <f>F36+F37+F38+F39</f>
        <v>989295.62</v>
      </c>
      <c r="G35" s="119"/>
      <c r="H35" s="179"/>
      <c r="I35" s="119"/>
      <c r="J35" s="177"/>
      <c r="K35" s="119"/>
      <c r="L35" s="119"/>
    </row>
    <row r="36" spans="1:12" ht="36" customHeight="1" thickBot="1">
      <c r="A36" s="285" t="s">
        <v>292</v>
      </c>
      <c r="B36" s="237"/>
      <c r="C36" s="275" t="s">
        <v>294</v>
      </c>
      <c r="D36" s="255">
        <v>377000</v>
      </c>
      <c r="E36" s="407">
        <v>37848.45</v>
      </c>
      <c r="F36" s="308">
        <f>D36-E36</f>
        <v>339151.55</v>
      </c>
      <c r="G36" s="417"/>
      <c r="H36" s="179"/>
      <c r="I36" s="119"/>
      <c r="J36" s="177"/>
      <c r="K36" s="119"/>
      <c r="L36" s="119"/>
    </row>
    <row r="37" spans="1:12" ht="48.75" customHeight="1" thickBot="1">
      <c r="A37" s="285" t="s">
        <v>288</v>
      </c>
      <c r="B37" s="237"/>
      <c r="C37" s="274" t="s">
        <v>295</v>
      </c>
      <c r="D37" s="255">
        <v>3000</v>
      </c>
      <c r="E37" s="408">
        <v>242.87</v>
      </c>
      <c r="F37" s="308">
        <f>D37-E37</f>
        <v>2757.13</v>
      </c>
      <c r="G37" s="417"/>
      <c r="H37" s="179"/>
      <c r="I37" s="119"/>
      <c r="J37" s="177"/>
      <c r="K37" s="119"/>
      <c r="L37" s="119"/>
    </row>
    <row r="38" spans="1:12" ht="51" customHeight="1" thickBot="1">
      <c r="A38" s="285" t="s">
        <v>289</v>
      </c>
      <c r="B38" s="237"/>
      <c r="C38" s="274" t="s">
        <v>296</v>
      </c>
      <c r="D38" s="255">
        <v>704000</v>
      </c>
      <c r="E38" s="407">
        <v>65557.89</v>
      </c>
      <c r="F38" s="308">
        <f>D38-E38</f>
        <v>638442.11</v>
      </c>
      <c r="G38" s="417"/>
      <c r="H38" s="179"/>
      <c r="I38" s="119"/>
      <c r="J38" s="177"/>
      <c r="K38" s="119"/>
      <c r="L38" s="119"/>
    </row>
    <row r="39" spans="1:12" s="175" customFormat="1" ht="48.75" customHeight="1" thickBot="1">
      <c r="A39" s="285" t="s">
        <v>290</v>
      </c>
      <c r="B39" s="239"/>
      <c r="C39" s="274" t="s">
        <v>297</v>
      </c>
      <c r="D39" s="255">
        <f>'[1]З-Речка'!$D$20</f>
        <v>0</v>
      </c>
      <c r="E39" s="408">
        <v>-8944.83</v>
      </c>
      <c r="F39" s="308">
        <f>D39-E39</f>
        <v>8944.83</v>
      </c>
      <c r="G39" s="119"/>
      <c r="H39" s="179"/>
      <c r="I39" s="119"/>
      <c r="J39" s="177"/>
      <c r="K39" s="119"/>
      <c r="L39" s="119"/>
    </row>
    <row r="40" spans="1:12" ht="15" customHeight="1" thickBot="1">
      <c r="A40" s="281" t="s">
        <v>298</v>
      </c>
      <c r="B40" s="283"/>
      <c r="C40" s="291" t="s">
        <v>249</v>
      </c>
      <c r="D40" s="277">
        <f>D41+D43+D42</f>
        <v>4000</v>
      </c>
      <c r="E40" s="277">
        <f>E41+E43+E42+E44</f>
        <v>1486.48</v>
      </c>
      <c r="F40" s="277">
        <f>F41+F43</f>
        <v>2520</v>
      </c>
      <c r="G40" s="119"/>
      <c r="H40" s="179"/>
      <c r="I40" s="119"/>
      <c r="J40" s="177"/>
      <c r="K40" s="119"/>
      <c r="L40" s="119"/>
    </row>
    <row r="41" spans="1:12" ht="49.5" customHeight="1" thickBot="1">
      <c r="A41" s="286" t="s">
        <v>299</v>
      </c>
      <c r="B41" s="240"/>
      <c r="C41" s="241" t="s">
        <v>278</v>
      </c>
      <c r="D41" s="257">
        <v>4000</v>
      </c>
      <c r="E41" s="257">
        <v>618</v>
      </c>
      <c r="F41" s="308">
        <f>D41-E41</f>
        <v>3382</v>
      </c>
      <c r="G41" s="417"/>
      <c r="H41" s="179"/>
      <c r="I41" s="119"/>
      <c r="J41" s="177"/>
      <c r="K41" s="119"/>
      <c r="L41" s="119"/>
    </row>
    <row r="42" spans="1:12" ht="49.5" customHeight="1" thickBot="1">
      <c r="A42" s="286" t="s">
        <v>299</v>
      </c>
      <c r="B42" s="240"/>
      <c r="C42" s="241" t="s">
        <v>322</v>
      </c>
      <c r="D42" s="257">
        <v>0</v>
      </c>
      <c r="E42" s="257">
        <v>0</v>
      </c>
      <c r="F42" s="308">
        <f>D42-E42</f>
        <v>0</v>
      </c>
      <c r="G42" s="119"/>
      <c r="H42" s="179"/>
      <c r="I42" s="119"/>
      <c r="J42" s="177"/>
      <c r="K42" s="119"/>
      <c r="L42" s="119"/>
    </row>
    <row r="43" spans="1:6" ht="60" customHeight="1" thickBot="1">
      <c r="A43" s="286" t="s">
        <v>300</v>
      </c>
      <c r="B43" s="240"/>
      <c r="C43" s="241" t="s">
        <v>433</v>
      </c>
      <c r="D43" s="257">
        <f>'[1]З-Речка'!$C$30</f>
        <v>0</v>
      </c>
      <c r="E43" s="257">
        <v>862</v>
      </c>
      <c r="F43" s="308">
        <f>D43-E43</f>
        <v>-862</v>
      </c>
    </row>
    <row r="44" spans="1:6" ht="60" customHeight="1" thickBot="1">
      <c r="A44" s="286" t="s">
        <v>300</v>
      </c>
      <c r="B44" s="240"/>
      <c r="C44" s="241" t="s">
        <v>323</v>
      </c>
      <c r="D44" s="257">
        <f>'[1]З-Речка'!$C$30</f>
        <v>0</v>
      </c>
      <c r="E44" s="257">
        <v>6.48</v>
      </c>
      <c r="F44" s="308">
        <f>D44-E44</f>
        <v>-6.48</v>
      </c>
    </row>
    <row r="45" spans="1:6" ht="15" customHeight="1" thickBot="1">
      <c r="A45" s="281" t="s">
        <v>144</v>
      </c>
      <c r="B45" s="282"/>
      <c r="C45" s="292" t="s">
        <v>259</v>
      </c>
      <c r="D45" s="293">
        <f>D46+D47+D48</f>
        <v>13000</v>
      </c>
      <c r="E45" s="293">
        <f>E46+E47+E48</f>
        <v>0</v>
      </c>
      <c r="F45" s="293">
        <f>F46+F47+F48</f>
        <v>13000</v>
      </c>
    </row>
    <row r="46" spans="1:7" ht="15" customHeight="1" thickBot="1">
      <c r="A46" s="236" t="s">
        <v>144</v>
      </c>
      <c r="B46" s="240"/>
      <c r="C46" s="241" t="s">
        <v>206</v>
      </c>
      <c r="D46" s="257">
        <v>13000</v>
      </c>
      <c r="E46" s="257">
        <v>0</v>
      </c>
      <c r="F46" s="257">
        <f>D46-E46</f>
        <v>13000</v>
      </c>
      <c r="G46" s="416"/>
    </row>
    <row r="47" spans="1:12" s="119" customFormat="1" ht="15" customHeight="1" thickBot="1">
      <c r="A47" s="236" t="s">
        <v>144</v>
      </c>
      <c r="B47" s="240"/>
      <c r="C47" s="241" t="s">
        <v>200</v>
      </c>
      <c r="D47" s="257">
        <v>0</v>
      </c>
      <c r="E47" s="257">
        <v>0</v>
      </c>
      <c r="F47" s="257">
        <f>D47-E47</f>
        <v>0</v>
      </c>
      <c r="G47" s="1"/>
      <c r="H47" s="52"/>
      <c r="I47" s="1"/>
      <c r="J47" s="181"/>
      <c r="K47" s="1"/>
      <c r="L47" s="1"/>
    </row>
    <row r="48" spans="1:12" s="175" customFormat="1" ht="15" customHeight="1" thickBot="1">
      <c r="A48" s="236" t="s">
        <v>144</v>
      </c>
      <c r="B48" s="240"/>
      <c r="C48" s="241" t="s">
        <v>201</v>
      </c>
      <c r="D48" s="257">
        <v>0</v>
      </c>
      <c r="E48" s="257">
        <v>0</v>
      </c>
      <c r="F48" s="257">
        <f>D48-E48</f>
        <v>0</v>
      </c>
      <c r="G48" s="1"/>
      <c r="H48" s="52"/>
      <c r="I48" s="1"/>
      <c r="J48" s="181"/>
      <c r="K48" s="1"/>
      <c r="L48" s="1"/>
    </row>
    <row r="49" spans="1:12" s="119" customFormat="1" ht="15" customHeight="1" thickBot="1">
      <c r="A49" s="281" t="s">
        <v>99</v>
      </c>
      <c r="B49" s="282"/>
      <c r="C49" s="292" t="s">
        <v>250</v>
      </c>
      <c r="D49" s="293">
        <f>D50+D51</f>
        <v>94000</v>
      </c>
      <c r="E49" s="293">
        <f>E50+E51+E52</f>
        <v>1482.76</v>
      </c>
      <c r="F49" s="293">
        <f>F50+F51</f>
        <v>92517.23999999999</v>
      </c>
      <c r="G49" s="1"/>
      <c r="H49" s="52"/>
      <c r="I49" s="1"/>
      <c r="J49" s="181"/>
      <c r="K49" s="1"/>
      <c r="L49" s="1"/>
    </row>
    <row r="50" spans="1:7" ht="15" customHeight="1" thickBot="1">
      <c r="A50" s="236" t="s">
        <v>99</v>
      </c>
      <c r="B50" s="240"/>
      <c r="C50" s="241" t="s">
        <v>141</v>
      </c>
      <c r="D50" s="257">
        <v>94000</v>
      </c>
      <c r="E50" s="405">
        <v>1454.49</v>
      </c>
      <c r="F50" s="308">
        <f>D50-E50</f>
        <v>92545.51</v>
      </c>
      <c r="G50" s="416"/>
    </row>
    <row r="51" spans="1:12" s="175" customFormat="1" ht="15" customHeight="1" thickBot="1">
      <c r="A51" s="236" t="s">
        <v>99</v>
      </c>
      <c r="B51" s="240"/>
      <c r="C51" s="241" t="s">
        <v>1</v>
      </c>
      <c r="D51" s="257">
        <v>0</v>
      </c>
      <c r="E51" s="405">
        <v>28.27</v>
      </c>
      <c r="F51" s="308">
        <f>D51-E51</f>
        <v>-28.27</v>
      </c>
      <c r="G51" s="30"/>
      <c r="H51" s="180"/>
      <c r="I51" s="30"/>
      <c r="J51" s="176"/>
      <c r="K51" s="30"/>
      <c r="L51" s="30"/>
    </row>
    <row r="52" spans="1:12" s="175" customFormat="1" ht="15" customHeight="1" thickBot="1">
      <c r="A52" s="236" t="s">
        <v>99</v>
      </c>
      <c r="B52" s="240"/>
      <c r="C52" s="241" t="s">
        <v>323</v>
      </c>
      <c r="D52" s="257">
        <v>0</v>
      </c>
      <c r="E52" s="257">
        <v>0</v>
      </c>
      <c r="F52" s="308">
        <f>D52-E52</f>
        <v>0</v>
      </c>
      <c r="G52" s="30"/>
      <c r="H52" s="180"/>
      <c r="I52" s="30"/>
      <c r="J52" s="176"/>
      <c r="K52" s="30"/>
      <c r="L52" s="30"/>
    </row>
    <row r="53" spans="1:12" s="119" customFormat="1" ht="39" customHeight="1" thickBot="1">
      <c r="A53" s="281" t="s">
        <v>303</v>
      </c>
      <c r="B53" s="280"/>
      <c r="C53" s="291" t="s">
        <v>317</v>
      </c>
      <c r="D53" s="277">
        <f>D55+D57</f>
        <v>440000</v>
      </c>
      <c r="E53" s="277">
        <f>E55+E57</f>
        <v>46620.66</v>
      </c>
      <c r="F53" s="277">
        <f>F55+F57</f>
        <v>393379.33999999997</v>
      </c>
      <c r="G53" s="1"/>
      <c r="H53" s="52"/>
      <c r="I53" s="1"/>
      <c r="J53" s="181"/>
      <c r="K53" s="1"/>
      <c r="L53" s="1"/>
    </row>
    <row r="54" spans="1:6" ht="96" customHeight="1" hidden="1" thickBot="1">
      <c r="A54" s="312" t="s">
        <v>304</v>
      </c>
      <c r="B54" s="242"/>
      <c r="C54" s="251" t="s">
        <v>305</v>
      </c>
      <c r="D54" s="252"/>
      <c r="E54" s="252"/>
      <c r="F54" s="278"/>
    </row>
    <row r="55" spans="1:12" s="175" customFormat="1" ht="42" customHeight="1" thickBot="1">
      <c r="A55" s="306" t="s">
        <v>324</v>
      </c>
      <c r="B55" s="240"/>
      <c r="C55" s="307" t="s">
        <v>168</v>
      </c>
      <c r="D55" s="255">
        <v>160000</v>
      </c>
      <c r="E55" s="257">
        <v>5777.66</v>
      </c>
      <c r="F55" s="257">
        <f>D55-E55</f>
        <v>154222.34</v>
      </c>
      <c r="G55" s="1"/>
      <c r="H55" s="52"/>
      <c r="I55" s="1"/>
      <c r="J55" s="181"/>
      <c r="K55" s="1"/>
      <c r="L55" s="1"/>
    </row>
    <row r="56" spans="1:12" s="175" customFormat="1" ht="90" customHeight="1" hidden="1" thickBot="1">
      <c r="A56" s="314" t="s">
        <v>306</v>
      </c>
      <c r="B56" s="310"/>
      <c r="C56" s="311" t="s">
        <v>307</v>
      </c>
      <c r="D56" s="308"/>
      <c r="E56" s="308"/>
      <c r="F56" s="257">
        <f>D56-E56</f>
        <v>0</v>
      </c>
      <c r="G56" s="1"/>
      <c r="H56" s="52"/>
      <c r="I56" s="1"/>
      <c r="J56" s="181"/>
      <c r="K56" s="1"/>
      <c r="L56" s="1"/>
    </row>
    <row r="57" spans="1:12" s="175" customFormat="1" ht="54.75" customHeight="1" thickBot="1">
      <c r="A57" s="240" t="s">
        <v>308</v>
      </c>
      <c r="B57" s="240"/>
      <c r="C57" s="241" t="s">
        <v>175</v>
      </c>
      <c r="D57" s="257">
        <v>280000</v>
      </c>
      <c r="E57" s="257">
        <v>40843</v>
      </c>
      <c r="F57" s="257">
        <f>D57-E57</f>
        <v>239157</v>
      </c>
      <c r="G57" s="416"/>
      <c r="H57" s="52"/>
      <c r="I57" s="1"/>
      <c r="J57" s="181"/>
      <c r="K57" s="1"/>
      <c r="L57" s="1"/>
    </row>
    <row r="58" spans="1:6" ht="26.25" customHeight="1" thickBot="1">
      <c r="A58" s="281" t="s">
        <v>311</v>
      </c>
      <c r="B58" s="280"/>
      <c r="C58" s="291" t="s">
        <v>318</v>
      </c>
      <c r="D58" s="277">
        <f>D59+D60</f>
        <v>60000</v>
      </c>
      <c r="E58" s="277">
        <f>E59+E60</f>
        <v>0</v>
      </c>
      <c r="F58" s="277">
        <f>F59</f>
        <v>60000</v>
      </c>
    </row>
    <row r="59" spans="1:7" ht="29.25" customHeight="1" thickBot="1">
      <c r="A59" s="236" t="s">
        <v>312</v>
      </c>
      <c r="B59" s="240"/>
      <c r="C59" s="241" t="s">
        <v>208</v>
      </c>
      <c r="D59" s="257">
        <v>60000</v>
      </c>
      <c r="E59" s="257">
        <v>0</v>
      </c>
      <c r="F59" s="257">
        <f>D59-E59</f>
        <v>60000</v>
      </c>
      <c r="G59" s="416"/>
    </row>
    <row r="60" spans="1:7" ht="29.25" customHeight="1" thickBot="1">
      <c r="A60" s="236" t="s">
        <v>490</v>
      </c>
      <c r="B60" s="240"/>
      <c r="C60" s="241" t="s">
        <v>227</v>
      </c>
      <c r="D60" s="257">
        <v>0</v>
      </c>
      <c r="E60" s="257">
        <v>0</v>
      </c>
      <c r="F60" s="257">
        <f>D60-E60</f>
        <v>0</v>
      </c>
      <c r="G60" s="416"/>
    </row>
    <row r="61" spans="1:6" ht="30" customHeight="1" thickBot="1">
      <c r="A61" s="281" t="s">
        <v>309</v>
      </c>
      <c r="B61" s="282"/>
      <c r="C61" s="292" t="s">
        <v>319</v>
      </c>
      <c r="D61" s="293">
        <f>D62+D63</f>
        <v>1000000</v>
      </c>
      <c r="E61" s="293">
        <f>E62+E63</f>
        <v>111718.8</v>
      </c>
      <c r="F61" s="293">
        <f>F62+F63</f>
        <v>888281.2</v>
      </c>
    </row>
    <row r="62" spans="1:12" s="175" customFormat="1" ht="27.75" customHeight="1" thickBot="1">
      <c r="A62" s="236" t="s">
        <v>310</v>
      </c>
      <c r="B62" s="240"/>
      <c r="C62" s="241" t="s">
        <v>217</v>
      </c>
      <c r="D62" s="255">
        <v>1000000</v>
      </c>
      <c r="E62" s="257">
        <v>111718.8</v>
      </c>
      <c r="F62" s="308">
        <f>D62-E62</f>
        <v>888281.2</v>
      </c>
      <c r="G62" s="416"/>
      <c r="H62" s="52"/>
      <c r="I62" s="1"/>
      <c r="J62" s="181"/>
      <c r="K62" s="1"/>
      <c r="L62" s="1"/>
    </row>
    <row r="63" spans="1:10" s="37" customFormat="1" ht="15" customHeight="1" thickBot="1">
      <c r="A63" s="329" t="s">
        <v>162</v>
      </c>
      <c r="B63" s="330"/>
      <c r="C63" s="331" t="s">
        <v>325</v>
      </c>
      <c r="D63" s="332">
        <v>0</v>
      </c>
      <c r="E63" s="382">
        <v>0</v>
      </c>
      <c r="F63" s="382">
        <f>D63-E63</f>
        <v>0</v>
      </c>
      <c r="G63" s="418"/>
      <c r="H63" s="328"/>
      <c r="J63" s="197"/>
    </row>
    <row r="64" spans="1:6" ht="15" customHeight="1" thickBot="1">
      <c r="A64" s="236" t="s">
        <v>154</v>
      </c>
      <c r="B64" s="240"/>
      <c r="C64" s="241" t="s">
        <v>209</v>
      </c>
      <c r="D64" s="257">
        <v>0</v>
      </c>
      <c r="E64" s="257">
        <v>0</v>
      </c>
      <c r="F64" s="308">
        <f>D64-E64</f>
        <v>0</v>
      </c>
    </row>
    <row r="65" spans="1:88" s="287" customFormat="1" ht="15" customHeight="1" thickBot="1">
      <c r="A65" s="318" t="s">
        <v>302</v>
      </c>
      <c r="B65" s="283"/>
      <c r="C65" s="276" t="s">
        <v>320</v>
      </c>
      <c r="D65" s="277">
        <f>D66</f>
        <v>5000</v>
      </c>
      <c r="E65" s="277">
        <f>E66</f>
        <v>800</v>
      </c>
      <c r="F65" s="277">
        <f>F66</f>
        <v>4200</v>
      </c>
      <c r="G65" s="1"/>
      <c r="H65" s="52"/>
      <c r="I65" s="1"/>
      <c r="J65" s="18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row>
    <row r="66" spans="1:7" ht="61.5" customHeight="1" thickBot="1">
      <c r="A66" s="320" t="s">
        <v>301</v>
      </c>
      <c r="B66" s="240"/>
      <c r="C66" s="319" t="s">
        <v>248</v>
      </c>
      <c r="D66" s="257">
        <v>5000</v>
      </c>
      <c r="E66" s="257">
        <v>800</v>
      </c>
      <c r="F66" s="257">
        <f>D66-E66</f>
        <v>4200</v>
      </c>
      <c r="G66" s="416"/>
    </row>
    <row r="67" spans="1:6" ht="15" customHeight="1" hidden="1" thickBot="1">
      <c r="A67" s="236" t="s">
        <v>156</v>
      </c>
      <c r="B67" s="240"/>
      <c r="C67" s="241"/>
      <c r="D67" s="257"/>
      <c r="E67" s="257"/>
      <c r="F67" s="257"/>
    </row>
    <row r="68" spans="1:12" s="37" customFormat="1" ht="26.25" customHeight="1" hidden="1" thickBot="1">
      <c r="A68" s="236" t="s">
        <v>221</v>
      </c>
      <c r="B68" s="240"/>
      <c r="C68" s="241" t="s">
        <v>222</v>
      </c>
      <c r="D68" s="257"/>
      <c r="E68" s="257"/>
      <c r="F68" s="257">
        <v>0</v>
      </c>
      <c r="G68" s="1"/>
      <c r="H68" s="52"/>
      <c r="I68" s="1"/>
      <c r="J68" s="181"/>
      <c r="K68" s="1"/>
      <c r="L68" s="1"/>
    </row>
    <row r="69" spans="1:12" s="119" customFormat="1" ht="24" customHeight="1" hidden="1" thickBot="1">
      <c r="A69" s="236" t="s">
        <v>284</v>
      </c>
      <c r="B69" s="240"/>
      <c r="C69" s="241" t="s">
        <v>285</v>
      </c>
      <c r="D69" s="255"/>
      <c r="E69" s="255"/>
      <c r="F69" s="279">
        <v>0</v>
      </c>
      <c r="G69" s="1"/>
      <c r="H69" s="52"/>
      <c r="I69" s="1"/>
      <c r="J69" s="181"/>
      <c r="K69" s="1"/>
      <c r="L69" s="1"/>
    </row>
    <row r="70" spans="1:12" s="119" customFormat="1" ht="26.25" customHeight="1" thickBot="1">
      <c r="A70" s="281" t="s">
        <v>211</v>
      </c>
      <c r="B70" s="282"/>
      <c r="C70" s="292" t="s">
        <v>225</v>
      </c>
      <c r="D70" s="293">
        <v>0</v>
      </c>
      <c r="E70" s="293">
        <v>0</v>
      </c>
      <c r="F70" s="293">
        <v>0</v>
      </c>
      <c r="G70" s="1"/>
      <c r="H70" s="52"/>
      <c r="I70" s="1"/>
      <c r="J70" s="181"/>
      <c r="K70" s="1"/>
      <c r="L70" s="1"/>
    </row>
    <row r="71" spans="1:12" s="119" customFormat="1" ht="36" customHeight="1" thickBot="1">
      <c r="A71" s="281" t="s">
        <v>194</v>
      </c>
      <c r="B71" s="284"/>
      <c r="C71" s="292" t="s">
        <v>186</v>
      </c>
      <c r="D71" s="293">
        <v>0</v>
      </c>
      <c r="E71" s="409">
        <v>0</v>
      </c>
      <c r="F71" s="293">
        <v>0</v>
      </c>
      <c r="G71" s="1"/>
      <c r="H71" s="52"/>
      <c r="I71" s="1"/>
      <c r="J71" s="181"/>
      <c r="K71" s="1"/>
      <c r="L71" s="1"/>
    </row>
    <row r="72" spans="1:12" s="119" customFormat="1" ht="22.5" customHeight="1" thickBot="1">
      <c r="A72" s="316"/>
      <c r="B72" s="309"/>
      <c r="C72" s="321"/>
      <c r="D72" s="317"/>
      <c r="E72" s="317"/>
      <c r="F72" s="317"/>
      <c r="G72" s="1"/>
      <c r="H72" s="52"/>
      <c r="I72" s="1"/>
      <c r="J72" s="181"/>
      <c r="K72" s="1"/>
      <c r="L72" s="1"/>
    </row>
    <row r="73" spans="1:12" s="119" customFormat="1" ht="37.5" customHeight="1" thickBot="1">
      <c r="A73" s="281" t="s">
        <v>313</v>
      </c>
      <c r="B73" s="282"/>
      <c r="C73" s="292" t="s">
        <v>321</v>
      </c>
      <c r="D73" s="293">
        <f>D74+D75+D76+D77+D78+D79+D80+D81+D82+D83</f>
        <v>43319916.18</v>
      </c>
      <c r="E73" s="293">
        <f>E74+E75+E76+E77+E78+E79+E80+E81+E82+E83</f>
        <v>2550236.5100000002</v>
      </c>
      <c r="F73" s="293">
        <f>F74+F75+F76+F77+F78+F79+F80+F81+F82+F83</f>
        <v>40769679.669999994</v>
      </c>
      <c r="G73" s="416"/>
      <c r="H73" s="52"/>
      <c r="I73" s="1"/>
      <c r="J73" s="181"/>
      <c r="K73" s="1"/>
      <c r="L73" s="1"/>
    </row>
    <row r="74" spans="1:12" s="119" customFormat="1" ht="24.75" customHeight="1" thickBot="1">
      <c r="A74" s="375" t="s">
        <v>101</v>
      </c>
      <c r="B74" s="376"/>
      <c r="C74" s="248" t="s">
        <v>314</v>
      </c>
      <c r="D74" s="255">
        <v>4584400</v>
      </c>
      <c r="E74" s="257">
        <v>362063</v>
      </c>
      <c r="F74" s="252">
        <f>D74-E74</f>
        <v>4222337</v>
      </c>
      <c r="G74" s="416"/>
      <c r="H74" s="52"/>
      <c r="I74" s="1"/>
      <c r="J74" s="181"/>
      <c r="K74" s="1"/>
      <c r="L74" s="1"/>
    </row>
    <row r="75" spans="1:12" s="119" customFormat="1" ht="24" customHeight="1" thickBot="1">
      <c r="A75" s="375" t="s">
        <v>158</v>
      </c>
      <c r="B75" s="376"/>
      <c r="C75" s="377" t="s">
        <v>315</v>
      </c>
      <c r="D75" s="255">
        <f>22722681.68+15487492</f>
        <v>38210173.68</v>
      </c>
      <c r="E75" s="257">
        <v>3066053.66</v>
      </c>
      <c r="F75" s="308">
        <f aca="true" t="shared" si="1" ref="F75:F83">D75-E75</f>
        <v>35144120.019999996</v>
      </c>
      <c r="G75" s="416"/>
      <c r="H75" s="52"/>
      <c r="I75" s="1"/>
      <c r="J75" s="181"/>
      <c r="K75" s="1"/>
      <c r="L75" s="1"/>
    </row>
    <row r="76" spans="1:12" s="119" customFormat="1" ht="24" customHeight="1" thickBot="1">
      <c r="A76" s="375" t="s">
        <v>102</v>
      </c>
      <c r="B76" s="376"/>
      <c r="C76" s="248" t="s">
        <v>316</v>
      </c>
      <c r="D76" s="255">
        <v>210100</v>
      </c>
      <c r="E76" s="257">
        <v>0</v>
      </c>
      <c r="F76" s="308">
        <f t="shared" si="1"/>
        <v>210100</v>
      </c>
      <c r="G76" s="416"/>
      <c r="H76" s="52"/>
      <c r="I76" s="1"/>
      <c r="J76" s="181"/>
      <c r="K76" s="1"/>
      <c r="L76" s="1"/>
    </row>
    <row r="77" spans="1:12" s="119" customFormat="1" ht="25.5" customHeight="1" thickBot="1">
      <c r="A77" s="236" t="s">
        <v>150</v>
      </c>
      <c r="B77" s="240"/>
      <c r="C77" s="241" t="s">
        <v>476</v>
      </c>
      <c r="D77" s="257">
        <v>12040</v>
      </c>
      <c r="E77" s="257">
        <v>0</v>
      </c>
      <c r="F77" s="308">
        <f t="shared" si="1"/>
        <v>12040</v>
      </c>
      <c r="G77" s="416"/>
      <c r="H77" s="52"/>
      <c r="I77" s="1"/>
      <c r="J77" s="181"/>
      <c r="K77" s="1"/>
      <c r="L77" s="1"/>
    </row>
    <row r="78" spans="1:12" s="119" customFormat="1" ht="25.5" customHeight="1" thickBot="1">
      <c r="A78" s="375" t="s">
        <v>153</v>
      </c>
      <c r="B78" s="240"/>
      <c r="C78" s="248" t="s">
        <v>475</v>
      </c>
      <c r="D78" s="257">
        <f>12300+288200</f>
        <v>300500</v>
      </c>
      <c r="E78" s="257">
        <v>0</v>
      </c>
      <c r="F78" s="308">
        <f>D78-E78</f>
        <v>300500</v>
      </c>
      <c r="G78" s="416"/>
      <c r="H78" s="52"/>
      <c r="I78" s="1"/>
      <c r="J78" s="181"/>
      <c r="K78" s="1"/>
      <c r="L78" s="1"/>
    </row>
    <row r="79" spans="1:12" s="119" customFormat="1" ht="24.75" customHeight="1" thickBot="1">
      <c r="A79" s="375" t="s">
        <v>153</v>
      </c>
      <c r="B79" s="376"/>
      <c r="C79" s="248" t="s">
        <v>477</v>
      </c>
      <c r="D79" s="255">
        <v>0</v>
      </c>
      <c r="E79" s="257">
        <v>0</v>
      </c>
      <c r="F79" s="308">
        <f t="shared" si="1"/>
        <v>0</v>
      </c>
      <c r="G79" s="416"/>
      <c r="H79" s="52"/>
      <c r="I79" s="1"/>
      <c r="J79" s="181"/>
      <c r="K79" s="1"/>
      <c r="L79" s="1"/>
    </row>
    <row r="80" spans="1:12" s="119" customFormat="1" ht="66.75" customHeight="1" thickBot="1">
      <c r="A80" s="236" t="s">
        <v>479</v>
      </c>
      <c r="B80" s="240"/>
      <c r="C80" s="241" t="s">
        <v>996</v>
      </c>
      <c r="D80" s="255">
        <v>2702.5</v>
      </c>
      <c r="E80" s="257">
        <v>0</v>
      </c>
      <c r="F80" s="308">
        <f t="shared" si="1"/>
        <v>2702.5</v>
      </c>
      <c r="G80" s="1"/>
      <c r="H80" s="52"/>
      <c r="I80" s="1"/>
      <c r="J80" s="181"/>
      <c r="K80" s="1"/>
      <c r="L80" s="1"/>
    </row>
    <row r="81" spans="1:12" s="119" customFormat="1" ht="40.5" customHeight="1" thickBot="1">
      <c r="A81" s="236" t="s">
        <v>229</v>
      </c>
      <c r="B81" s="240"/>
      <c r="C81" s="322" t="s">
        <v>0</v>
      </c>
      <c r="D81" s="257">
        <v>0</v>
      </c>
      <c r="E81" s="381">
        <v>-877880.15</v>
      </c>
      <c r="F81" s="308">
        <f t="shared" si="1"/>
        <v>877880.15</v>
      </c>
      <c r="G81" s="1"/>
      <c r="H81" s="52"/>
      <c r="I81" s="1"/>
      <c r="J81" s="181"/>
      <c r="K81" s="1"/>
      <c r="L81" s="1"/>
    </row>
    <row r="82" spans="1:12" s="119" customFormat="1" ht="25.5" customHeight="1" thickBot="1">
      <c r="A82" s="236" t="s">
        <v>193</v>
      </c>
      <c r="B82" s="240"/>
      <c r="C82" s="241" t="s">
        <v>195</v>
      </c>
      <c r="D82" s="257">
        <v>0</v>
      </c>
      <c r="E82" s="255">
        <v>0</v>
      </c>
      <c r="F82" s="308">
        <f t="shared" si="1"/>
        <v>0</v>
      </c>
      <c r="G82" s="1"/>
      <c r="H82" s="52"/>
      <c r="I82" s="1"/>
      <c r="J82" s="181"/>
      <c r="K82" s="1"/>
      <c r="L82" s="1"/>
    </row>
    <row r="83" spans="1:6" ht="38.25" customHeight="1" thickBot="1">
      <c r="A83" s="236" t="s">
        <v>192</v>
      </c>
      <c r="B83" s="240"/>
      <c r="C83" s="241" t="s">
        <v>191</v>
      </c>
      <c r="D83" s="257">
        <v>0</v>
      </c>
      <c r="E83" s="255">
        <v>0</v>
      </c>
      <c r="F83" s="308">
        <f t="shared" si="1"/>
        <v>0</v>
      </c>
    </row>
    <row r="84" spans="1:6" ht="130.5" customHeight="1">
      <c r="A84" s="243"/>
      <c r="B84" s="244"/>
      <c r="C84" s="265"/>
      <c r="D84" s="294"/>
      <c r="E84" s="295"/>
      <c r="F84" s="296"/>
    </row>
    <row r="85" spans="1:6" ht="228" customHeight="1">
      <c r="A85" s="243"/>
      <c r="B85" s="244"/>
      <c r="C85" s="265"/>
      <c r="D85" s="294"/>
      <c r="E85" s="295"/>
      <c r="F85" s="296"/>
    </row>
    <row r="86" spans="1:6" ht="34.5" customHeight="1">
      <c r="A86" s="213"/>
      <c r="B86" s="214"/>
      <c r="C86" s="297"/>
      <c r="D86" s="298"/>
      <c r="E86" s="299"/>
      <c r="F86" s="265"/>
    </row>
    <row r="87" spans="1:6" ht="20.25" customHeight="1" thickBot="1">
      <c r="A87" s="218"/>
      <c r="B87" s="214"/>
      <c r="C87" s="300"/>
      <c r="D87" s="301"/>
      <c r="E87" s="302"/>
      <c r="F87" s="265" t="s">
        <v>61</v>
      </c>
    </row>
    <row r="88" spans="1:6" ht="10.5" customHeight="1">
      <c r="A88" s="223"/>
      <c r="B88" s="224" t="s">
        <v>243</v>
      </c>
      <c r="C88" s="303"/>
      <c r="D88" s="225"/>
      <c r="E88" s="225"/>
      <c r="F88" s="225"/>
    </row>
    <row r="89" spans="1:6" ht="10.5" customHeight="1">
      <c r="A89" s="246"/>
      <c r="B89" s="226"/>
      <c r="C89" s="304"/>
      <c r="D89" s="227"/>
      <c r="E89" s="227" t="s">
        <v>18</v>
      </c>
      <c r="F89" s="227"/>
    </row>
    <row r="90" spans="1:12" s="30" customFormat="1" ht="10.5" customHeight="1">
      <c r="A90" s="228"/>
      <c r="B90" s="226" t="s">
        <v>27</v>
      </c>
      <c r="C90" s="304" t="s">
        <v>23</v>
      </c>
      <c r="D90" s="227" t="s">
        <v>87</v>
      </c>
      <c r="E90" s="227"/>
      <c r="F90" s="227" t="s">
        <v>6</v>
      </c>
      <c r="G90" s="1"/>
      <c r="H90" s="52"/>
      <c r="I90" s="1"/>
      <c r="J90" s="181"/>
      <c r="K90" s="1"/>
      <c r="L90" s="1"/>
    </row>
    <row r="91" spans="1:6" ht="10.5" customHeight="1">
      <c r="A91" s="228" t="s">
        <v>9</v>
      </c>
      <c r="B91" s="226" t="s">
        <v>28</v>
      </c>
      <c r="C91" s="304" t="s">
        <v>24</v>
      </c>
      <c r="D91" s="227" t="s">
        <v>88</v>
      </c>
      <c r="E91" s="227"/>
      <c r="F91" s="227" t="s">
        <v>7</v>
      </c>
    </row>
    <row r="92" spans="1:6" ht="10.5" customHeight="1" thickBot="1">
      <c r="A92" s="229"/>
      <c r="B92" s="230" t="s">
        <v>29</v>
      </c>
      <c r="C92" s="305" t="s">
        <v>25</v>
      </c>
      <c r="D92" s="231" t="s">
        <v>7</v>
      </c>
      <c r="E92" s="231"/>
      <c r="F92" s="231"/>
    </row>
    <row r="93" spans="1:6" ht="23.25" customHeight="1" thickBot="1">
      <c r="A93" s="315"/>
      <c r="B93" s="247"/>
      <c r="C93" s="247"/>
      <c r="D93" s="241"/>
      <c r="E93" s="248"/>
      <c r="F93" s="241"/>
    </row>
    <row r="94" spans="1:6" ht="25.5" customHeight="1" thickBot="1">
      <c r="A94" s="249">
        <v>1</v>
      </c>
      <c r="B94" s="250" t="s">
        <v>286</v>
      </c>
      <c r="C94" s="250" t="s">
        <v>287</v>
      </c>
      <c r="D94" s="251" t="s">
        <v>4</v>
      </c>
      <c r="E94" s="251">
        <v>5</v>
      </c>
      <c r="F94" s="251">
        <v>6</v>
      </c>
    </row>
    <row r="95" spans="1:6" ht="27" customHeight="1" thickBot="1">
      <c r="A95" s="253" t="s">
        <v>30</v>
      </c>
      <c r="B95" s="254" t="s">
        <v>39</v>
      </c>
      <c r="C95" s="254" t="s">
        <v>57</v>
      </c>
      <c r="D95" s="241"/>
      <c r="E95" s="255">
        <f>Лист2!E209-Лист1!E19</f>
        <v>-1479111.6000000006</v>
      </c>
      <c r="F95" s="256"/>
    </row>
    <row r="96" spans="1:6" ht="23.25" customHeight="1" thickBot="1">
      <c r="A96" s="253" t="s">
        <v>42</v>
      </c>
      <c r="B96" s="254"/>
      <c r="C96" s="241"/>
      <c r="D96" s="241"/>
      <c r="E96" s="255"/>
      <c r="F96" s="256"/>
    </row>
    <row r="97" spans="1:6" ht="23.25" customHeight="1" thickBot="1">
      <c r="A97" s="253" t="s">
        <v>266</v>
      </c>
      <c r="B97" s="254" t="s">
        <v>43</v>
      </c>
      <c r="C97" s="241" t="s">
        <v>57</v>
      </c>
      <c r="D97" s="241"/>
      <c r="E97" s="255">
        <f>E95</f>
        <v>-1479111.6000000006</v>
      </c>
      <c r="F97" s="256"/>
    </row>
    <row r="98" spans="1:6" ht="23.25" customHeight="1" thickBot="1">
      <c r="A98" s="253" t="s">
        <v>265</v>
      </c>
      <c r="B98" s="254" t="s">
        <v>44</v>
      </c>
      <c r="C98" s="241" t="s">
        <v>57</v>
      </c>
      <c r="D98" s="241"/>
      <c r="E98" s="255" t="s">
        <v>57</v>
      </c>
      <c r="F98" s="241"/>
    </row>
    <row r="99" spans="1:6" ht="23.25" customHeight="1" thickBot="1">
      <c r="A99" s="253" t="s">
        <v>267</v>
      </c>
      <c r="B99" s="254" t="s">
        <v>40</v>
      </c>
      <c r="C99" s="241"/>
      <c r="D99" s="241"/>
      <c r="E99" s="255"/>
      <c r="F99" s="241"/>
    </row>
    <row r="100" spans="1:6" ht="23.25" customHeight="1" thickBot="1">
      <c r="A100" s="253" t="s">
        <v>269</v>
      </c>
      <c r="B100" s="254" t="s">
        <v>46</v>
      </c>
      <c r="C100" s="241"/>
      <c r="D100" s="241"/>
      <c r="E100" s="257">
        <f>-1*E19</f>
        <v>-3296926.2500000005</v>
      </c>
      <c r="F100" s="241"/>
    </row>
    <row r="101" spans="1:6" ht="23.25" customHeight="1" thickBot="1">
      <c r="A101" s="253" t="s">
        <v>268</v>
      </c>
      <c r="B101" s="254"/>
      <c r="C101" s="241" t="s">
        <v>172</v>
      </c>
      <c r="D101" s="241"/>
      <c r="E101" s="257">
        <f>E100</f>
        <v>-3296926.2500000005</v>
      </c>
      <c r="F101" s="241"/>
    </row>
    <row r="102" spans="1:6" ht="23.25" customHeight="1" thickBot="1">
      <c r="A102" s="253" t="s">
        <v>270</v>
      </c>
      <c r="B102" s="254" t="s">
        <v>47</v>
      </c>
      <c r="C102" s="241"/>
      <c r="D102" s="241"/>
      <c r="E102" s="255">
        <f>Лист2!E209</f>
        <v>1817814.65</v>
      </c>
      <c r="F102" s="241"/>
    </row>
    <row r="103" spans="1:6" ht="23.25" customHeight="1" thickBot="1">
      <c r="A103" s="253" t="s">
        <v>134</v>
      </c>
      <c r="B103" s="254"/>
      <c r="C103" s="241" t="s">
        <v>173</v>
      </c>
      <c r="D103" s="241"/>
      <c r="E103" s="255">
        <f>E102</f>
        <v>1817814.65</v>
      </c>
      <c r="F103" s="241"/>
    </row>
    <row r="104" spans="1:6" ht="23.25" customHeight="1" thickBot="1">
      <c r="A104" s="253" t="s">
        <v>271</v>
      </c>
      <c r="B104" s="254" t="s">
        <v>49</v>
      </c>
      <c r="C104" s="241" t="s">
        <v>57</v>
      </c>
      <c r="D104" s="241" t="s">
        <v>57</v>
      </c>
      <c r="E104" s="248" t="s">
        <v>57</v>
      </c>
      <c r="F104" s="241" t="s">
        <v>57</v>
      </c>
    </row>
    <row r="105" spans="1:6" ht="23.25" customHeight="1" thickBot="1">
      <c r="A105" s="253" t="s">
        <v>272</v>
      </c>
      <c r="B105" s="254" t="s">
        <v>274</v>
      </c>
      <c r="C105" s="241" t="s">
        <v>57</v>
      </c>
      <c r="D105" s="241" t="s">
        <v>57</v>
      </c>
      <c r="E105" s="248" t="s">
        <v>57</v>
      </c>
      <c r="F105" s="241" t="s">
        <v>57</v>
      </c>
    </row>
    <row r="106" spans="1:6" ht="9.75" customHeight="1">
      <c r="A106" s="243" t="s">
        <v>273</v>
      </c>
      <c r="B106" s="258" t="s">
        <v>275</v>
      </c>
      <c r="C106" s="265" t="s">
        <v>57</v>
      </c>
      <c r="D106" s="265" t="s">
        <v>57</v>
      </c>
      <c r="E106" s="266" t="s">
        <v>57</v>
      </c>
      <c r="F106" s="265" t="s">
        <v>57</v>
      </c>
    </row>
    <row r="107" spans="1:6" ht="28.5" customHeight="1">
      <c r="A107" s="243"/>
      <c r="B107" s="258"/>
      <c r="C107" s="265"/>
      <c r="D107" s="265"/>
      <c r="E107" s="266"/>
      <c r="F107" s="265"/>
    </row>
    <row r="108" spans="1:6" ht="13.5" thickBot="1">
      <c r="A108" s="245" t="s">
        <v>492</v>
      </c>
      <c r="B108" s="245"/>
      <c r="C108" s="215" t="s">
        <v>493</v>
      </c>
      <c r="D108" s="259"/>
      <c r="E108" s="260"/>
      <c r="F108" s="259"/>
    </row>
    <row r="109" spans="1:6" ht="12.75">
      <c r="A109" s="334" t="s">
        <v>399</v>
      </c>
      <c r="B109" s="245"/>
      <c r="C109" s="263"/>
      <c r="D109" s="259"/>
      <c r="E109" s="221"/>
      <c r="F109" s="222"/>
    </row>
    <row r="110" spans="1:6" ht="12.75">
      <c r="A110" s="261"/>
      <c r="B110" s="213"/>
      <c r="C110" s="213"/>
      <c r="D110" s="259"/>
      <c r="E110" s="260"/>
      <c r="F110" s="222"/>
    </row>
    <row r="111" spans="1:6" ht="13.5" customHeight="1">
      <c r="A111" s="261"/>
      <c r="B111" s="245"/>
      <c r="C111" s="262"/>
      <c r="D111" s="259"/>
      <c r="E111" s="260"/>
      <c r="F111" s="259"/>
    </row>
    <row r="112" spans="1:6" ht="13.5" thickBot="1">
      <c r="A112" s="335" t="s">
        <v>283</v>
      </c>
      <c r="B112" s="245"/>
      <c r="C112" s="215" t="s">
        <v>494</v>
      </c>
      <c r="D112" s="259"/>
      <c r="E112" s="260"/>
      <c r="F112" s="259"/>
    </row>
    <row r="113" spans="1:6" ht="12.75">
      <c r="A113" s="245" t="s">
        <v>398</v>
      </c>
      <c r="B113" s="245"/>
      <c r="C113" s="263"/>
      <c r="D113" s="259"/>
      <c r="E113" s="221"/>
      <c r="F113" s="222"/>
    </row>
    <row r="114" spans="1:6" ht="12.75">
      <c r="A114" s="261"/>
      <c r="B114" s="213"/>
      <c r="C114" s="213"/>
      <c r="D114" s="259"/>
      <c r="E114" s="260"/>
      <c r="F114" s="222"/>
    </row>
    <row r="115" spans="1:6" ht="12.75">
      <c r="A115" s="213" t="s">
        <v>536</v>
      </c>
      <c r="B115" s="213"/>
      <c r="C115" s="213"/>
      <c r="D115" s="259"/>
      <c r="E115" s="260"/>
      <c r="F115" s="222"/>
    </row>
    <row r="116" spans="1:6" ht="12.75">
      <c r="A116" s="263"/>
      <c r="B116" s="263"/>
      <c r="C116" s="264"/>
      <c r="D116" s="265"/>
      <c r="E116" s="266"/>
      <c r="F116" s="265"/>
    </row>
    <row r="117" spans="1:6" ht="12.75">
      <c r="A117" s="213"/>
      <c r="B117" s="213"/>
      <c r="C117" s="213"/>
      <c r="D117" s="267"/>
      <c r="E117" s="268"/>
      <c r="F117" s="269"/>
    </row>
    <row r="118" spans="1:6" ht="12.75">
      <c r="A118" s="213"/>
      <c r="B118" s="213"/>
      <c r="C118" s="213"/>
      <c r="D118" s="267"/>
      <c r="E118" s="268"/>
      <c r="F118" s="269"/>
    </row>
    <row r="119" spans="1:6" ht="12.75">
      <c r="A119" s="213"/>
      <c r="B119" s="213"/>
      <c r="C119" s="213"/>
      <c r="D119" s="267"/>
      <c r="E119" s="268"/>
      <c r="F119" s="269"/>
    </row>
    <row r="120" spans="1:6" ht="12.75">
      <c r="A120" s="213"/>
      <c r="B120" s="213"/>
      <c r="C120" s="213"/>
      <c r="D120" s="267"/>
      <c r="E120" s="268"/>
      <c r="F120" s="269"/>
    </row>
    <row r="121" spans="1:6" ht="12.75">
      <c r="A121" s="213"/>
      <c r="B121" s="213"/>
      <c r="C121" s="213"/>
      <c r="D121" s="267"/>
      <c r="E121" s="268"/>
      <c r="F121" s="269"/>
    </row>
    <row r="122" spans="1:6" ht="12.75">
      <c r="A122" s="213"/>
      <c r="B122" s="213"/>
      <c r="C122" s="213"/>
      <c r="D122" s="267"/>
      <c r="E122" s="268"/>
      <c r="F122" s="269"/>
    </row>
    <row r="123" spans="1:6" ht="12.75">
      <c r="A123" s="213"/>
      <c r="B123" s="213"/>
      <c r="C123" s="213"/>
      <c r="D123" s="267"/>
      <c r="E123" s="268"/>
      <c r="F123" s="269"/>
    </row>
    <row r="124" spans="1:6" ht="12.75">
      <c r="A124" s="213"/>
      <c r="B124" s="213"/>
      <c r="C124" s="213"/>
      <c r="D124" s="267"/>
      <c r="E124" s="268"/>
      <c r="F124" s="269"/>
    </row>
    <row r="125" spans="1:6" ht="12.75">
      <c r="A125" s="213"/>
      <c r="B125" s="213"/>
      <c r="C125" s="213"/>
      <c r="D125" s="267"/>
      <c r="E125" s="268"/>
      <c r="F125" s="269"/>
    </row>
    <row r="126" spans="1:6" ht="12.75">
      <c r="A126" s="213"/>
      <c r="B126" s="213"/>
      <c r="C126" s="213"/>
      <c r="D126" s="267"/>
      <c r="E126" s="268"/>
      <c r="F126" s="269"/>
    </row>
    <row r="127" spans="1:6" ht="12.75">
      <c r="A127" s="213"/>
      <c r="B127" s="213"/>
      <c r="C127" s="213"/>
      <c r="D127" s="267"/>
      <c r="E127" s="268"/>
      <c r="F127" s="269"/>
    </row>
    <row r="128" spans="1:6" ht="12.75">
      <c r="A128" s="213"/>
      <c r="B128" s="213"/>
      <c r="C128" s="213"/>
      <c r="D128" s="267"/>
      <c r="E128" s="268"/>
      <c r="F128" s="269"/>
    </row>
    <row r="129" spans="1:6" ht="12.75">
      <c r="A129" s="213"/>
      <c r="B129" s="213"/>
      <c r="C129" s="213"/>
      <c r="D129" s="267"/>
      <c r="E129" s="268"/>
      <c r="F129" s="269"/>
    </row>
    <row r="130" spans="1:6" ht="12.75">
      <c r="A130" s="213"/>
      <c r="B130" s="213"/>
      <c r="C130" s="213"/>
      <c r="D130" s="267"/>
      <c r="E130" s="268"/>
      <c r="F130" s="269"/>
    </row>
    <row r="131" spans="1:6" ht="12.75">
      <c r="A131" s="213"/>
      <c r="B131" s="213"/>
      <c r="C131" s="213"/>
      <c r="D131" s="267"/>
      <c r="E131" s="268"/>
      <c r="F131" s="269"/>
    </row>
    <row r="132" spans="1:6" ht="12.75">
      <c r="A132" s="213"/>
      <c r="B132" s="213"/>
      <c r="C132" s="213"/>
      <c r="D132" s="267"/>
      <c r="E132" s="268"/>
      <c r="F132" s="269"/>
    </row>
    <row r="133" spans="1:6" ht="12.75">
      <c r="A133" s="213"/>
      <c r="B133" s="213"/>
      <c r="C133" s="213"/>
      <c r="D133" s="267"/>
      <c r="E133" s="268"/>
      <c r="F133" s="269"/>
    </row>
    <row r="134" spans="1:6" ht="12.75">
      <c r="A134" s="213"/>
      <c r="B134" s="213"/>
      <c r="C134" s="213"/>
      <c r="D134" s="267"/>
      <c r="E134" s="268"/>
      <c r="F134" s="269"/>
    </row>
    <row r="135" spans="1:6" ht="12.75">
      <c r="A135" s="213"/>
      <c r="B135" s="213"/>
      <c r="C135" s="213"/>
      <c r="D135" s="267"/>
      <c r="E135" s="268"/>
      <c r="F135" s="269"/>
    </row>
    <row r="136" spans="1:6" ht="12.75">
      <c r="A136" s="213"/>
      <c r="B136" s="213"/>
      <c r="C136" s="213"/>
      <c r="D136" s="267"/>
      <c r="E136" s="268"/>
      <c r="F136" s="269"/>
    </row>
    <row r="137" spans="1:6" ht="12.75">
      <c r="A137" s="213"/>
      <c r="B137" s="213"/>
      <c r="C137" s="213"/>
      <c r="D137" s="267"/>
      <c r="E137" s="268"/>
      <c r="F137" s="269"/>
    </row>
    <row r="138" spans="1:6" ht="12.75">
      <c r="A138" s="213"/>
      <c r="B138" s="213"/>
      <c r="C138" s="213"/>
      <c r="D138" s="267"/>
      <c r="E138" s="268"/>
      <c r="F138" s="269"/>
    </row>
    <row r="139" spans="1:6" ht="12.75">
      <c r="A139" s="213"/>
      <c r="B139" s="213"/>
      <c r="C139" s="213"/>
      <c r="D139" s="267"/>
      <c r="E139" s="268"/>
      <c r="F139" s="269"/>
    </row>
    <row r="140" spans="1:6" ht="12.75">
      <c r="A140" s="213"/>
      <c r="B140" s="213"/>
      <c r="C140" s="213"/>
      <c r="D140" s="267"/>
      <c r="E140" s="268"/>
      <c r="F140" s="269"/>
    </row>
    <row r="141" spans="1:6" ht="12.75">
      <c r="A141" s="213"/>
      <c r="B141" s="213"/>
      <c r="C141" s="213"/>
      <c r="D141" s="267"/>
      <c r="E141" s="268"/>
      <c r="F141" s="269"/>
    </row>
    <row r="142" spans="1:6" ht="12.75">
      <c r="A142" s="213"/>
      <c r="B142" s="213"/>
      <c r="C142" s="213"/>
      <c r="D142" s="267"/>
      <c r="E142" s="268"/>
      <c r="F142" s="269"/>
    </row>
    <row r="143" spans="1:6" ht="12.75">
      <c r="A143" s="213"/>
      <c r="B143" s="213"/>
      <c r="C143" s="213"/>
      <c r="D143" s="267"/>
      <c r="E143" s="268"/>
      <c r="F143" s="269"/>
    </row>
    <row r="144" spans="1:6" ht="12.75">
      <c r="A144" s="213"/>
      <c r="B144" s="213"/>
      <c r="C144" s="213"/>
      <c r="D144" s="267"/>
      <c r="E144" s="268"/>
      <c r="F144" s="269"/>
    </row>
    <row r="145" spans="1:6" ht="12.75">
      <c r="A145" s="213"/>
      <c r="B145" s="213"/>
      <c r="C145" s="213"/>
      <c r="D145" s="267"/>
      <c r="E145" s="268"/>
      <c r="F145" s="269"/>
    </row>
    <row r="146" spans="1:6" ht="12.75">
      <c r="A146" s="213"/>
      <c r="B146" s="213"/>
      <c r="C146" s="213"/>
      <c r="D146" s="267"/>
      <c r="E146" s="268"/>
      <c r="F146" s="269"/>
    </row>
    <row r="147" spans="1:6" ht="12.75">
      <c r="A147" s="213"/>
      <c r="B147" s="213"/>
      <c r="C147" s="213"/>
      <c r="D147" s="267"/>
      <c r="E147" s="268"/>
      <c r="F147" s="269"/>
    </row>
    <row r="148" spans="1:6" ht="12.75">
      <c r="A148" s="213"/>
      <c r="B148" s="213"/>
      <c r="C148" s="213"/>
      <c r="D148" s="267"/>
      <c r="E148" s="268"/>
      <c r="F148" s="269"/>
    </row>
    <row r="149" spans="1:6" ht="12.75">
      <c r="A149" s="213"/>
      <c r="B149" s="213"/>
      <c r="C149" s="213"/>
      <c r="D149" s="267"/>
      <c r="E149" s="268"/>
      <c r="F149" s="269"/>
    </row>
    <row r="150" spans="1:6" ht="12.75">
      <c r="A150" s="213"/>
      <c r="B150" s="213"/>
      <c r="C150" s="213"/>
      <c r="D150" s="267"/>
      <c r="E150" s="268"/>
      <c r="F150" s="269"/>
    </row>
    <row r="151" spans="1:6" ht="12.75">
      <c r="A151" s="213"/>
      <c r="B151" s="213"/>
      <c r="C151" s="213"/>
      <c r="D151" s="267"/>
      <c r="E151" s="268"/>
      <c r="F151" s="269"/>
    </row>
    <row r="152" spans="1:6" ht="12.75">
      <c r="A152" s="213"/>
      <c r="B152" s="213"/>
      <c r="C152" s="213"/>
      <c r="D152" s="267"/>
      <c r="E152" s="268"/>
      <c r="F152" s="269"/>
    </row>
    <row r="153" spans="1:6" ht="12.75">
      <c r="A153" s="213"/>
      <c r="B153" s="213"/>
      <c r="C153" s="213"/>
      <c r="D153" s="267"/>
      <c r="E153" s="268"/>
      <c r="F153" s="269"/>
    </row>
    <row r="154" spans="1:6" ht="12.75">
      <c r="A154" s="213"/>
      <c r="B154" s="213"/>
      <c r="C154" s="213"/>
      <c r="D154" s="267"/>
      <c r="E154" s="268"/>
      <c r="F154" s="269"/>
    </row>
    <row r="155" spans="1:6" ht="12.75">
      <c r="A155" s="213"/>
      <c r="B155" s="213"/>
      <c r="C155" s="213"/>
      <c r="D155" s="267"/>
      <c r="E155" s="268"/>
      <c r="F155" s="269"/>
    </row>
    <row r="156" spans="1:6" ht="12.75">
      <c r="A156" s="213"/>
      <c r="B156" s="213"/>
      <c r="C156" s="213"/>
      <c r="D156" s="267"/>
      <c r="E156" s="268"/>
      <c r="F156" s="269"/>
    </row>
    <row r="157" spans="1:6" ht="12.75">
      <c r="A157" s="213"/>
      <c r="B157" s="213"/>
      <c r="C157" s="213"/>
      <c r="D157" s="267"/>
      <c r="E157" s="268"/>
      <c r="F157" s="269"/>
    </row>
    <row r="158" spans="1:6" ht="12.75">
      <c r="A158" s="213"/>
      <c r="B158" s="213"/>
      <c r="C158" s="213"/>
      <c r="D158" s="267"/>
      <c r="E158" s="268"/>
      <c r="F158" s="269"/>
    </row>
    <row r="159" spans="1:6" ht="12.75">
      <c r="A159" s="213"/>
      <c r="B159" s="213"/>
      <c r="C159" s="213"/>
      <c r="D159" s="267"/>
      <c r="E159" s="268"/>
      <c r="F159" s="269"/>
    </row>
    <row r="160" spans="1:6" ht="12.75">
      <c r="A160" s="213"/>
      <c r="B160" s="213"/>
      <c r="C160" s="213"/>
      <c r="D160" s="267"/>
      <c r="E160" s="268"/>
      <c r="F160" s="269"/>
    </row>
    <row r="161" spans="1:6" ht="12.75">
      <c r="A161" s="213"/>
      <c r="B161" s="213"/>
      <c r="C161" s="213"/>
      <c r="D161" s="267"/>
      <c r="E161" s="268"/>
      <c r="F161" s="269"/>
    </row>
    <row r="162" spans="1:6" ht="12.75">
      <c r="A162" s="213"/>
      <c r="B162" s="213"/>
      <c r="C162" s="213"/>
      <c r="D162" s="267"/>
      <c r="E162" s="268"/>
      <c r="F162" s="269"/>
    </row>
    <row r="163" spans="1:6" ht="12.75">
      <c r="A163" s="213"/>
      <c r="B163" s="213"/>
      <c r="C163" s="213"/>
      <c r="D163" s="267"/>
      <c r="E163" s="268"/>
      <c r="F163" s="269"/>
    </row>
    <row r="164" spans="1:6" ht="12.75">
      <c r="A164" s="213"/>
      <c r="B164" s="213"/>
      <c r="C164" s="213"/>
      <c r="D164" s="267"/>
      <c r="E164" s="268"/>
      <c r="F164" s="269"/>
    </row>
    <row r="165" spans="1:6" ht="12.75">
      <c r="A165" s="213"/>
      <c r="B165" s="213"/>
      <c r="C165" s="213"/>
      <c r="D165" s="267"/>
      <c r="E165" s="268"/>
      <c r="F165" s="269"/>
    </row>
    <row r="166" spans="1:6" ht="12.75">
      <c r="A166" s="213"/>
      <c r="B166" s="213"/>
      <c r="C166" s="213"/>
      <c r="D166" s="267"/>
      <c r="E166" s="268"/>
      <c r="F166" s="269"/>
    </row>
    <row r="167" spans="1:6" ht="12.75">
      <c r="A167" s="213"/>
      <c r="B167" s="213"/>
      <c r="C167" s="213"/>
      <c r="D167" s="267"/>
      <c r="E167" s="268"/>
      <c r="F167" s="269"/>
    </row>
    <row r="168" spans="1:6" ht="12.75">
      <c r="A168" s="213"/>
      <c r="B168" s="213"/>
      <c r="C168" s="213"/>
      <c r="D168" s="267"/>
      <c r="E168" s="268"/>
      <c r="F168" s="269"/>
    </row>
    <row r="169" spans="1:6" ht="12.75">
      <c r="A169" s="213"/>
      <c r="B169" s="213"/>
      <c r="C169" s="213"/>
      <c r="D169" s="267"/>
      <c r="E169" s="268"/>
      <c r="F169" s="269"/>
    </row>
    <row r="170" spans="1:6" ht="12.75">
      <c r="A170" s="213"/>
      <c r="B170" s="213"/>
      <c r="C170" s="213"/>
      <c r="D170" s="267"/>
      <c r="E170" s="268"/>
      <c r="F170" s="269"/>
    </row>
    <row r="171" spans="1:6" ht="12.75">
      <c r="A171" s="213"/>
      <c r="B171" s="213"/>
      <c r="C171" s="213"/>
      <c r="D171" s="267"/>
      <c r="E171" s="268"/>
      <c r="F171" s="269"/>
    </row>
    <row r="172" spans="1:6" ht="12.75">
      <c r="A172" s="213"/>
      <c r="B172" s="213"/>
      <c r="C172" s="213"/>
      <c r="D172" s="267"/>
      <c r="E172" s="268"/>
      <c r="F172" s="269"/>
    </row>
    <row r="173" spans="1:6" ht="12.75">
      <c r="A173" s="213"/>
      <c r="B173" s="213"/>
      <c r="C173" s="213"/>
      <c r="D173" s="267"/>
      <c r="E173" s="268"/>
      <c r="F173" s="269"/>
    </row>
    <row r="174" spans="1:6" ht="12.75">
      <c r="A174" s="213"/>
      <c r="B174" s="213"/>
      <c r="C174" s="213"/>
      <c r="D174" s="267"/>
      <c r="E174" s="268"/>
      <c r="F174" s="269"/>
    </row>
    <row r="175" spans="1:6" ht="12.75">
      <c r="A175" s="213"/>
      <c r="B175" s="213"/>
      <c r="C175" s="213"/>
      <c r="D175" s="267"/>
      <c r="E175" s="268"/>
      <c r="F175" s="269"/>
    </row>
    <row r="176" spans="1:6" ht="12.75">
      <c r="A176" s="213"/>
      <c r="B176" s="213"/>
      <c r="C176" s="213"/>
      <c r="D176" s="267"/>
      <c r="E176" s="268"/>
      <c r="F176" s="269"/>
    </row>
    <row r="177" spans="1:6" ht="12.75">
      <c r="A177" s="213"/>
      <c r="B177" s="213"/>
      <c r="C177" s="213"/>
      <c r="D177" s="267"/>
      <c r="E177" s="268"/>
      <c r="F177" s="269"/>
    </row>
    <row r="178" spans="1:6" ht="12.75">
      <c r="A178" s="213"/>
      <c r="B178" s="213"/>
      <c r="C178" s="213"/>
      <c r="D178" s="267"/>
      <c r="E178" s="268"/>
      <c r="F178" s="269"/>
    </row>
    <row r="179" spans="1:6" ht="12.75">
      <c r="A179" s="213"/>
      <c r="B179" s="213"/>
      <c r="C179" s="213"/>
      <c r="D179" s="267"/>
      <c r="E179" s="268"/>
      <c r="F179" s="269"/>
    </row>
    <row r="180" spans="1:6" ht="12.75">
      <c r="A180" s="213"/>
      <c r="B180" s="213"/>
      <c r="C180" s="213"/>
      <c r="D180" s="267"/>
      <c r="E180" s="268"/>
      <c r="F180" s="269"/>
    </row>
    <row r="181" spans="1:6" ht="12.75">
      <c r="A181" s="213"/>
      <c r="B181" s="213"/>
      <c r="C181" s="213"/>
      <c r="D181" s="267"/>
      <c r="E181" s="268"/>
      <c r="F181" s="269"/>
    </row>
    <row r="182" spans="1:6" ht="12.75">
      <c r="A182" s="213"/>
      <c r="B182" s="213"/>
      <c r="C182" s="213"/>
      <c r="D182" s="267"/>
      <c r="E182" s="268"/>
      <c r="F182" s="269"/>
    </row>
    <row r="183" spans="1:6" ht="12.75">
      <c r="A183" s="213"/>
      <c r="B183" s="213"/>
      <c r="C183" s="213"/>
      <c r="D183" s="267"/>
      <c r="E183" s="268"/>
      <c r="F183" s="269"/>
    </row>
    <row r="184" spans="1:6" ht="12.75">
      <c r="A184" s="213"/>
      <c r="B184" s="213"/>
      <c r="C184" s="213"/>
      <c r="D184" s="267"/>
      <c r="E184" s="268"/>
      <c r="F184" s="269"/>
    </row>
    <row r="185" spans="1:6" ht="12.75">
      <c r="A185" s="213"/>
      <c r="B185" s="213"/>
      <c r="C185" s="213"/>
      <c r="D185" s="267"/>
      <c r="E185" s="268"/>
      <c r="F185" s="269"/>
    </row>
    <row r="186" spans="1:6" ht="12.75">
      <c r="A186" s="213"/>
      <c r="B186" s="213"/>
      <c r="C186" s="213"/>
      <c r="D186" s="267"/>
      <c r="E186" s="268"/>
      <c r="F186" s="269"/>
    </row>
    <row r="187" spans="1:6" ht="12.75">
      <c r="A187" s="213"/>
      <c r="B187" s="213"/>
      <c r="C187" s="213"/>
      <c r="D187" s="267"/>
      <c r="E187" s="268"/>
      <c r="F187" s="269"/>
    </row>
    <row r="188" spans="1:6" ht="12.75">
      <c r="A188" s="213"/>
      <c r="B188" s="213"/>
      <c r="C188" s="213"/>
      <c r="D188" s="267"/>
      <c r="E188" s="268"/>
      <c r="F188" s="269"/>
    </row>
    <row r="189" spans="1:6" ht="12.75">
      <c r="A189" s="213"/>
      <c r="B189" s="213"/>
      <c r="C189" s="213"/>
      <c r="D189" s="267"/>
      <c r="E189" s="268"/>
      <c r="F189" s="269"/>
    </row>
    <row r="190" spans="1:6" ht="12.75">
      <c r="A190" s="213"/>
      <c r="B190" s="213"/>
      <c r="C190" s="213"/>
      <c r="D190" s="267"/>
      <c r="E190" s="268"/>
      <c r="F190" s="269"/>
    </row>
    <row r="191" spans="1:6" ht="12.75">
      <c r="A191" s="213"/>
      <c r="B191" s="213"/>
      <c r="C191" s="213"/>
      <c r="D191" s="267"/>
      <c r="E191" s="268"/>
      <c r="F191" s="269"/>
    </row>
    <row r="192" spans="1:6" ht="12.75">
      <c r="A192" s="213"/>
      <c r="B192" s="213"/>
      <c r="C192" s="213"/>
      <c r="D192" s="267"/>
      <c r="E192" s="268"/>
      <c r="F192" s="269"/>
    </row>
    <row r="193" spans="1:6" ht="12.75">
      <c r="A193" s="213"/>
      <c r="B193" s="213"/>
      <c r="C193" s="213"/>
      <c r="D193" s="267"/>
      <c r="E193" s="268"/>
      <c r="F193" s="269"/>
    </row>
    <row r="194" spans="1:6" ht="12.75">
      <c r="A194" s="213"/>
      <c r="B194" s="213"/>
      <c r="C194" s="213"/>
      <c r="D194" s="267"/>
      <c r="E194" s="268"/>
      <c r="F194" s="269"/>
    </row>
    <row r="195" spans="1:6" ht="12.75">
      <c r="A195" s="213"/>
      <c r="B195" s="213"/>
      <c r="C195" s="213"/>
      <c r="D195" s="267"/>
      <c r="E195" s="268"/>
      <c r="F195" s="269"/>
    </row>
    <row r="196" spans="1:6" ht="12.75">
      <c r="A196" s="213"/>
      <c r="B196" s="213"/>
      <c r="C196" s="213"/>
      <c r="D196" s="267"/>
      <c r="E196" s="268"/>
      <c r="F196" s="269"/>
    </row>
    <row r="197" spans="1:6" ht="12.75">
      <c r="A197" s="213"/>
      <c r="B197" s="213"/>
      <c r="C197" s="213"/>
      <c r="D197" s="267"/>
      <c r="E197" s="268"/>
      <c r="F197" s="269"/>
    </row>
  </sheetData>
  <sheetProtection/>
  <mergeCells count="1">
    <mergeCell ref="A2:D2"/>
  </mergeCells>
  <printOptions/>
  <pageMargins left="0.3937007874015748" right="0.4330708661417323" top="0.1968503937007874" bottom="0.35433070866141736" header="0.15748031496062992" footer="8.11023622047244"/>
  <pageSetup fitToHeight="10" fitToWidth="1" horizontalDpi="600" verticalDpi="600" orientation="portrait" pageOrder="overThenDown"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J248"/>
  <sheetViews>
    <sheetView view="pageBreakPreview" zoomScale="145" zoomScaleSheetLayoutView="145" zoomScalePageLayoutView="0" workbookViewId="0" topLeftCell="A2">
      <selection activeCell="F11" sqref="F11"/>
    </sheetView>
  </sheetViews>
  <sheetFormatPr defaultColWidth="9.125" defaultRowHeight="12.75"/>
  <cols>
    <col min="1" max="1" width="34.50390625" style="366" customWidth="1"/>
    <col min="2" max="2" width="4.50390625" style="339" customWidth="1"/>
    <col min="3" max="3" width="20.625" style="339" customWidth="1"/>
    <col min="4" max="5" width="15.625" style="364" customWidth="1"/>
    <col min="6" max="6" width="15.625" style="365" customWidth="1"/>
    <col min="7" max="7" width="1.4921875" style="1" hidden="1" customWidth="1"/>
    <col min="8" max="8" width="13.50390625" style="1" hidden="1" customWidth="1"/>
    <col min="9" max="10" width="13.375" style="1" hidden="1" customWidth="1"/>
    <col min="11" max="11" width="0" style="1" hidden="1" customWidth="1"/>
    <col min="12" max="16384" width="9.125" style="1" customWidth="1"/>
  </cols>
  <sheetData>
    <row r="1" spans="2:7" ht="12.75">
      <c r="B1" s="340"/>
      <c r="C1" s="341"/>
      <c r="D1" s="342"/>
      <c r="E1" s="343" t="s">
        <v>86</v>
      </c>
      <c r="F1" s="343"/>
      <c r="G1" s="5"/>
    </row>
    <row r="2" spans="1:7" ht="13.5" thickBot="1">
      <c r="A2" s="367"/>
      <c r="B2" s="344"/>
      <c r="C2" s="1201" t="s">
        <v>241</v>
      </c>
      <c r="D2" s="1201"/>
      <c r="E2" s="1201"/>
      <c r="F2" s="345"/>
      <c r="G2" s="9"/>
    </row>
    <row r="3" spans="1:7" ht="12" customHeight="1">
      <c r="A3" s="1208" t="s">
        <v>9</v>
      </c>
      <c r="B3" s="1208" t="s">
        <v>27</v>
      </c>
      <c r="C3" s="1213" t="s">
        <v>77</v>
      </c>
      <c r="D3" s="1214" t="s">
        <v>262</v>
      </c>
      <c r="E3" s="1205" t="s">
        <v>261</v>
      </c>
      <c r="F3" s="1202" t="s">
        <v>260</v>
      </c>
      <c r="G3" s="157"/>
    </row>
    <row r="4" spans="1:7" ht="9.75" customHeight="1">
      <c r="A4" s="1209"/>
      <c r="B4" s="1211"/>
      <c r="C4" s="1211"/>
      <c r="D4" s="1211"/>
      <c r="E4" s="1206"/>
      <c r="F4" s="1203"/>
      <c r="G4" s="17"/>
    </row>
    <row r="5" spans="1:7" ht="11.25" customHeight="1">
      <c r="A5" s="1209"/>
      <c r="B5" s="1211"/>
      <c r="C5" s="1211"/>
      <c r="D5" s="1211"/>
      <c r="E5" s="1206"/>
      <c r="F5" s="1203"/>
      <c r="G5" s="65" t="s">
        <v>79</v>
      </c>
    </row>
    <row r="6" spans="1:7" ht="11.25" customHeight="1">
      <c r="A6" s="1209"/>
      <c r="B6" s="1211"/>
      <c r="C6" s="1211"/>
      <c r="D6" s="1211"/>
      <c r="E6" s="1206"/>
      <c r="F6" s="1203"/>
      <c r="G6" s="65" t="s">
        <v>81</v>
      </c>
    </row>
    <row r="7" spans="1:7" ht="10.5" customHeight="1">
      <c r="A7" s="1209"/>
      <c r="B7" s="1211"/>
      <c r="C7" s="1211"/>
      <c r="D7" s="1211"/>
      <c r="E7" s="1206"/>
      <c r="F7" s="1203"/>
      <c r="G7" s="65" t="s">
        <v>78</v>
      </c>
    </row>
    <row r="8" spans="1:7" ht="11.25" customHeight="1" thickBot="1">
      <c r="A8" s="1210"/>
      <c r="B8" s="1212"/>
      <c r="C8" s="1212"/>
      <c r="D8" s="1212"/>
      <c r="E8" s="1207"/>
      <c r="F8" s="1204"/>
      <c r="G8" s="65" t="s">
        <v>80</v>
      </c>
    </row>
    <row r="9" spans="1:7" ht="13.5" thickBot="1">
      <c r="A9" s="368">
        <v>1</v>
      </c>
      <c r="B9" s="346">
        <v>2</v>
      </c>
      <c r="C9" s="346">
        <v>3</v>
      </c>
      <c r="D9" s="347" t="s">
        <v>4</v>
      </c>
      <c r="E9" s="347" t="s">
        <v>5</v>
      </c>
      <c r="F9" s="348" t="s">
        <v>19</v>
      </c>
      <c r="G9" s="186" t="s">
        <v>82</v>
      </c>
    </row>
    <row r="10" spans="1:9" s="30" customFormat="1" ht="15" customHeight="1" thickBot="1">
      <c r="A10" s="369" t="s">
        <v>83</v>
      </c>
      <c r="B10" s="336" t="s">
        <v>84</v>
      </c>
      <c r="C10" s="336" t="s">
        <v>57</v>
      </c>
      <c r="D10" s="337">
        <f>D11+D19+D22+D26+D29+D35+D39+D43+D46+D51+D55+D60+D65+D70+D73+D76+D79+D83+D90+D86+D102+D109+D112+D116+D126++D130+D134+D137+D143+D148+D151+D154+D158+D164+D161+D175+D179+D182+D189+D193+D198+D203</f>
        <v>51519916.17999999</v>
      </c>
      <c r="E10" s="337">
        <f>E11+E15+E19+E22+E26+E29+E35+E39+E43+E46+E51+E55+E60+E65+E70+E76+E79+E83+E86+E90+E102+E109+E112+E116+E126+E130+E134+E137+E143+E148+E151+E154+E158+E161+E164+E175+E179+E182+E189+E193+E198+E203</f>
        <v>1817814.65</v>
      </c>
      <c r="F10" s="337">
        <f>F11+F15+F19+F22+F26+F29+F35+F39+F43+F46+F51+F55+F60+F65+F70+F73+F76+F79+F83+F86+F90+F102+F109+F112+F116+F126+F130+F134+F137+F143+F148+F151+F154+F158+F164+F175+F179+F182+F189+F193+F198+F203</f>
        <v>49702101.53</v>
      </c>
      <c r="G10" s="187" t="e">
        <f>G11+G19+G22+G35+#REF!+G39+#REF!+G43+G46+#REF!+#REF!+#REF!+G55+#REF!+G60+G65+G70+G76+G79+#REF!+G83+G86+G90+G102+#REF!+#REF!+#REF!+G109+G112+G116+#REF!+G126+#REF!+G130+#REF!+G134+G137+G143+G148+G151+G154+G158+G161+G164+#REF!+#REF!+G179+G182+G191+G175+#REF!+#REF!+G193+G198+G203+#REF!+#REF!+#REF!</f>
        <v>#REF!</v>
      </c>
      <c r="H10" s="176">
        <v>79430611.12</v>
      </c>
      <c r="I10" s="176">
        <v>41312160.16</v>
      </c>
    </row>
    <row r="11" spans="1:9" s="37" customFormat="1" ht="87" customHeight="1" thickBot="1">
      <c r="A11" s="372" t="s">
        <v>405</v>
      </c>
      <c r="B11" s="383"/>
      <c r="C11" s="321" t="s">
        <v>327</v>
      </c>
      <c r="D11" s="384">
        <f>D12+D13+D14</f>
        <v>4712270.2</v>
      </c>
      <c r="E11" s="384">
        <f>E12+E13</f>
        <v>221336.93</v>
      </c>
      <c r="F11" s="384">
        <f>D11-E11</f>
        <v>4490933.2700000005</v>
      </c>
      <c r="G11" s="158" t="e">
        <f>#REF!-#REF!</f>
        <v>#REF!</v>
      </c>
      <c r="H11" s="197">
        <f>H10-D10</f>
        <v>27910694.940000013</v>
      </c>
      <c r="I11" s="197">
        <f>I10-E10</f>
        <v>39494345.51</v>
      </c>
    </row>
    <row r="12" spans="1:7" s="169" customFormat="1" ht="15" customHeight="1" thickBot="1">
      <c r="A12" s="370" t="s">
        <v>117</v>
      </c>
      <c r="B12" s="383"/>
      <c r="C12" s="385" t="s">
        <v>326</v>
      </c>
      <c r="D12" s="413">
        <v>4712270.2</v>
      </c>
      <c r="E12" s="410">
        <v>221336.93</v>
      </c>
      <c r="F12" s="386">
        <f>D12-E12</f>
        <v>4490933.2700000005</v>
      </c>
      <c r="G12" s="170" t="e">
        <f>#REF!-#REF!</f>
        <v>#REF!</v>
      </c>
    </row>
    <row r="13" spans="1:7" s="169" customFormat="1" ht="15" customHeight="1" thickBot="1">
      <c r="A13" s="370" t="s">
        <v>432</v>
      </c>
      <c r="B13" s="383"/>
      <c r="C13" s="385" t="s">
        <v>462</v>
      </c>
      <c r="D13" s="414">
        <v>0</v>
      </c>
      <c r="E13" s="410">
        <v>0</v>
      </c>
      <c r="F13" s="386">
        <f>D13-E13</f>
        <v>0</v>
      </c>
      <c r="G13" s="170"/>
    </row>
    <row r="14" spans="1:7" s="169" customFormat="1" ht="15" customHeight="1" thickBot="1">
      <c r="A14" s="370" t="s">
        <v>432</v>
      </c>
      <c r="B14" s="383"/>
      <c r="C14" s="385" t="s">
        <v>449</v>
      </c>
      <c r="D14" s="414">
        <v>0</v>
      </c>
      <c r="E14" s="410">
        <v>0</v>
      </c>
      <c r="F14" s="386">
        <f>D14-E14</f>
        <v>0</v>
      </c>
      <c r="G14" s="170"/>
    </row>
    <row r="15" spans="1:8" s="37" customFormat="1" ht="75.75" customHeight="1" thickBot="1">
      <c r="A15" s="372" t="s">
        <v>406</v>
      </c>
      <c r="B15" s="383"/>
      <c r="C15" s="321" t="s">
        <v>400</v>
      </c>
      <c r="D15" s="384">
        <f>D16+D17</f>
        <v>0</v>
      </c>
      <c r="E15" s="384">
        <f>E16+E17</f>
        <v>0</v>
      </c>
      <c r="F15" s="384">
        <f>D15-E15</f>
        <v>0</v>
      </c>
      <c r="G15" s="158" t="e">
        <f>#REF!-#REF!</f>
        <v>#REF!</v>
      </c>
      <c r="H15" s="197"/>
    </row>
    <row r="16" spans="1:7" s="169" customFormat="1" ht="15" customHeight="1" thickBot="1">
      <c r="A16" s="370" t="s">
        <v>117</v>
      </c>
      <c r="B16" s="383"/>
      <c r="C16" s="385" t="s">
        <v>463</v>
      </c>
      <c r="D16" s="413">
        <v>0</v>
      </c>
      <c r="E16" s="410">
        <v>0</v>
      </c>
      <c r="F16" s="386">
        <f>D16-E16</f>
        <v>0</v>
      </c>
      <c r="G16" s="170" t="e">
        <f>#REF!-#REF!</f>
        <v>#REF!</v>
      </c>
    </row>
    <row r="17" spans="1:7" s="169" customFormat="1" ht="15" customHeight="1" thickBot="1">
      <c r="A17" s="370" t="s">
        <v>117</v>
      </c>
      <c r="B17" s="383"/>
      <c r="C17" s="385" t="s">
        <v>464</v>
      </c>
      <c r="D17" s="414">
        <v>0</v>
      </c>
      <c r="E17" s="410">
        <v>0</v>
      </c>
      <c r="F17" s="386">
        <f>D17-E17</f>
        <v>0</v>
      </c>
      <c r="G17" s="170"/>
    </row>
    <row r="18" spans="1:7" s="169" customFormat="1" ht="10.5" customHeight="1" thickBot="1">
      <c r="A18" s="370"/>
      <c r="B18" s="383"/>
      <c r="C18" s="348"/>
      <c r="D18" s="387"/>
      <c r="E18" s="386"/>
      <c r="F18" s="386"/>
      <c r="G18" s="170"/>
    </row>
    <row r="19" spans="1:7" s="37" customFormat="1" ht="101.25" customHeight="1" thickBot="1">
      <c r="A19" s="372" t="s">
        <v>496</v>
      </c>
      <c r="B19" s="383"/>
      <c r="C19" s="321" t="s">
        <v>328</v>
      </c>
      <c r="D19" s="317">
        <f>D20</f>
        <v>5271.43</v>
      </c>
      <c r="E19" s="317">
        <f>E20</f>
        <v>0</v>
      </c>
      <c r="F19" s="317">
        <f>D19-E19</f>
        <v>5271.43</v>
      </c>
      <c r="G19" s="337" t="e">
        <f>G20</f>
        <v>#REF!</v>
      </c>
    </row>
    <row r="20" spans="1:7" s="169" customFormat="1" ht="15" customHeight="1" thickBot="1">
      <c r="A20" s="370" t="s">
        <v>110</v>
      </c>
      <c r="B20" s="383"/>
      <c r="C20" s="348" t="s">
        <v>497</v>
      </c>
      <c r="D20" s="386">
        <v>5271.43</v>
      </c>
      <c r="E20" s="386">
        <v>0</v>
      </c>
      <c r="F20" s="386">
        <f>D20-E20</f>
        <v>5271.43</v>
      </c>
      <c r="G20" s="170" t="e">
        <f>#REF!-#REF!</f>
        <v>#REF!</v>
      </c>
    </row>
    <row r="21" spans="1:7" s="169" customFormat="1" ht="10.5" customHeight="1" thickBot="1">
      <c r="A21" s="372"/>
      <c r="B21" s="383"/>
      <c r="C21" s="321"/>
      <c r="D21" s="317"/>
      <c r="E21" s="317"/>
      <c r="F21" s="317"/>
      <c r="G21" s="170"/>
    </row>
    <row r="22" spans="1:8" s="167" customFormat="1" ht="54.75" customHeight="1" thickBot="1">
      <c r="A22" s="372" t="s">
        <v>407</v>
      </c>
      <c r="B22" s="388"/>
      <c r="C22" s="321" t="s">
        <v>332</v>
      </c>
      <c r="D22" s="317">
        <f>D23+D24+D25</f>
        <v>12300</v>
      </c>
      <c r="E22" s="317">
        <f>E23+E24+E25</f>
        <v>0</v>
      </c>
      <c r="F22" s="317">
        <f>D22-E22</f>
        <v>12300</v>
      </c>
      <c r="G22" s="166" t="e">
        <f>#REF!-#REF!</f>
        <v>#REF!</v>
      </c>
      <c r="H22" s="373"/>
    </row>
    <row r="23" spans="1:7" s="172" customFormat="1" ht="12.75" customHeight="1" thickBot="1">
      <c r="A23" s="370" t="s">
        <v>110</v>
      </c>
      <c r="B23" s="388"/>
      <c r="C23" s="348" t="s">
        <v>465</v>
      </c>
      <c r="D23" s="386">
        <v>0</v>
      </c>
      <c r="E23" s="386">
        <v>0</v>
      </c>
      <c r="F23" s="386">
        <f>D23-E23</f>
        <v>0</v>
      </c>
      <c r="G23" s="170" t="e">
        <f>#REF!-#REF!</f>
        <v>#REF!</v>
      </c>
    </row>
    <row r="24" spans="1:7" s="172" customFormat="1" ht="12.75" customHeight="1" thickBot="1">
      <c r="A24" s="370" t="s">
        <v>130</v>
      </c>
      <c r="B24" s="388"/>
      <c r="C24" s="348" t="s">
        <v>434</v>
      </c>
      <c r="D24" s="386">
        <v>0</v>
      </c>
      <c r="E24" s="386">
        <v>0</v>
      </c>
      <c r="F24" s="386">
        <f>D24-E24</f>
        <v>0</v>
      </c>
      <c r="G24" s="170" t="e">
        <f>#REF!-#REF!</f>
        <v>#REF!</v>
      </c>
    </row>
    <row r="25" spans="1:7" s="172" customFormat="1" ht="12.75" customHeight="1" thickBot="1">
      <c r="A25" s="370" t="s">
        <v>110</v>
      </c>
      <c r="B25" s="388"/>
      <c r="C25" s="348" t="s">
        <v>498</v>
      </c>
      <c r="D25" s="386">
        <v>12300</v>
      </c>
      <c r="E25" s="386">
        <v>0</v>
      </c>
      <c r="F25" s="386">
        <f>D25-E25</f>
        <v>12300</v>
      </c>
      <c r="G25" s="170" t="e">
        <f>#REF!-#REF!</f>
        <v>#REF!</v>
      </c>
    </row>
    <row r="26" spans="1:7" s="37" customFormat="1" ht="33.75" customHeight="1" thickBot="1">
      <c r="A26" s="372" t="s">
        <v>499</v>
      </c>
      <c r="B26" s="383"/>
      <c r="C26" s="321" t="s">
        <v>395</v>
      </c>
      <c r="D26" s="317">
        <f>D27</f>
        <v>0</v>
      </c>
      <c r="E26" s="317">
        <f>E27</f>
        <v>0</v>
      </c>
      <c r="F26" s="317">
        <f>D26-E26</f>
        <v>0</v>
      </c>
      <c r="G26" s="183" t="e">
        <f>G27</f>
        <v>#REF!</v>
      </c>
    </row>
    <row r="27" spans="1:7" s="169" customFormat="1" ht="15" customHeight="1" thickBot="1">
      <c r="A27" s="370" t="s">
        <v>110</v>
      </c>
      <c r="B27" s="383"/>
      <c r="C27" s="348" t="s">
        <v>396</v>
      </c>
      <c r="D27" s="386">
        <v>0</v>
      </c>
      <c r="E27" s="386">
        <v>0</v>
      </c>
      <c r="F27" s="386">
        <f>D27-E27</f>
        <v>0</v>
      </c>
      <c r="G27" s="170" t="e">
        <f>#REF!-#REF!</f>
        <v>#REF!</v>
      </c>
    </row>
    <row r="28" spans="1:7" s="169" customFormat="1" ht="15" customHeight="1" thickBot="1">
      <c r="A28" s="370"/>
      <c r="B28" s="350"/>
      <c r="C28" s="352"/>
      <c r="D28" s="386"/>
      <c r="E28" s="386"/>
      <c r="F28" s="351"/>
      <c r="G28" s="170"/>
    </row>
    <row r="29" spans="1:7" s="30" customFormat="1" ht="51" customHeight="1" thickBot="1">
      <c r="A29" s="389" t="s">
        <v>401</v>
      </c>
      <c r="B29" s="390"/>
      <c r="C29" s="321" t="s">
        <v>402</v>
      </c>
      <c r="D29" s="317">
        <f>D30+D31+D33+D32</f>
        <v>0</v>
      </c>
      <c r="E29" s="317">
        <f>E30+E33+E31+E32</f>
        <v>0</v>
      </c>
      <c r="F29" s="317">
        <f>D29-E29</f>
        <v>0</v>
      </c>
      <c r="G29" s="158" t="e">
        <f>#REF!-#REF!</f>
        <v>#REF!</v>
      </c>
    </row>
    <row r="30" spans="1:8" s="172" customFormat="1" ht="15" customHeight="1" thickBot="1">
      <c r="A30" s="370" t="s">
        <v>110</v>
      </c>
      <c r="B30" s="391"/>
      <c r="C30" s="348" t="s">
        <v>403</v>
      </c>
      <c r="D30" s="386">
        <v>0</v>
      </c>
      <c r="E30" s="386">
        <v>0</v>
      </c>
      <c r="F30" s="386">
        <f>D30-E30</f>
        <v>0</v>
      </c>
      <c r="G30" s="170" t="e">
        <f>#REF!-#REF!</f>
        <v>#REF!</v>
      </c>
      <c r="H30" s="189"/>
    </row>
    <row r="31" spans="1:8" s="172" customFormat="1" ht="15" customHeight="1" thickBot="1">
      <c r="A31" s="370" t="s">
        <v>110</v>
      </c>
      <c r="B31" s="392"/>
      <c r="C31" s="348" t="s">
        <v>403</v>
      </c>
      <c r="D31" s="386">
        <v>0</v>
      </c>
      <c r="E31" s="386">
        <v>0</v>
      </c>
      <c r="F31" s="386">
        <f>D31-E31</f>
        <v>0</v>
      </c>
      <c r="G31" s="170"/>
      <c r="H31" s="189"/>
    </row>
    <row r="32" spans="1:8" s="172" customFormat="1" ht="15" customHeight="1" thickBot="1">
      <c r="A32" s="370" t="s">
        <v>110</v>
      </c>
      <c r="B32" s="392"/>
      <c r="C32" s="348" t="s">
        <v>404</v>
      </c>
      <c r="D32" s="386">
        <v>0</v>
      </c>
      <c r="E32" s="386">
        <v>0</v>
      </c>
      <c r="F32" s="386">
        <f>D32-E32</f>
        <v>0</v>
      </c>
      <c r="G32" s="170"/>
      <c r="H32" s="189"/>
    </row>
    <row r="33" spans="1:8" s="172" customFormat="1" ht="15" customHeight="1" thickBot="1">
      <c r="A33" s="370" t="s">
        <v>110</v>
      </c>
      <c r="B33" s="392"/>
      <c r="C33" s="348" t="s">
        <v>404</v>
      </c>
      <c r="D33" s="386">
        <v>0</v>
      </c>
      <c r="E33" s="386">
        <v>0</v>
      </c>
      <c r="F33" s="386">
        <f>D33-E33</f>
        <v>0</v>
      </c>
      <c r="G33" s="170"/>
      <c r="H33" s="189"/>
    </row>
    <row r="34" spans="1:7" s="172" customFormat="1" ht="10.5" customHeight="1" thickBot="1">
      <c r="A34" s="372"/>
      <c r="B34" s="388"/>
      <c r="C34" s="321"/>
      <c r="D34" s="317"/>
      <c r="E34" s="317"/>
      <c r="F34" s="386"/>
      <c r="G34" s="170" t="e">
        <f>#REF!-#REF!</f>
        <v>#REF!</v>
      </c>
    </row>
    <row r="35" spans="1:7" s="30" customFormat="1" ht="90" customHeight="1" thickBot="1">
      <c r="A35" s="389" t="s">
        <v>500</v>
      </c>
      <c r="B35" s="390"/>
      <c r="C35" s="321" t="s">
        <v>330</v>
      </c>
      <c r="D35" s="317">
        <f>D36+D37</f>
        <v>1304578</v>
      </c>
      <c r="E35" s="317">
        <f>E36+E37</f>
        <v>99705.72</v>
      </c>
      <c r="F35" s="317">
        <f>D35-E35</f>
        <v>1204872.28</v>
      </c>
      <c r="G35" s="158" t="e">
        <f>#REF!-#REF!</f>
        <v>#REF!</v>
      </c>
    </row>
    <row r="36" spans="1:8" s="172" customFormat="1" ht="15" customHeight="1" thickBot="1">
      <c r="A36" s="370" t="s">
        <v>104</v>
      </c>
      <c r="B36" s="391"/>
      <c r="C36" s="348" t="s">
        <v>329</v>
      </c>
      <c r="D36" s="386">
        <v>1001980</v>
      </c>
      <c r="E36" s="386">
        <v>48368.73</v>
      </c>
      <c r="F36" s="386">
        <f>D36-E36</f>
        <v>953611.27</v>
      </c>
      <c r="G36" s="170" t="e">
        <f>#REF!-#REF!</f>
        <v>#REF!</v>
      </c>
      <c r="H36" s="189"/>
    </row>
    <row r="37" spans="1:8" s="172" customFormat="1" ht="15" customHeight="1" thickBot="1">
      <c r="A37" s="370" t="s">
        <v>108</v>
      </c>
      <c r="B37" s="392"/>
      <c r="C37" s="348" t="s">
        <v>331</v>
      </c>
      <c r="D37" s="386">
        <v>302598</v>
      </c>
      <c r="E37" s="386">
        <v>51336.99</v>
      </c>
      <c r="F37" s="386">
        <f>D37-E37</f>
        <v>251261.01</v>
      </c>
      <c r="G37" s="170"/>
      <c r="H37" s="189"/>
    </row>
    <row r="38" spans="1:7" s="172" customFormat="1" ht="10.5" customHeight="1" hidden="1" thickBot="1">
      <c r="A38" s="372"/>
      <c r="B38" s="388"/>
      <c r="C38" s="321"/>
      <c r="D38" s="317"/>
      <c r="E38" s="317"/>
      <c r="F38" s="386"/>
      <c r="G38" s="170" t="e">
        <f>#REF!-#REF!</f>
        <v>#REF!</v>
      </c>
    </row>
    <row r="39" spans="1:7" s="37" customFormat="1" ht="109.5" customHeight="1" thickBot="1">
      <c r="A39" s="372" t="s">
        <v>501</v>
      </c>
      <c r="B39" s="388"/>
      <c r="C39" s="321" t="s">
        <v>333</v>
      </c>
      <c r="D39" s="317">
        <f>D41+D40</f>
        <v>2803602</v>
      </c>
      <c r="E39" s="317">
        <f>E40+E41</f>
        <v>686945.74</v>
      </c>
      <c r="F39" s="317">
        <f>D39-E39</f>
        <v>2116656.26</v>
      </c>
      <c r="G39" s="159" t="e">
        <f>#REF!-#REF!</f>
        <v>#REF!</v>
      </c>
    </row>
    <row r="40" spans="1:7" s="169" customFormat="1" ht="15" customHeight="1" thickBot="1">
      <c r="A40" s="370" t="s">
        <v>104</v>
      </c>
      <c r="B40" s="391"/>
      <c r="C40" s="348" t="s">
        <v>334</v>
      </c>
      <c r="D40" s="386">
        <v>2161241</v>
      </c>
      <c r="E40" s="386">
        <v>676117.24</v>
      </c>
      <c r="F40" s="386">
        <f>D40-E40</f>
        <v>1485123.76</v>
      </c>
      <c r="G40" s="161"/>
    </row>
    <row r="41" spans="1:7" s="30" customFormat="1" ht="15" customHeight="1" thickBot="1">
      <c r="A41" s="370" t="s">
        <v>108</v>
      </c>
      <c r="B41" s="392"/>
      <c r="C41" s="348" t="s">
        <v>335</v>
      </c>
      <c r="D41" s="393">
        <v>642361</v>
      </c>
      <c r="E41" s="394">
        <v>10828.5</v>
      </c>
      <c r="F41" s="386">
        <f>D41-E41</f>
        <v>631532.5</v>
      </c>
      <c r="G41" s="159"/>
    </row>
    <row r="42" spans="1:7" s="30" customFormat="1" ht="10.5" customHeight="1" thickBot="1">
      <c r="A42" s="370"/>
      <c r="B42" s="392"/>
      <c r="C42" s="348"/>
      <c r="D42" s="386"/>
      <c r="E42" s="386"/>
      <c r="F42" s="386"/>
      <c r="G42" s="159"/>
    </row>
    <row r="43" spans="1:7" s="37" customFormat="1" ht="51.75" customHeight="1" thickBot="1">
      <c r="A43" s="372" t="s">
        <v>502</v>
      </c>
      <c r="B43" s="388"/>
      <c r="C43" s="321" t="s">
        <v>336</v>
      </c>
      <c r="D43" s="317">
        <f>D44</f>
        <v>262047.45</v>
      </c>
      <c r="E43" s="317">
        <f>E44</f>
        <v>0</v>
      </c>
      <c r="F43" s="317">
        <f>D43-E43</f>
        <v>262047.45</v>
      </c>
      <c r="G43" s="159" t="e">
        <f>#REF!-#REF!</f>
        <v>#REF!</v>
      </c>
    </row>
    <row r="44" spans="1:7" s="30" customFormat="1" ht="15" customHeight="1" thickBot="1">
      <c r="A44" s="370" t="s">
        <v>108</v>
      </c>
      <c r="B44" s="392"/>
      <c r="C44" s="348" t="s">
        <v>466</v>
      </c>
      <c r="D44" s="393">
        <v>262047.45</v>
      </c>
      <c r="E44" s="394">
        <v>0</v>
      </c>
      <c r="F44" s="386">
        <f>D44-E44</f>
        <v>262047.45</v>
      </c>
      <c r="G44" s="159"/>
    </row>
    <row r="45" spans="1:7" s="30" customFormat="1" ht="10.5" customHeight="1" thickBot="1">
      <c r="A45" s="370"/>
      <c r="B45" s="392"/>
      <c r="C45" s="348"/>
      <c r="D45" s="393"/>
      <c r="E45" s="394"/>
      <c r="F45" s="386"/>
      <c r="G45" s="159"/>
    </row>
    <row r="46" spans="1:7" s="37" customFormat="1" ht="84" customHeight="1" thickBot="1">
      <c r="A46" s="372" t="s">
        <v>503</v>
      </c>
      <c r="B46" s="388"/>
      <c r="C46" s="321" t="s">
        <v>338</v>
      </c>
      <c r="D46" s="317">
        <f>D47+D48+D49</f>
        <v>14000</v>
      </c>
      <c r="E46" s="317">
        <f>E47+E48+E49</f>
        <v>0</v>
      </c>
      <c r="F46" s="317">
        <f>D46-E46</f>
        <v>14000</v>
      </c>
      <c r="G46" s="159" t="e">
        <f>#REF!-#REF!</f>
        <v>#REF!</v>
      </c>
    </row>
    <row r="47" spans="1:7" s="30" customFormat="1" ht="15" customHeight="1" thickBot="1">
      <c r="A47" s="370" t="s">
        <v>110</v>
      </c>
      <c r="B47" s="392"/>
      <c r="C47" s="348" t="s">
        <v>337</v>
      </c>
      <c r="D47" s="393">
        <v>14000</v>
      </c>
      <c r="E47" s="394">
        <v>0</v>
      </c>
      <c r="F47" s="386">
        <f>D47-E47</f>
        <v>14000</v>
      </c>
      <c r="G47" s="159"/>
    </row>
    <row r="48" spans="1:7" s="30" customFormat="1" ht="15" customHeight="1" thickBot="1">
      <c r="A48" s="370" t="s">
        <v>127</v>
      </c>
      <c r="B48" s="392"/>
      <c r="C48" s="348" t="s">
        <v>450</v>
      </c>
      <c r="D48" s="393">
        <v>0</v>
      </c>
      <c r="E48" s="394">
        <v>0</v>
      </c>
      <c r="F48" s="386">
        <f>D48-E48</f>
        <v>0</v>
      </c>
      <c r="G48" s="159"/>
    </row>
    <row r="49" spans="1:7" s="30" customFormat="1" ht="15" customHeight="1" thickBot="1">
      <c r="A49" s="370" t="s">
        <v>127</v>
      </c>
      <c r="B49" s="392"/>
      <c r="C49" s="348" t="s">
        <v>435</v>
      </c>
      <c r="D49" s="386">
        <v>0</v>
      </c>
      <c r="E49" s="386">
        <v>0</v>
      </c>
      <c r="F49" s="386">
        <f>D49-E49</f>
        <v>0</v>
      </c>
      <c r="G49" s="161" t="e">
        <f>#REF!-#REF!</f>
        <v>#REF!</v>
      </c>
    </row>
    <row r="50" spans="1:7" s="172" customFormat="1" ht="18" customHeight="1" thickBot="1">
      <c r="A50" s="372"/>
      <c r="B50" s="388"/>
      <c r="C50" s="321"/>
      <c r="D50" s="317"/>
      <c r="E50" s="317"/>
      <c r="F50" s="317"/>
      <c r="G50" s="170" t="e">
        <f>#REF!-#REF!</f>
        <v>#REF!</v>
      </c>
    </row>
    <row r="51" spans="1:7" s="37" customFormat="1" ht="68.25" customHeight="1" thickBot="1">
      <c r="A51" s="372" t="s">
        <v>505</v>
      </c>
      <c r="B51" s="388"/>
      <c r="C51" s="321" t="s">
        <v>338</v>
      </c>
      <c r="D51" s="317">
        <f>D52+D53</f>
        <v>20000</v>
      </c>
      <c r="E51" s="317">
        <f>E52+E53</f>
        <v>1853</v>
      </c>
      <c r="F51" s="317">
        <f>D51-E51</f>
        <v>18147</v>
      </c>
      <c r="G51" s="159" t="e">
        <f>#REF!-#REF!</f>
        <v>#REF!</v>
      </c>
    </row>
    <row r="52" spans="1:7" s="30" customFormat="1" ht="15" customHeight="1" thickBot="1">
      <c r="A52" s="370" t="s">
        <v>127</v>
      </c>
      <c r="B52" s="392"/>
      <c r="C52" s="348" t="s">
        <v>435</v>
      </c>
      <c r="D52" s="393">
        <v>3000</v>
      </c>
      <c r="E52" s="394">
        <v>1853</v>
      </c>
      <c r="F52" s="386">
        <f>D52-E52</f>
        <v>1147</v>
      </c>
      <c r="G52" s="159"/>
    </row>
    <row r="53" spans="1:7" s="30" customFormat="1" ht="15" customHeight="1" thickBot="1">
      <c r="A53" s="370" t="s">
        <v>127</v>
      </c>
      <c r="B53" s="392"/>
      <c r="C53" s="348" t="s">
        <v>436</v>
      </c>
      <c r="D53" s="393">
        <v>17000</v>
      </c>
      <c r="E53" s="394">
        <v>0</v>
      </c>
      <c r="F53" s="386">
        <f>D53-E53</f>
        <v>17000</v>
      </c>
      <c r="G53" s="159"/>
    </row>
    <row r="54" spans="1:7" s="172" customFormat="1" ht="10.5" customHeight="1" thickBot="1">
      <c r="A54" s="372"/>
      <c r="B54" s="388"/>
      <c r="C54" s="321"/>
      <c r="D54" s="317"/>
      <c r="E54" s="317"/>
      <c r="F54" s="317"/>
      <c r="G54" s="170" t="e">
        <f>#REF!-#REF!</f>
        <v>#REF!</v>
      </c>
    </row>
    <row r="55" spans="1:8" s="30" customFormat="1" ht="60" customHeight="1" thickBot="1">
      <c r="A55" s="372" t="s">
        <v>504</v>
      </c>
      <c r="B55" s="388"/>
      <c r="C55" s="321" t="s">
        <v>437</v>
      </c>
      <c r="D55" s="317">
        <f>D56+D57+D58</f>
        <v>167200</v>
      </c>
      <c r="E55" s="317">
        <f>E56+E57+E58</f>
        <v>0</v>
      </c>
      <c r="F55" s="317">
        <f>D55-E55</f>
        <v>167200</v>
      </c>
      <c r="G55" s="160" t="e">
        <f>#REF!-#REF!</f>
        <v>#REF!</v>
      </c>
      <c r="H55" s="176"/>
    </row>
    <row r="56" spans="1:8" s="30" customFormat="1" ht="15" customHeight="1" thickBot="1">
      <c r="A56" s="370" t="s">
        <v>104</v>
      </c>
      <c r="B56" s="391"/>
      <c r="C56" s="348" t="s">
        <v>437</v>
      </c>
      <c r="D56" s="393">
        <v>0</v>
      </c>
      <c r="E56" s="394">
        <v>0</v>
      </c>
      <c r="F56" s="386">
        <f>D56-E56</f>
        <v>0</v>
      </c>
      <c r="G56" s="159"/>
      <c r="H56" s="198"/>
    </row>
    <row r="57" spans="1:7" s="37" customFormat="1" ht="15" customHeight="1" thickBot="1">
      <c r="A57" s="370" t="s">
        <v>108</v>
      </c>
      <c r="B57" s="392"/>
      <c r="C57" s="348" t="s">
        <v>339</v>
      </c>
      <c r="D57" s="393">
        <v>128500</v>
      </c>
      <c r="E57" s="394">
        <v>0</v>
      </c>
      <c r="F57" s="386">
        <f>D57-E57</f>
        <v>128500</v>
      </c>
      <c r="G57" s="173" t="e">
        <f>#REF!-#REF!</f>
        <v>#REF!</v>
      </c>
    </row>
    <row r="58" spans="1:7" s="37" customFormat="1" ht="15" customHeight="1" thickBot="1">
      <c r="A58" s="370" t="s">
        <v>108</v>
      </c>
      <c r="B58" s="392"/>
      <c r="C58" s="348" t="s">
        <v>471</v>
      </c>
      <c r="D58" s="393">
        <v>38700</v>
      </c>
      <c r="E58" s="394">
        <v>0</v>
      </c>
      <c r="F58" s="386">
        <f>D58-E58</f>
        <v>38700</v>
      </c>
      <c r="G58" s="173" t="e">
        <f>#REF!-#REF!</f>
        <v>#REF!</v>
      </c>
    </row>
    <row r="59" spans="1:7" s="37" customFormat="1" ht="15.75" customHeight="1" thickBot="1">
      <c r="A59" s="395"/>
      <c r="B59" s="396"/>
      <c r="C59" s="397"/>
      <c r="D59" s="397"/>
      <c r="E59" s="397"/>
      <c r="F59" s="397"/>
      <c r="G59" s="159" t="e">
        <f>#REF!-#REF!</f>
        <v>#REF!</v>
      </c>
    </row>
    <row r="60" spans="1:7" s="37" customFormat="1" ht="75.75" customHeight="1" thickBot="1">
      <c r="A60" s="372" t="s">
        <v>507</v>
      </c>
      <c r="B60" s="388"/>
      <c r="C60" s="321" t="s">
        <v>506</v>
      </c>
      <c r="D60" s="317">
        <f>D61+D62+D63</f>
        <v>42900</v>
      </c>
      <c r="E60" s="317">
        <f>E61+E62+E63</f>
        <v>0</v>
      </c>
      <c r="F60" s="317">
        <f>D60-E60</f>
        <v>42900</v>
      </c>
      <c r="G60" s="159" t="e">
        <f>#REF!-#REF!</f>
        <v>#REF!</v>
      </c>
    </row>
    <row r="61" spans="1:7" s="30" customFormat="1" ht="15" customHeight="1" thickBot="1">
      <c r="A61" s="370" t="s">
        <v>110</v>
      </c>
      <c r="B61" s="388"/>
      <c r="C61" s="348" t="s">
        <v>397</v>
      </c>
      <c r="D61" s="386">
        <v>0</v>
      </c>
      <c r="E61" s="386">
        <v>0</v>
      </c>
      <c r="F61" s="386">
        <f>D61-E61</f>
        <v>0</v>
      </c>
      <c r="G61" s="159">
        <f>F57</f>
        <v>128500</v>
      </c>
    </row>
    <row r="62" spans="1:7" s="30" customFormat="1" ht="15" customHeight="1" thickBot="1">
      <c r="A62" s="370" t="s">
        <v>432</v>
      </c>
      <c r="B62" s="388"/>
      <c r="C62" s="348" t="s">
        <v>438</v>
      </c>
      <c r="D62" s="386">
        <v>42900</v>
      </c>
      <c r="E62" s="386">
        <v>0</v>
      </c>
      <c r="F62" s="386">
        <f>D62-E62</f>
        <v>42900</v>
      </c>
      <c r="G62" s="159"/>
    </row>
    <row r="63" spans="1:7" s="30" customFormat="1" ht="15" customHeight="1" thickBot="1">
      <c r="A63" s="370" t="s">
        <v>130</v>
      </c>
      <c r="B63" s="388"/>
      <c r="C63" s="348" t="s">
        <v>439</v>
      </c>
      <c r="D63" s="386">
        <v>0</v>
      </c>
      <c r="E63" s="386">
        <v>0</v>
      </c>
      <c r="F63" s="386">
        <f>D63-E63</f>
        <v>0</v>
      </c>
      <c r="G63" s="159"/>
    </row>
    <row r="64" spans="1:7" s="30" customFormat="1" ht="10.5" customHeight="1" thickBot="1">
      <c r="A64" s="370"/>
      <c r="B64" s="388"/>
      <c r="C64" s="348"/>
      <c r="D64" s="386"/>
      <c r="E64" s="386"/>
      <c r="F64" s="386"/>
      <c r="G64" s="159" t="e">
        <f>#REF!-#REF!</f>
        <v>#REF!</v>
      </c>
    </row>
    <row r="65" spans="1:7" s="30" customFormat="1" ht="78" customHeight="1" thickBot="1">
      <c r="A65" s="372" t="s">
        <v>508</v>
      </c>
      <c r="B65" s="390"/>
      <c r="C65" s="321" t="s">
        <v>340</v>
      </c>
      <c r="D65" s="317">
        <f>D66+D67+D68</f>
        <v>12040</v>
      </c>
      <c r="E65" s="317">
        <f>E67+E66+E68</f>
        <v>0</v>
      </c>
      <c r="F65" s="317">
        <f>D65-E65</f>
        <v>12040</v>
      </c>
      <c r="G65" s="159" t="e">
        <f>#REF!-#REF!</f>
        <v>#REF!</v>
      </c>
    </row>
    <row r="66" spans="1:7" s="30" customFormat="1" ht="15" customHeight="1" thickBot="1">
      <c r="A66" s="370" t="s">
        <v>110</v>
      </c>
      <c r="B66" s="391"/>
      <c r="C66" s="348" t="s">
        <v>467</v>
      </c>
      <c r="D66" s="393">
        <v>0</v>
      </c>
      <c r="E66" s="394">
        <v>0</v>
      </c>
      <c r="F66" s="386">
        <f>D66-E66</f>
        <v>0</v>
      </c>
      <c r="G66" s="159" t="e">
        <f>#REF!-#REF!</f>
        <v>#REF!</v>
      </c>
    </row>
    <row r="67" spans="1:7" s="30" customFormat="1" ht="15" customHeight="1" thickBot="1">
      <c r="A67" s="370" t="s">
        <v>130</v>
      </c>
      <c r="B67" s="383"/>
      <c r="C67" s="348" t="s">
        <v>440</v>
      </c>
      <c r="D67" s="393">
        <v>0</v>
      </c>
      <c r="E67" s="394">
        <v>0</v>
      </c>
      <c r="F67" s="386">
        <f>D67-E67</f>
        <v>0</v>
      </c>
      <c r="G67" s="159"/>
    </row>
    <row r="68" spans="1:7" s="30" customFormat="1" ht="15" customHeight="1" thickBot="1">
      <c r="A68" s="370" t="s">
        <v>130</v>
      </c>
      <c r="B68" s="383"/>
      <c r="C68" s="348" t="s">
        <v>441</v>
      </c>
      <c r="D68" s="415">
        <v>12040</v>
      </c>
      <c r="E68" s="411">
        <v>0</v>
      </c>
      <c r="F68" s="386">
        <f>D68-E68</f>
        <v>12040</v>
      </c>
      <c r="G68" s="159"/>
    </row>
    <row r="69" spans="1:7" s="30" customFormat="1" ht="10.5" customHeight="1" thickBot="1">
      <c r="A69" s="370"/>
      <c r="B69" s="391"/>
      <c r="C69" s="348"/>
      <c r="D69" s="406"/>
      <c r="E69" s="406"/>
      <c r="F69" s="386"/>
      <c r="G69" s="158" t="e">
        <f>#REF!-#REF!</f>
        <v>#REF!</v>
      </c>
    </row>
    <row r="70" spans="1:7" s="30" customFormat="1" ht="53.25" customHeight="1" thickBot="1">
      <c r="A70" s="372" t="s">
        <v>509</v>
      </c>
      <c r="B70" s="390"/>
      <c r="C70" s="321" t="s">
        <v>341</v>
      </c>
      <c r="D70" s="317">
        <f>D71</f>
        <v>60000</v>
      </c>
      <c r="E70" s="317">
        <f>E71</f>
        <v>0</v>
      </c>
      <c r="F70" s="317">
        <f>D70-E70</f>
        <v>60000</v>
      </c>
      <c r="G70" s="158"/>
    </row>
    <row r="71" spans="1:7" s="37" customFormat="1" ht="15" customHeight="1" thickBot="1">
      <c r="A71" s="370" t="s">
        <v>145</v>
      </c>
      <c r="B71" s="390"/>
      <c r="C71" s="348" t="s">
        <v>478</v>
      </c>
      <c r="D71" s="386">
        <v>60000</v>
      </c>
      <c r="E71" s="386">
        <v>0</v>
      </c>
      <c r="F71" s="386">
        <f>D71-E71</f>
        <v>60000</v>
      </c>
      <c r="G71" s="159" t="e">
        <f>#REF!-#REF!</f>
        <v>#REF!</v>
      </c>
    </row>
    <row r="72" spans="1:7" s="37" customFormat="1" ht="15" customHeight="1" thickBot="1">
      <c r="A72" s="370"/>
      <c r="B72" s="390"/>
      <c r="C72" s="348"/>
      <c r="D72" s="386"/>
      <c r="E72" s="386"/>
      <c r="F72" s="386"/>
      <c r="G72" s="159"/>
    </row>
    <row r="73" spans="1:7" s="30" customFormat="1" ht="53.25" customHeight="1" thickBot="1">
      <c r="A73" s="372" t="s">
        <v>511</v>
      </c>
      <c r="B73" s="390"/>
      <c r="C73" s="321" t="s">
        <v>512</v>
      </c>
      <c r="D73" s="317">
        <f>D74</f>
        <v>770019</v>
      </c>
      <c r="E73" s="317">
        <f>E74</f>
        <v>0</v>
      </c>
      <c r="F73" s="317">
        <f>D73-E73</f>
        <v>770019</v>
      </c>
      <c r="G73" s="158"/>
    </row>
    <row r="74" spans="1:7" s="37" customFormat="1" ht="15" customHeight="1" thickBot="1">
      <c r="A74" s="370" t="s">
        <v>145</v>
      </c>
      <c r="B74" s="390"/>
      <c r="C74" s="348" t="s">
        <v>513</v>
      </c>
      <c r="D74" s="386">
        <v>770019</v>
      </c>
      <c r="E74" s="386">
        <v>0</v>
      </c>
      <c r="F74" s="386">
        <f>D74-E74</f>
        <v>770019</v>
      </c>
      <c r="G74" s="159" t="e">
        <f>#REF!-#REF!</f>
        <v>#REF!</v>
      </c>
    </row>
    <row r="75" spans="1:7" s="37" customFormat="1" ht="10.5" customHeight="1" thickBot="1">
      <c r="A75" s="370"/>
      <c r="B75" s="391"/>
      <c r="C75" s="348"/>
      <c r="D75" s="386"/>
      <c r="E75" s="386"/>
      <c r="F75" s="386"/>
      <c r="G75" s="159" t="e">
        <f>#REF!-#REF!</f>
        <v>#REF!</v>
      </c>
    </row>
    <row r="76" spans="1:7" s="37" customFormat="1" ht="35.25" customHeight="1" thickBot="1">
      <c r="A76" s="372" t="s">
        <v>510</v>
      </c>
      <c r="B76" s="390"/>
      <c r="C76" s="321" t="s">
        <v>535</v>
      </c>
      <c r="D76" s="317">
        <f>D77</f>
        <v>80000</v>
      </c>
      <c r="E76" s="317">
        <f>E77</f>
        <v>0</v>
      </c>
      <c r="F76" s="317">
        <f>D76-E76</f>
        <v>80000</v>
      </c>
      <c r="G76" s="159"/>
    </row>
    <row r="77" spans="1:7" s="172" customFormat="1" ht="15" customHeight="1" thickBot="1">
      <c r="A77" s="370" t="s">
        <v>127</v>
      </c>
      <c r="B77" s="390"/>
      <c r="C77" s="348" t="s">
        <v>535</v>
      </c>
      <c r="D77" s="386">
        <v>80000</v>
      </c>
      <c r="E77" s="386">
        <v>0</v>
      </c>
      <c r="F77" s="386">
        <f>D77-E77</f>
        <v>80000</v>
      </c>
      <c r="G77" s="170" t="e">
        <f>#REF!-#REF!</f>
        <v>#REF!</v>
      </c>
    </row>
    <row r="78" spans="1:7" s="172" customFormat="1" ht="10.5" customHeight="1" thickBot="1">
      <c r="A78" s="372"/>
      <c r="B78" s="390"/>
      <c r="C78" s="321"/>
      <c r="D78" s="317"/>
      <c r="E78" s="317"/>
      <c r="F78" s="317"/>
      <c r="G78" s="170" t="e">
        <f>#REF!-#REF!</f>
        <v>#REF!</v>
      </c>
    </row>
    <row r="79" spans="1:7" s="172" customFormat="1" ht="43.5" customHeight="1" thickBot="1">
      <c r="A79" s="372" t="s">
        <v>408</v>
      </c>
      <c r="B79" s="390"/>
      <c r="C79" s="321" t="s">
        <v>342</v>
      </c>
      <c r="D79" s="317">
        <f>D80+D81</f>
        <v>3917897</v>
      </c>
      <c r="E79" s="317">
        <f>E80+E81</f>
        <v>349257.59</v>
      </c>
      <c r="F79" s="317">
        <f>D79-E79</f>
        <v>3568639.41</v>
      </c>
      <c r="G79" s="170"/>
    </row>
    <row r="80" spans="1:8" s="30" customFormat="1" ht="15" customHeight="1" thickBot="1">
      <c r="A80" s="370" t="s">
        <v>104</v>
      </c>
      <c r="B80" s="391"/>
      <c r="C80" s="348" t="s">
        <v>343</v>
      </c>
      <c r="D80" s="386">
        <v>3006939</v>
      </c>
      <c r="E80" s="386">
        <v>349257.59</v>
      </c>
      <c r="F80" s="386">
        <v>201394</v>
      </c>
      <c r="G80" s="160" t="e">
        <f>#REF!-#REF!</f>
        <v>#REF!</v>
      </c>
      <c r="H80" s="198"/>
    </row>
    <row r="81" spans="1:7" s="172" customFormat="1" ht="15.75" customHeight="1" thickBot="1">
      <c r="A81" s="370" t="s">
        <v>108</v>
      </c>
      <c r="B81" s="391"/>
      <c r="C81" s="348" t="s">
        <v>344</v>
      </c>
      <c r="D81" s="393">
        <v>910958</v>
      </c>
      <c r="E81" s="394">
        <v>0</v>
      </c>
      <c r="F81" s="386">
        <v>87557.16</v>
      </c>
      <c r="G81" s="170"/>
    </row>
    <row r="82" spans="1:7" s="30" customFormat="1" ht="10.5" customHeight="1" thickBot="1">
      <c r="A82" s="370"/>
      <c r="B82" s="391"/>
      <c r="C82" s="348"/>
      <c r="D82" s="386"/>
      <c r="E82" s="386"/>
      <c r="F82" s="386"/>
      <c r="G82" s="160"/>
    </row>
    <row r="83" spans="1:7" s="30" customFormat="1" ht="24" customHeight="1" thickBot="1">
      <c r="A83" s="372" t="s">
        <v>409</v>
      </c>
      <c r="B83" s="390"/>
      <c r="C83" s="321" t="s">
        <v>345</v>
      </c>
      <c r="D83" s="317">
        <f>D84</f>
        <v>50000</v>
      </c>
      <c r="E83" s="317">
        <f>E84</f>
        <v>0</v>
      </c>
      <c r="F83" s="317">
        <f>D83-E83</f>
        <v>50000</v>
      </c>
      <c r="G83" s="158" t="e">
        <f>#REF!-#REF!</f>
        <v>#REF!</v>
      </c>
    </row>
    <row r="84" spans="1:7" s="37" customFormat="1" ht="15" customHeight="1" thickBot="1">
      <c r="A84" s="370" t="s">
        <v>106</v>
      </c>
      <c r="B84" s="391"/>
      <c r="C84" s="348" t="s">
        <v>346</v>
      </c>
      <c r="D84" s="393">
        <v>50000</v>
      </c>
      <c r="E84" s="393">
        <v>0</v>
      </c>
      <c r="F84" s="386">
        <v>61466.2</v>
      </c>
      <c r="G84" s="159" t="e">
        <f>#REF!-#REF!</f>
        <v>#REF!</v>
      </c>
    </row>
    <row r="85" spans="1:7" s="37" customFormat="1" ht="11.25" customHeight="1" thickBot="1">
      <c r="A85" s="372"/>
      <c r="B85" s="388"/>
      <c r="C85" s="321"/>
      <c r="D85" s="317"/>
      <c r="E85" s="317"/>
      <c r="F85" s="317"/>
      <c r="G85" s="159" t="e">
        <f>#REF!-#REF!</f>
        <v>#REF!</v>
      </c>
    </row>
    <row r="86" spans="1:7" s="37" customFormat="1" ht="42.75" customHeight="1" thickBot="1">
      <c r="A86" s="372" t="s">
        <v>415</v>
      </c>
      <c r="B86" s="390"/>
      <c r="C86" s="321" t="s">
        <v>418</v>
      </c>
      <c r="D86" s="317">
        <f>D87+D88</f>
        <v>138000</v>
      </c>
      <c r="E86" s="317">
        <f>E87+E88</f>
        <v>6968.16</v>
      </c>
      <c r="F86" s="317">
        <f>D86-E86</f>
        <v>131031.84</v>
      </c>
      <c r="G86" s="159"/>
    </row>
    <row r="87" spans="1:7" s="30" customFormat="1" ht="15" customHeight="1" thickBot="1">
      <c r="A87" s="370" t="s">
        <v>112</v>
      </c>
      <c r="B87" s="391"/>
      <c r="C87" s="348" t="s">
        <v>416</v>
      </c>
      <c r="D87" s="393">
        <v>138000</v>
      </c>
      <c r="E87" s="393">
        <v>6968.16</v>
      </c>
      <c r="F87" s="386">
        <f>D87-E87</f>
        <v>131031.84</v>
      </c>
      <c r="G87" s="158" t="e">
        <f>#REF!-#REF!</f>
        <v>#REF!</v>
      </c>
    </row>
    <row r="88" spans="1:7" s="172" customFormat="1" ht="15" customHeight="1" thickBot="1">
      <c r="A88" s="370" t="s">
        <v>112</v>
      </c>
      <c r="B88" s="391"/>
      <c r="C88" s="348" t="s">
        <v>417</v>
      </c>
      <c r="D88" s="393">
        <v>0</v>
      </c>
      <c r="E88" s="393">
        <v>0</v>
      </c>
      <c r="F88" s="386">
        <f>D88-E88</f>
        <v>0</v>
      </c>
      <c r="G88" s="170" t="e">
        <f>#REF!-#REF!</f>
        <v>#REF!</v>
      </c>
    </row>
    <row r="89" spans="1:7" s="37" customFormat="1" ht="10.5" customHeight="1" thickBot="1">
      <c r="A89" s="372"/>
      <c r="B89" s="388"/>
      <c r="C89" s="321"/>
      <c r="D89" s="317"/>
      <c r="E89" s="317"/>
      <c r="F89" s="317"/>
      <c r="G89" s="159" t="e">
        <f>#REF!-#REF!</f>
        <v>#REF!</v>
      </c>
    </row>
    <row r="90" spans="1:8" s="30" customFormat="1" ht="33.75" customHeight="1" thickBot="1">
      <c r="A90" s="372" t="s">
        <v>410</v>
      </c>
      <c r="B90" s="390"/>
      <c r="C90" s="321" t="s">
        <v>418</v>
      </c>
      <c r="D90" s="317">
        <f>D91+D92+D93+D94+D95+D96+D97+D98+D99+D100</f>
        <v>1158792.55</v>
      </c>
      <c r="E90" s="317">
        <f>E91+E92+E93+E94+E95+E96+E97+E98+E99+E100</f>
        <v>192203.07</v>
      </c>
      <c r="F90" s="317">
        <f>D90-E90</f>
        <v>966589.48</v>
      </c>
      <c r="G90" s="160"/>
      <c r="H90" s="374"/>
    </row>
    <row r="91" spans="1:7" s="37" customFormat="1" ht="15" customHeight="1" thickBot="1">
      <c r="A91" s="370" t="s">
        <v>115</v>
      </c>
      <c r="B91" s="388"/>
      <c r="C91" s="348" t="s">
        <v>347</v>
      </c>
      <c r="D91" s="393">
        <v>275500</v>
      </c>
      <c r="E91" s="393">
        <v>0</v>
      </c>
      <c r="F91" s="386">
        <f aca="true" t="shared" si="0" ref="F91:F96">D91-E91</f>
        <v>275500</v>
      </c>
      <c r="G91" s="159" t="e">
        <f>#REF!-#REF!</f>
        <v>#REF!</v>
      </c>
    </row>
    <row r="92" spans="1:8" s="30" customFormat="1" ht="15.75" customHeight="1" thickBot="1">
      <c r="A92" s="370" t="s">
        <v>151</v>
      </c>
      <c r="B92" s="388"/>
      <c r="C92" s="348" t="s">
        <v>348</v>
      </c>
      <c r="D92" s="393">
        <v>139755</v>
      </c>
      <c r="E92" s="393">
        <v>5000</v>
      </c>
      <c r="F92" s="386">
        <f t="shared" si="0"/>
        <v>134755</v>
      </c>
      <c r="G92" s="160"/>
      <c r="H92" s="37"/>
    </row>
    <row r="93" spans="1:7" s="30" customFormat="1" ht="16.5" customHeight="1" thickBot="1">
      <c r="A93" s="370" t="s">
        <v>110</v>
      </c>
      <c r="B93" s="383"/>
      <c r="C93" s="348" t="s">
        <v>349</v>
      </c>
      <c r="D93" s="393">
        <v>361161.55</v>
      </c>
      <c r="E93" s="394">
        <v>74508.95</v>
      </c>
      <c r="F93" s="386">
        <f t="shared" si="0"/>
        <v>286652.6</v>
      </c>
      <c r="G93" s="158" t="e">
        <f>#REF!-#REF!</f>
        <v>#REF!</v>
      </c>
    </row>
    <row r="94" spans="1:8" s="30" customFormat="1" ht="15" customHeight="1" thickBot="1">
      <c r="A94" s="370" t="s">
        <v>432</v>
      </c>
      <c r="B94" s="391"/>
      <c r="C94" s="348" t="s">
        <v>442</v>
      </c>
      <c r="D94" s="393">
        <v>209400</v>
      </c>
      <c r="E94" s="394">
        <v>93530</v>
      </c>
      <c r="F94" s="386">
        <f t="shared" si="0"/>
        <v>115870</v>
      </c>
      <c r="G94" s="159" t="e">
        <f>#REF!-#REF!</f>
        <v>#REF!</v>
      </c>
      <c r="H94" s="37"/>
    </row>
    <row r="95" spans="1:7" s="30" customFormat="1" ht="15" customHeight="1" thickBot="1">
      <c r="A95" s="370" t="s">
        <v>130</v>
      </c>
      <c r="B95" s="391"/>
      <c r="C95" s="348" t="s">
        <v>442</v>
      </c>
      <c r="D95" s="393">
        <v>0</v>
      </c>
      <c r="E95" s="394">
        <v>0</v>
      </c>
      <c r="F95" s="386">
        <f>D95-E95</f>
        <v>0</v>
      </c>
      <c r="G95" s="159" t="e">
        <f>#REF!-#REF!</f>
        <v>#REF!</v>
      </c>
    </row>
    <row r="96" spans="1:7" s="30" customFormat="1" ht="15" customHeight="1" thickBot="1">
      <c r="A96" s="370" t="s">
        <v>130</v>
      </c>
      <c r="B96" s="391"/>
      <c r="C96" s="348" t="s">
        <v>443</v>
      </c>
      <c r="D96" s="393">
        <v>155976</v>
      </c>
      <c r="E96" s="394">
        <v>19164.12</v>
      </c>
      <c r="F96" s="386">
        <f t="shared" si="0"/>
        <v>136811.88</v>
      </c>
      <c r="G96" s="159" t="e">
        <f>#REF!-#REF!</f>
        <v>#REF!</v>
      </c>
    </row>
    <row r="97" spans="1:7" s="30" customFormat="1" ht="15" customHeight="1" thickBot="1">
      <c r="A97" s="370" t="s">
        <v>130</v>
      </c>
      <c r="B97" s="391"/>
      <c r="C97" s="348" t="s">
        <v>443</v>
      </c>
      <c r="D97" s="393">
        <v>0</v>
      </c>
      <c r="E97" s="393">
        <v>0</v>
      </c>
      <c r="F97" s="386">
        <f>D97-E97</f>
        <v>0</v>
      </c>
      <c r="G97" s="159" t="e">
        <f>#REF!-#REF!</f>
        <v>#REF!</v>
      </c>
    </row>
    <row r="98" spans="1:8" s="37" customFormat="1" ht="15" customHeight="1" thickBot="1">
      <c r="A98" s="370" t="s">
        <v>127</v>
      </c>
      <c r="B98" s="383"/>
      <c r="C98" s="348" t="s">
        <v>444</v>
      </c>
      <c r="D98" s="393">
        <v>1000</v>
      </c>
      <c r="E98" s="394">
        <v>0</v>
      </c>
      <c r="F98" s="386">
        <f>D98-E98</f>
        <v>1000</v>
      </c>
      <c r="G98" s="159" t="e">
        <f>#REF!-#REF!</f>
        <v>#REF!</v>
      </c>
      <c r="H98" s="30"/>
    </row>
    <row r="99" spans="1:8" s="169" customFormat="1" ht="15" customHeight="1" thickBot="1">
      <c r="A99" s="370" t="s">
        <v>127</v>
      </c>
      <c r="B99" s="383"/>
      <c r="C99" s="348" t="s">
        <v>452</v>
      </c>
      <c r="D99" s="393">
        <v>8000</v>
      </c>
      <c r="E99" s="394">
        <v>0</v>
      </c>
      <c r="F99" s="386">
        <f>D99-E99</f>
        <v>8000</v>
      </c>
      <c r="G99" s="161" t="e">
        <f>#REF!-#REF!</f>
        <v>#REF!</v>
      </c>
      <c r="H99" s="172"/>
    </row>
    <row r="100" spans="1:8" s="169" customFormat="1" ht="15" customHeight="1" thickBot="1">
      <c r="A100" s="370" t="s">
        <v>127</v>
      </c>
      <c r="B100" s="383"/>
      <c r="C100" s="348" t="s">
        <v>451</v>
      </c>
      <c r="D100" s="393">
        <v>8000</v>
      </c>
      <c r="E100" s="394">
        <v>0</v>
      </c>
      <c r="F100" s="386">
        <f>D100-E100</f>
        <v>8000</v>
      </c>
      <c r="G100" s="161" t="e">
        <f>#REF!-#REF!</f>
        <v>#REF!</v>
      </c>
      <c r="H100" s="172"/>
    </row>
    <row r="101" spans="1:8" s="37" customFormat="1" ht="10.5" customHeight="1" thickBot="1">
      <c r="A101" s="370"/>
      <c r="B101" s="391"/>
      <c r="C101" s="348"/>
      <c r="D101" s="386"/>
      <c r="E101" s="386"/>
      <c r="F101" s="386"/>
      <c r="G101" s="159" t="e">
        <f>#REF!-#REF!</f>
        <v>#REF!</v>
      </c>
      <c r="H101" s="30"/>
    </row>
    <row r="102" spans="1:8" s="37" customFormat="1" ht="85.5" customHeight="1" thickBot="1">
      <c r="A102" s="372" t="s">
        <v>514</v>
      </c>
      <c r="B102" s="388"/>
      <c r="C102" s="321" t="s">
        <v>419</v>
      </c>
      <c r="D102" s="317">
        <f>D103+D104+D105+D106+D107</f>
        <v>2864314</v>
      </c>
      <c r="E102" s="317">
        <f>E103+E104+E105+E106+E107</f>
        <v>97200.72</v>
      </c>
      <c r="F102" s="317">
        <f aca="true" t="shared" si="1" ref="F102:F107">D102-E102</f>
        <v>2767113.28</v>
      </c>
      <c r="G102" s="159" t="e">
        <f>#REF!-#REF!</f>
        <v>#REF!</v>
      </c>
      <c r="H102" s="198"/>
    </row>
    <row r="103" spans="1:8" s="37" customFormat="1" ht="15" customHeight="1" thickBot="1">
      <c r="A103" s="370" t="s">
        <v>104</v>
      </c>
      <c r="B103" s="388"/>
      <c r="C103" s="348" t="s">
        <v>350</v>
      </c>
      <c r="D103" s="393">
        <v>2522000</v>
      </c>
      <c r="E103" s="394">
        <v>90201.97</v>
      </c>
      <c r="F103" s="386">
        <f t="shared" si="1"/>
        <v>2431798.03</v>
      </c>
      <c r="G103" s="159" t="e">
        <f>#REF!-#REF!</f>
        <v>#REF!</v>
      </c>
      <c r="H103" s="172"/>
    </row>
    <row r="104" spans="1:8" s="37" customFormat="1" ht="15" customHeight="1" thickBot="1">
      <c r="A104" s="370" t="s">
        <v>277</v>
      </c>
      <c r="B104" s="388"/>
      <c r="C104" s="348" t="s">
        <v>468</v>
      </c>
      <c r="D104" s="393">
        <v>342314</v>
      </c>
      <c r="E104" s="393">
        <v>6998.75</v>
      </c>
      <c r="F104" s="386">
        <f t="shared" si="1"/>
        <v>335315.25</v>
      </c>
      <c r="G104" s="159" t="e">
        <f>#REF!-#REF!</f>
        <v>#REF!</v>
      </c>
      <c r="H104" s="172"/>
    </row>
    <row r="105" spans="1:8" s="37" customFormat="1" ht="15" customHeight="1" thickBot="1">
      <c r="A105" s="370" t="s">
        <v>104</v>
      </c>
      <c r="B105" s="388"/>
      <c r="C105" s="348" t="s">
        <v>469</v>
      </c>
      <c r="D105" s="393">
        <v>0</v>
      </c>
      <c r="E105" s="394">
        <v>0</v>
      </c>
      <c r="F105" s="386">
        <f t="shared" si="1"/>
        <v>0</v>
      </c>
      <c r="G105" s="159" t="e">
        <f>#REF!-#REF!</f>
        <v>#REF!</v>
      </c>
      <c r="H105" s="172"/>
    </row>
    <row r="106" spans="1:8" s="37" customFormat="1" ht="15" customHeight="1" thickBot="1">
      <c r="A106" s="370" t="s">
        <v>104</v>
      </c>
      <c r="B106" s="388"/>
      <c r="C106" s="348" t="s">
        <v>351</v>
      </c>
      <c r="D106" s="393">
        <v>0</v>
      </c>
      <c r="E106" s="393">
        <v>0</v>
      </c>
      <c r="F106" s="386">
        <f t="shared" si="1"/>
        <v>0</v>
      </c>
      <c r="G106" s="159" t="e">
        <f>#REF!-#REF!</f>
        <v>#REF!</v>
      </c>
      <c r="H106" s="172"/>
    </row>
    <row r="107" spans="1:8" s="37" customFormat="1" ht="15" customHeight="1" thickBot="1">
      <c r="A107" s="370" t="s">
        <v>104</v>
      </c>
      <c r="B107" s="388"/>
      <c r="C107" s="348" t="s">
        <v>352</v>
      </c>
      <c r="D107" s="393">
        <v>0</v>
      </c>
      <c r="E107" s="393">
        <v>0</v>
      </c>
      <c r="F107" s="386">
        <f t="shared" si="1"/>
        <v>0</v>
      </c>
      <c r="G107" s="159" t="e">
        <f>#REF!-#REF!</f>
        <v>#REF!</v>
      </c>
      <c r="H107" s="172"/>
    </row>
    <row r="108" spans="1:7" s="30" customFormat="1" ht="10.5" customHeight="1" thickBot="1">
      <c r="A108" s="372"/>
      <c r="B108" s="388"/>
      <c r="C108" s="321"/>
      <c r="D108" s="317"/>
      <c r="E108" s="317"/>
      <c r="F108" s="317"/>
      <c r="G108" s="159" t="e">
        <f>#REF!-#REF!</f>
        <v>#REF!</v>
      </c>
    </row>
    <row r="109" spans="1:7" s="30" customFormat="1" ht="77.25" customHeight="1" thickBot="1">
      <c r="A109" s="372" t="s">
        <v>516</v>
      </c>
      <c r="B109" s="388"/>
      <c r="C109" s="321" t="s">
        <v>354</v>
      </c>
      <c r="D109" s="317">
        <f>D110</f>
        <v>30000</v>
      </c>
      <c r="E109" s="317">
        <f>E110</f>
        <v>0</v>
      </c>
      <c r="F109" s="317">
        <f>D109-E109</f>
        <v>30000</v>
      </c>
      <c r="G109" s="160"/>
    </row>
    <row r="110" spans="1:7" s="30" customFormat="1" ht="15" customHeight="1" thickBot="1">
      <c r="A110" s="370" t="s">
        <v>106</v>
      </c>
      <c r="B110" s="388"/>
      <c r="C110" s="348" t="s">
        <v>353</v>
      </c>
      <c r="D110" s="393">
        <v>30000</v>
      </c>
      <c r="E110" s="394">
        <v>0</v>
      </c>
      <c r="F110" s="386">
        <f>D110-E110</f>
        <v>30000</v>
      </c>
      <c r="G110" s="159"/>
    </row>
    <row r="111" spans="1:8" s="172" customFormat="1" ht="10.5" customHeight="1" thickBot="1">
      <c r="A111" s="370"/>
      <c r="B111" s="388"/>
      <c r="C111" s="348"/>
      <c r="D111" s="386"/>
      <c r="E111" s="386"/>
      <c r="F111" s="386"/>
      <c r="G111" s="170" t="e">
        <f>#REF!-#REF!</f>
        <v>#REF!</v>
      </c>
      <c r="H111" s="30"/>
    </row>
    <row r="112" spans="1:7" s="30" customFormat="1" ht="78" customHeight="1" thickBot="1">
      <c r="A112" s="372" t="s">
        <v>411</v>
      </c>
      <c r="B112" s="388"/>
      <c r="C112" s="321" t="s">
        <v>421</v>
      </c>
      <c r="D112" s="317">
        <f>D114+D113</f>
        <v>42700</v>
      </c>
      <c r="E112" s="317">
        <f>E114+E113</f>
        <v>0</v>
      </c>
      <c r="F112" s="317">
        <f>D112-E112</f>
        <v>42700</v>
      </c>
      <c r="G112" s="160"/>
    </row>
    <row r="113" spans="1:8" s="30" customFormat="1" ht="15.75" customHeight="1" thickBot="1">
      <c r="A113" s="370" t="s">
        <v>112</v>
      </c>
      <c r="B113" s="388"/>
      <c r="C113" s="348" t="s">
        <v>355</v>
      </c>
      <c r="D113" s="393">
        <v>42700</v>
      </c>
      <c r="E113" s="393">
        <v>0</v>
      </c>
      <c r="F113" s="386">
        <f>D113-E113</f>
        <v>42700</v>
      </c>
      <c r="G113" s="159"/>
      <c r="H113" s="188"/>
    </row>
    <row r="114" spans="1:8" s="30" customFormat="1" ht="15.75" customHeight="1" thickBot="1">
      <c r="A114" s="370" t="s">
        <v>112</v>
      </c>
      <c r="B114" s="388"/>
      <c r="C114" s="348" t="s">
        <v>420</v>
      </c>
      <c r="D114" s="393">
        <v>0</v>
      </c>
      <c r="E114" s="393">
        <v>0</v>
      </c>
      <c r="F114" s="386">
        <f>D114-E114</f>
        <v>0</v>
      </c>
      <c r="G114" s="159"/>
      <c r="H114" s="188"/>
    </row>
    <row r="115" spans="1:8" s="172" customFormat="1" ht="10.5" customHeight="1" thickBot="1">
      <c r="A115" s="370"/>
      <c r="B115" s="388"/>
      <c r="C115" s="348"/>
      <c r="D115" s="386"/>
      <c r="E115" s="386"/>
      <c r="F115" s="386"/>
      <c r="G115" s="170" t="e">
        <f>#REF!-#REF!</f>
        <v>#REF!</v>
      </c>
      <c r="H115" s="30"/>
    </row>
    <row r="116" spans="1:8" s="172" customFormat="1" ht="81.75" customHeight="1" thickBot="1">
      <c r="A116" s="372" t="s">
        <v>515</v>
      </c>
      <c r="B116" s="388"/>
      <c r="C116" s="321" t="s">
        <v>422</v>
      </c>
      <c r="D116" s="317">
        <f>D117+D118+D119+D120+D121+D122+D123+D124</f>
        <v>899100</v>
      </c>
      <c r="E116" s="317">
        <f>E117+E118+E119+E120+E121+E122+E123+E124</f>
        <v>70943</v>
      </c>
      <c r="F116" s="317">
        <f>D116-E116</f>
        <v>828157</v>
      </c>
      <c r="G116" s="183" t="e">
        <f>G121+G117+G118+G119+G120+#REF!</f>
        <v>#REF!</v>
      </c>
      <c r="H116" s="189"/>
    </row>
    <row r="117" spans="1:7" s="172" customFormat="1" ht="15" customHeight="1" thickBot="1">
      <c r="A117" s="370" t="s">
        <v>115</v>
      </c>
      <c r="B117" s="388"/>
      <c r="C117" s="348" t="s">
        <v>356</v>
      </c>
      <c r="D117" s="393">
        <v>548500</v>
      </c>
      <c r="E117" s="394">
        <v>0</v>
      </c>
      <c r="F117" s="386">
        <f>D117-E117</f>
        <v>548500</v>
      </c>
      <c r="G117" s="170" t="e">
        <f>#REF!-#REF!</f>
        <v>#REF!</v>
      </c>
    </row>
    <row r="118" spans="1:7" s="172" customFormat="1" ht="15" customHeight="1" thickBot="1">
      <c r="A118" s="370" t="s">
        <v>129</v>
      </c>
      <c r="B118" s="388"/>
      <c r="C118" s="348" t="s">
        <v>357</v>
      </c>
      <c r="D118" s="393">
        <v>128600</v>
      </c>
      <c r="E118" s="393">
        <v>0</v>
      </c>
      <c r="F118" s="386">
        <f aca="true" t="shared" si="2" ref="F118:F124">D118-E118</f>
        <v>128600</v>
      </c>
      <c r="G118" s="170" t="e">
        <f>#REF!-#REF!</f>
        <v>#REF!</v>
      </c>
    </row>
    <row r="119" spans="1:7" s="172" customFormat="1" ht="15" customHeight="1" thickBot="1">
      <c r="A119" s="370" t="s">
        <v>110</v>
      </c>
      <c r="B119" s="388"/>
      <c r="C119" s="348" t="s">
        <v>358</v>
      </c>
      <c r="D119" s="393">
        <v>97000</v>
      </c>
      <c r="E119" s="393">
        <v>0</v>
      </c>
      <c r="F119" s="386">
        <f t="shared" si="2"/>
        <v>97000</v>
      </c>
      <c r="G119" s="170" t="e">
        <f>#REF!-#REF!</f>
        <v>#REF!</v>
      </c>
    </row>
    <row r="120" spans="1:7" s="172" customFormat="1" ht="15" customHeight="1" thickBot="1">
      <c r="A120" s="370" t="s">
        <v>127</v>
      </c>
      <c r="B120" s="392"/>
      <c r="C120" s="348" t="s">
        <v>453</v>
      </c>
      <c r="D120" s="393">
        <v>20000</v>
      </c>
      <c r="E120" s="393">
        <v>0</v>
      </c>
      <c r="F120" s="386">
        <f t="shared" si="2"/>
        <v>20000</v>
      </c>
      <c r="G120" s="161"/>
    </row>
    <row r="121" spans="1:7" s="172" customFormat="1" ht="13.5" customHeight="1" thickBot="1">
      <c r="A121" s="370" t="s">
        <v>432</v>
      </c>
      <c r="B121" s="388"/>
      <c r="C121" s="348" t="s">
        <v>454</v>
      </c>
      <c r="D121" s="393">
        <v>83000</v>
      </c>
      <c r="E121" s="393">
        <v>68000</v>
      </c>
      <c r="F121" s="386">
        <f t="shared" si="2"/>
        <v>15000</v>
      </c>
      <c r="G121" s="170" t="e">
        <f>#REF!-#REF!</f>
        <v>#REF!</v>
      </c>
    </row>
    <row r="122" spans="1:7" s="172" customFormat="1" ht="13.5" customHeight="1" thickBot="1">
      <c r="A122" s="370" t="s">
        <v>130</v>
      </c>
      <c r="B122" s="388"/>
      <c r="C122" s="348" t="s">
        <v>455</v>
      </c>
      <c r="D122" s="393">
        <v>10000</v>
      </c>
      <c r="E122" s="393">
        <v>0</v>
      </c>
      <c r="F122" s="386">
        <f t="shared" si="2"/>
        <v>10000</v>
      </c>
      <c r="G122" s="170" t="e">
        <f>#REF!-#REF!</f>
        <v>#REF!</v>
      </c>
    </row>
    <row r="123" spans="1:7" s="30" customFormat="1" ht="15" customHeight="1" thickBot="1">
      <c r="A123" s="370" t="s">
        <v>127</v>
      </c>
      <c r="B123" s="392"/>
      <c r="C123" s="348" t="s">
        <v>456</v>
      </c>
      <c r="D123" s="393">
        <v>9000</v>
      </c>
      <c r="E123" s="394">
        <v>2943</v>
      </c>
      <c r="F123" s="386">
        <f t="shared" si="2"/>
        <v>6057</v>
      </c>
      <c r="G123" s="161"/>
    </row>
    <row r="124" spans="1:7" s="172" customFormat="1" ht="15" customHeight="1" thickBot="1">
      <c r="A124" s="370" t="s">
        <v>127</v>
      </c>
      <c r="B124" s="392"/>
      <c r="C124" s="348" t="s">
        <v>457</v>
      </c>
      <c r="D124" s="393">
        <v>3000</v>
      </c>
      <c r="E124" s="393">
        <v>0</v>
      </c>
      <c r="F124" s="386">
        <f t="shared" si="2"/>
        <v>3000</v>
      </c>
      <c r="G124" s="161"/>
    </row>
    <row r="125" spans="1:7" s="30" customFormat="1" ht="10.5" customHeight="1" thickBot="1">
      <c r="A125" s="370"/>
      <c r="B125" s="388"/>
      <c r="C125" s="348"/>
      <c r="D125" s="386"/>
      <c r="E125" s="386"/>
      <c r="F125" s="386"/>
      <c r="G125" s="159" t="e">
        <f>#REF!-#REF!</f>
        <v>#REF!</v>
      </c>
    </row>
    <row r="126" spans="1:8" s="30" customFormat="1" ht="92.25" customHeight="1" thickBot="1">
      <c r="A126" s="372" t="s">
        <v>517</v>
      </c>
      <c r="B126" s="388"/>
      <c r="C126" s="321" t="s">
        <v>423</v>
      </c>
      <c r="D126" s="317">
        <f>D127+D128</f>
        <v>355211</v>
      </c>
      <c r="E126" s="317">
        <f>E127+E128</f>
        <v>8003.49</v>
      </c>
      <c r="F126" s="317">
        <f>D126-E126</f>
        <v>347207.51</v>
      </c>
      <c r="G126" s="158" t="e">
        <f>#REF!-#REF!</f>
        <v>#REF!</v>
      </c>
      <c r="H126" s="176"/>
    </row>
    <row r="127" spans="1:8" s="30" customFormat="1" ht="15" customHeight="1" thickBot="1">
      <c r="A127" s="370" t="s">
        <v>104</v>
      </c>
      <c r="B127" s="388"/>
      <c r="C127" s="348" t="s">
        <v>359</v>
      </c>
      <c r="D127" s="393">
        <v>280500</v>
      </c>
      <c r="E127" s="394">
        <v>8003.49</v>
      </c>
      <c r="F127" s="386">
        <f>D127-E127</f>
        <v>272496.51</v>
      </c>
      <c r="G127" s="159" t="e">
        <f>#REF!-#REF!</f>
        <v>#REF!</v>
      </c>
      <c r="H127" s="172"/>
    </row>
    <row r="128" spans="1:7" s="30" customFormat="1" ht="15" customHeight="1" thickBot="1">
      <c r="A128" s="370" t="s">
        <v>108</v>
      </c>
      <c r="B128" s="388"/>
      <c r="C128" s="348" t="s">
        <v>360</v>
      </c>
      <c r="D128" s="393">
        <v>74711</v>
      </c>
      <c r="E128" s="394">
        <v>0</v>
      </c>
      <c r="F128" s="386">
        <f>D128-E128</f>
        <v>74711</v>
      </c>
      <c r="G128" s="159" t="e">
        <f>#REF!-#REF!</f>
        <v>#REF!</v>
      </c>
    </row>
    <row r="129" spans="1:7" s="30" customFormat="1" ht="10.5" customHeight="1" thickBot="1">
      <c r="A129" s="370"/>
      <c r="B129" s="388"/>
      <c r="C129" s="348"/>
      <c r="D129" s="386"/>
      <c r="E129" s="386"/>
      <c r="F129" s="386"/>
      <c r="G129" s="159" t="e">
        <f>#REF!-#REF!</f>
        <v>#REF!</v>
      </c>
    </row>
    <row r="130" spans="1:8" s="30" customFormat="1" ht="81.75" customHeight="1" thickBot="1">
      <c r="A130" s="372" t="s">
        <v>518</v>
      </c>
      <c r="B130" s="388"/>
      <c r="C130" s="321" t="s">
        <v>424</v>
      </c>
      <c r="D130" s="317">
        <f>D131+D132</f>
        <v>375000</v>
      </c>
      <c r="E130" s="317">
        <f>E131+E132</f>
        <v>74182.84</v>
      </c>
      <c r="F130" s="317">
        <f>D130-E130</f>
        <v>300817.16000000003</v>
      </c>
      <c r="G130" s="159" t="e">
        <f>#REF!-#REF!</f>
        <v>#REF!</v>
      </c>
      <c r="H130" s="197"/>
    </row>
    <row r="131" spans="1:8" s="30" customFormat="1" ht="15" customHeight="1" thickBot="1">
      <c r="A131" s="370" t="s">
        <v>104</v>
      </c>
      <c r="B131" s="388"/>
      <c r="C131" s="348" t="s">
        <v>361</v>
      </c>
      <c r="D131" s="393">
        <v>288000</v>
      </c>
      <c r="E131" s="394">
        <v>74182.84</v>
      </c>
      <c r="F131" s="386">
        <f>D131-E131</f>
        <v>213817.16</v>
      </c>
      <c r="G131" s="159" t="e">
        <f>#REF!-#REF!</f>
        <v>#REF!</v>
      </c>
      <c r="H131" s="176"/>
    </row>
    <row r="132" spans="1:7" s="30" customFormat="1" ht="15" customHeight="1" thickBot="1">
      <c r="A132" s="370" t="s">
        <v>108</v>
      </c>
      <c r="B132" s="388"/>
      <c r="C132" s="348" t="s">
        <v>362</v>
      </c>
      <c r="D132" s="393">
        <v>87000</v>
      </c>
      <c r="E132" s="393">
        <v>0</v>
      </c>
      <c r="F132" s="386">
        <f>D132-E132</f>
        <v>87000</v>
      </c>
      <c r="G132" s="159"/>
    </row>
    <row r="133" spans="1:7" s="30" customFormat="1" ht="10.5" customHeight="1" thickBot="1">
      <c r="A133" s="370"/>
      <c r="B133" s="388"/>
      <c r="C133" s="348"/>
      <c r="D133" s="393"/>
      <c r="E133" s="394"/>
      <c r="F133" s="386"/>
      <c r="G133" s="159"/>
    </row>
    <row r="134" spans="1:7" s="30" customFormat="1" ht="79.5" customHeight="1" thickBot="1">
      <c r="A134" s="372" t="s">
        <v>412</v>
      </c>
      <c r="B134" s="388"/>
      <c r="C134" s="321" t="s">
        <v>364</v>
      </c>
      <c r="D134" s="317">
        <f>D135</f>
        <v>2000</v>
      </c>
      <c r="E134" s="317">
        <f>E135</f>
        <v>0</v>
      </c>
      <c r="F134" s="317">
        <f>D134-E134</f>
        <v>2000</v>
      </c>
      <c r="G134" s="158" t="e">
        <f>#REF!-#REF!</f>
        <v>#REF!</v>
      </c>
    </row>
    <row r="135" spans="1:8" s="30" customFormat="1" ht="15" customHeight="1" thickBot="1">
      <c r="A135" s="370" t="s">
        <v>106</v>
      </c>
      <c r="B135" s="388"/>
      <c r="C135" s="348" t="s">
        <v>363</v>
      </c>
      <c r="D135" s="386">
        <v>2000</v>
      </c>
      <c r="E135" s="386">
        <v>0</v>
      </c>
      <c r="F135" s="386">
        <f>D135-E135</f>
        <v>2000</v>
      </c>
      <c r="G135" s="159" t="e">
        <f>#REF!-#REF!</f>
        <v>#REF!</v>
      </c>
      <c r="H135" s="188"/>
    </row>
    <row r="136" spans="1:7" s="30" customFormat="1" ht="10.5" customHeight="1" thickBot="1">
      <c r="A136" s="372"/>
      <c r="B136" s="388"/>
      <c r="C136" s="321"/>
      <c r="D136" s="317"/>
      <c r="E136" s="317"/>
      <c r="F136" s="317"/>
      <c r="G136" s="159" t="e">
        <f>#REF!-#REF!</f>
        <v>#REF!</v>
      </c>
    </row>
    <row r="137" spans="1:7" s="30" customFormat="1" ht="50.25" customHeight="1" thickBot="1">
      <c r="A137" s="372" t="s">
        <v>413</v>
      </c>
      <c r="B137" s="388"/>
      <c r="C137" s="321" t="s">
        <v>365</v>
      </c>
      <c r="D137" s="317">
        <f>D139+D140+D138+D141</f>
        <v>1300000</v>
      </c>
      <c r="E137" s="317">
        <f>E139+E140+E138</f>
        <v>0</v>
      </c>
      <c r="F137" s="317">
        <f>D137-E137</f>
        <v>1300000</v>
      </c>
      <c r="G137" s="159"/>
    </row>
    <row r="138" spans="1:8" s="30" customFormat="1" ht="15" customHeight="1" thickBot="1">
      <c r="A138" s="370" t="s">
        <v>127</v>
      </c>
      <c r="B138" s="388"/>
      <c r="C138" s="348" t="s">
        <v>458</v>
      </c>
      <c r="D138" s="386">
        <v>0</v>
      </c>
      <c r="E138" s="386">
        <v>0</v>
      </c>
      <c r="F138" s="386">
        <f>D138-E138</f>
        <v>0</v>
      </c>
      <c r="G138" s="158" t="e">
        <f>#REF!-#REF!</f>
        <v>#REF!</v>
      </c>
      <c r="H138" s="188"/>
    </row>
    <row r="139" spans="1:8" s="30" customFormat="1" ht="15" customHeight="1" thickBot="1">
      <c r="A139" s="370" t="s">
        <v>127</v>
      </c>
      <c r="B139" s="388"/>
      <c r="C139" s="348" t="s">
        <v>481</v>
      </c>
      <c r="D139" s="386">
        <v>0</v>
      </c>
      <c r="E139" s="386">
        <v>0</v>
      </c>
      <c r="F139" s="386">
        <f>D139-E139</f>
        <v>0</v>
      </c>
      <c r="G139" s="158" t="e">
        <f>#REF!-#REF!</f>
        <v>#REF!</v>
      </c>
      <c r="H139" s="188"/>
    </row>
    <row r="140" spans="1:8" s="30" customFormat="1" ht="15" customHeight="1" thickBot="1">
      <c r="A140" s="370" t="s">
        <v>130</v>
      </c>
      <c r="B140" s="388"/>
      <c r="C140" s="348" t="s">
        <v>459</v>
      </c>
      <c r="D140" s="386">
        <v>0</v>
      </c>
      <c r="E140" s="386">
        <v>0</v>
      </c>
      <c r="F140" s="386">
        <f>D140-E140</f>
        <v>0</v>
      </c>
      <c r="G140" s="158" t="e">
        <f>#REF!-#REF!</f>
        <v>#REF!</v>
      </c>
      <c r="H140" s="176"/>
    </row>
    <row r="141" spans="1:8" s="30" customFormat="1" ht="15" customHeight="1" thickBot="1">
      <c r="A141" s="370" t="s">
        <v>110</v>
      </c>
      <c r="B141" s="388"/>
      <c r="C141" s="348" t="s">
        <v>519</v>
      </c>
      <c r="D141" s="386">
        <v>1300000</v>
      </c>
      <c r="E141" s="386">
        <v>0</v>
      </c>
      <c r="F141" s="386">
        <f>D141-E141</f>
        <v>1300000</v>
      </c>
      <c r="G141" s="158"/>
      <c r="H141" s="176"/>
    </row>
    <row r="142" spans="1:7" s="30" customFormat="1" ht="10.5" customHeight="1" thickBot="1">
      <c r="A142" s="370"/>
      <c r="B142" s="388"/>
      <c r="C142" s="348"/>
      <c r="D142" s="386"/>
      <c r="E142" s="386"/>
      <c r="F142" s="386"/>
      <c r="G142" s="159" t="e">
        <f>#REF!-#REF!</f>
        <v>#REF!</v>
      </c>
    </row>
    <row r="143" spans="1:8" s="37" customFormat="1" ht="63.75" customHeight="1" thickBot="1">
      <c r="A143" s="372" t="s">
        <v>520</v>
      </c>
      <c r="B143" s="390"/>
      <c r="C143" s="321" t="s">
        <v>367</v>
      </c>
      <c r="D143" s="317">
        <f>D145+D146+D144</f>
        <v>72000</v>
      </c>
      <c r="E143" s="317">
        <f>E145+E146+E144</f>
        <v>0</v>
      </c>
      <c r="F143" s="317">
        <f>D143-E143</f>
        <v>72000</v>
      </c>
      <c r="G143" s="159" t="e">
        <f>#REF!-#REF!</f>
        <v>#REF!</v>
      </c>
      <c r="H143" s="30"/>
    </row>
    <row r="144" spans="1:7" s="172" customFormat="1" ht="15" customHeight="1" thickBot="1">
      <c r="A144" s="370" t="s">
        <v>117</v>
      </c>
      <c r="B144" s="391"/>
      <c r="C144" s="348" t="s">
        <v>425</v>
      </c>
      <c r="D144" s="386">
        <v>0</v>
      </c>
      <c r="E144" s="386">
        <v>0</v>
      </c>
      <c r="F144" s="386">
        <f>D144-E144</f>
        <v>0</v>
      </c>
      <c r="G144" s="170" t="e">
        <f>#REF!-#REF!</f>
        <v>#REF!</v>
      </c>
    </row>
    <row r="145" spans="1:7" s="172" customFormat="1" ht="15" customHeight="1" thickBot="1">
      <c r="A145" s="370" t="s">
        <v>110</v>
      </c>
      <c r="B145" s="391"/>
      <c r="C145" s="348" t="s">
        <v>366</v>
      </c>
      <c r="D145" s="386">
        <v>72000</v>
      </c>
      <c r="E145" s="386">
        <v>0</v>
      </c>
      <c r="F145" s="386">
        <f>D145-E145</f>
        <v>72000</v>
      </c>
      <c r="G145" s="170" t="e">
        <f>#REF!-#REF!</f>
        <v>#REF!</v>
      </c>
    </row>
    <row r="146" spans="1:7" s="172" customFormat="1" ht="15" customHeight="1" thickBot="1">
      <c r="A146" s="370" t="s">
        <v>130</v>
      </c>
      <c r="B146" s="391"/>
      <c r="C146" s="348" t="s">
        <v>460</v>
      </c>
      <c r="D146" s="386">
        <v>0</v>
      </c>
      <c r="E146" s="386">
        <v>0</v>
      </c>
      <c r="F146" s="386">
        <f>D146-E146</f>
        <v>0</v>
      </c>
      <c r="G146" s="170" t="e">
        <f>#REF!-#REF!</f>
        <v>#REF!</v>
      </c>
    </row>
    <row r="147" spans="1:7" s="30" customFormat="1" ht="10.5" customHeight="1" thickBot="1">
      <c r="A147" s="372"/>
      <c r="B147" s="388"/>
      <c r="C147" s="348"/>
      <c r="D147" s="317"/>
      <c r="E147" s="317"/>
      <c r="F147" s="317"/>
      <c r="G147" s="159" t="e">
        <f>#REF!-#REF!</f>
        <v>#REF!</v>
      </c>
    </row>
    <row r="148" spans="1:8" s="172" customFormat="1" ht="68.25" customHeight="1" thickBot="1">
      <c r="A148" s="372" t="s">
        <v>521</v>
      </c>
      <c r="B148" s="388"/>
      <c r="C148" s="321" t="s">
        <v>368</v>
      </c>
      <c r="D148" s="317">
        <f>D149</f>
        <v>78269.4</v>
      </c>
      <c r="E148" s="317">
        <f>E149</f>
        <v>0</v>
      </c>
      <c r="F148" s="317">
        <f>D148-E148</f>
        <v>78269.4</v>
      </c>
      <c r="G148" s="170"/>
      <c r="H148" s="30"/>
    </row>
    <row r="149" spans="1:7" s="172" customFormat="1" ht="36.75" customHeight="1" thickBot="1">
      <c r="A149" s="370" t="s">
        <v>126</v>
      </c>
      <c r="B149" s="391"/>
      <c r="C149" s="348" t="s">
        <v>369</v>
      </c>
      <c r="D149" s="386">
        <v>78269.4</v>
      </c>
      <c r="E149" s="386">
        <v>0</v>
      </c>
      <c r="F149" s="386">
        <f>D149-E149</f>
        <v>78269.4</v>
      </c>
      <c r="G149" s="171" t="e">
        <f>#REF!-#REF!</f>
        <v>#REF!</v>
      </c>
    </row>
    <row r="150" spans="1:8" s="172" customFormat="1" ht="30.75" customHeight="1" thickBot="1">
      <c r="A150" s="370"/>
      <c r="B150" s="392"/>
      <c r="C150" s="348"/>
      <c r="D150" s="386"/>
      <c r="E150" s="386"/>
      <c r="F150" s="386"/>
      <c r="G150" s="171" t="e">
        <f>#REF!-#REF!</f>
        <v>#REF!</v>
      </c>
      <c r="H150" s="30"/>
    </row>
    <row r="151" spans="1:8" s="172" customFormat="1" ht="96.75" customHeight="1" thickBot="1">
      <c r="A151" s="372" t="s">
        <v>522</v>
      </c>
      <c r="B151" s="388"/>
      <c r="C151" s="321" t="s">
        <v>371</v>
      </c>
      <c r="D151" s="317">
        <f>D152</f>
        <v>3633270</v>
      </c>
      <c r="E151" s="317">
        <f>E152</f>
        <v>0</v>
      </c>
      <c r="F151" s="317">
        <f>D151-E151</f>
        <v>3633270</v>
      </c>
      <c r="G151" s="170"/>
      <c r="H151" s="30"/>
    </row>
    <row r="152" spans="1:8" s="172" customFormat="1" ht="15" customHeight="1" thickBot="1">
      <c r="A152" s="370" t="s">
        <v>117</v>
      </c>
      <c r="B152" s="391"/>
      <c r="C152" s="348" t="s">
        <v>370</v>
      </c>
      <c r="D152" s="393">
        <v>3633270</v>
      </c>
      <c r="E152" s="393">
        <v>0</v>
      </c>
      <c r="F152" s="386">
        <f>D152-E152</f>
        <v>3633270</v>
      </c>
      <c r="G152" s="171" t="e">
        <f>#REF!-#REF!</f>
        <v>#REF!</v>
      </c>
      <c r="H152" s="30"/>
    </row>
    <row r="153" spans="1:8" s="172" customFormat="1" ht="10.5" customHeight="1" thickBot="1">
      <c r="A153" s="370"/>
      <c r="B153" s="392"/>
      <c r="C153" s="348"/>
      <c r="D153" s="386"/>
      <c r="E153" s="386"/>
      <c r="F153" s="386"/>
      <c r="G153" s="171"/>
      <c r="H153" s="169"/>
    </row>
    <row r="154" spans="1:8" s="30" customFormat="1" ht="60" customHeight="1" thickBot="1">
      <c r="A154" s="372" t="s">
        <v>523</v>
      </c>
      <c r="B154" s="388"/>
      <c r="C154" s="321" t="s">
        <v>372</v>
      </c>
      <c r="D154" s="317">
        <f>D155+D156</f>
        <v>170000</v>
      </c>
      <c r="E154" s="317">
        <f>E155+E156</f>
        <v>9214.39</v>
      </c>
      <c r="F154" s="317">
        <f>D154-E154</f>
        <v>160785.61</v>
      </c>
      <c r="G154" s="160"/>
      <c r="H154" s="169"/>
    </row>
    <row r="155" spans="1:8" s="30" customFormat="1" ht="15" customHeight="1" thickBot="1">
      <c r="A155" s="370" t="s">
        <v>258</v>
      </c>
      <c r="B155" s="392"/>
      <c r="C155" s="348" t="s">
        <v>373</v>
      </c>
      <c r="D155" s="393">
        <v>170000</v>
      </c>
      <c r="E155" s="393">
        <v>9214.39</v>
      </c>
      <c r="F155" s="386">
        <f>D155-E155</f>
        <v>160785.61</v>
      </c>
      <c r="G155" s="162"/>
      <c r="H155" s="169"/>
    </row>
    <row r="156" spans="1:8" s="30" customFormat="1" ht="15" customHeight="1" thickBot="1">
      <c r="A156" s="370" t="s">
        <v>117</v>
      </c>
      <c r="B156" s="391"/>
      <c r="C156" s="348" t="s">
        <v>374</v>
      </c>
      <c r="D156" s="393">
        <v>0</v>
      </c>
      <c r="E156" s="393">
        <v>0</v>
      </c>
      <c r="F156" s="386">
        <f>D156-E156</f>
        <v>0</v>
      </c>
      <c r="G156" s="162" t="e">
        <f>#REF!-#REF!</f>
        <v>#REF!</v>
      </c>
      <c r="H156" s="172"/>
    </row>
    <row r="157" spans="1:8" s="30" customFormat="1" ht="10.5" customHeight="1" thickBot="1">
      <c r="A157" s="398"/>
      <c r="B157" s="399"/>
      <c r="C157" s="400"/>
      <c r="D157" s="401"/>
      <c r="E157" s="401"/>
      <c r="F157" s="401"/>
      <c r="G157" s="162"/>
      <c r="H157" s="172"/>
    </row>
    <row r="158" spans="1:7" s="172" customFormat="1" ht="60" customHeight="1" thickBot="1">
      <c r="A158" s="372" t="s">
        <v>524</v>
      </c>
      <c r="B158" s="388"/>
      <c r="C158" s="321" t="s">
        <v>375</v>
      </c>
      <c r="D158" s="317">
        <f>D159</f>
        <v>30000</v>
      </c>
      <c r="E158" s="317">
        <f>E159</f>
        <v>0</v>
      </c>
      <c r="F158" s="386">
        <f>D158-E158</f>
        <v>30000</v>
      </c>
      <c r="G158" s="170" t="e">
        <f>#REF!-#REF!</f>
        <v>#REF!</v>
      </c>
    </row>
    <row r="159" spans="1:8" s="169" customFormat="1" ht="15" customHeight="1" thickBot="1">
      <c r="A159" s="370" t="s">
        <v>117</v>
      </c>
      <c r="B159" s="388"/>
      <c r="C159" s="348" t="s">
        <v>376</v>
      </c>
      <c r="D159" s="393">
        <v>30000</v>
      </c>
      <c r="E159" s="393">
        <v>0</v>
      </c>
      <c r="F159" s="386">
        <f>D159-E159</f>
        <v>30000</v>
      </c>
      <c r="G159" s="161" t="e">
        <f>#REF!-#REF!</f>
        <v>#REF!</v>
      </c>
      <c r="H159" s="167"/>
    </row>
    <row r="160" spans="1:7" s="172" customFormat="1" ht="10.5" customHeight="1" thickBot="1">
      <c r="A160" s="370"/>
      <c r="B160" s="388"/>
      <c r="C160" s="348"/>
      <c r="D160" s="386"/>
      <c r="E160" s="386"/>
      <c r="F160" s="386"/>
      <c r="G160" s="161">
        <f>F148</f>
        <v>78269.4</v>
      </c>
    </row>
    <row r="161" spans="1:8" s="37" customFormat="1" ht="101.25" customHeight="1" thickBot="1">
      <c r="A161" s="372" t="s">
        <v>525</v>
      </c>
      <c r="B161" s="388"/>
      <c r="C161" s="321" t="s">
        <v>377</v>
      </c>
      <c r="D161" s="317">
        <f>D162</f>
        <v>0</v>
      </c>
      <c r="E161" s="317">
        <f>E162</f>
        <v>0</v>
      </c>
      <c r="F161" s="317">
        <f>D161-E161</f>
        <v>0</v>
      </c>
      <c r="G161" s="163"/>
      <c r="H161" s="172"/>
    </row>
    <row r="162" spans="1:8" s="30" customFormat="1" ht="15" customHeight="1" thickBot="1">
      <c r="A162" s="370" t="s">
        <v>117</v>
      </c>
      <c r="B162" s="388"/>
      <c r="C162" s="348" t="s">
        <v>378</v>
      </c>
      <c r="D162" s="393">
        <v>0</v>
      </c>
      <c r="E162" s="412">
        <v>0</v>
      </c>
      <c r="F162" s="386">
        <f>D162-E162</f>
        <v>0</v>
      </c>
      <c r="G162" s="130" t="e">
        <f>#REF!-#REF!</f>
        <v>#REF!</v>
      </c>
      <c r="H162" s="189"/>
    </row>
    <row r="163" spans="1:8" s="30" customFormat="1" ht="10.5" customHeight="1" thickBot="1">
      <c r="A163" s="370"/>
      <c r="B163" s="388"/>
      <c r="C163" s="348"/>
      <c r="D163" s="386"/>
      <c r="E163" s="386"/>
      <c r="F163" s="386"/>
      <c r="G163" s="130"/>
      <c r="H163" s="172"/>
    </row>
    <row r="164" spans="1:8" s="169" customFormat="1" ht="77.25" customHeight="1" thickBot="1">
      <c r="A164" s="372" t="s">
        <v>528</v>
      </c>
      <c r="B164" s="388"/>
      <c r="C164" s="321" t="s">
        <v>526</v>
      </c>
      <c r="D164" s="317">
        <f>D173+D172+D169+D168+D167+D166+D165+D170+D171</f>
        <v>390902.5</v>
      </c>
      <c r="E164" s="317">
        <f>SUM(E165:E173)</f>
        <v>0</v>
      </c>
      <c r="F164" s="317">
        <f>D164-E164</f>
        <v>390902.5</v>
      </c>
      <c r="G164" s="194"/>
      <c r="H164" s="172"/>
    </row>
    <row r="165" spans="1:7" s="172" customFormat="1" ht="15" customHeight="1" thickBot="1">
      <c r="A165" s="370" t="s">
        <v>258</v>
      </c>
      <c r="B165" s="388"/>
      <c r="C165" s="348" t="s">
        <v>445</v>
      </c>
      <c r="D165" s="386">
        <v>0</v>
      </c>
      <c r="E165" s="386">
        <v>0</v>
      </c>
      <c r="F165" s="386">
        <f aca="true" t="shared" si="3" ref="F165:F173">D165-E165</f>
        <v>0</v>
      </c>
      <c r="G165" s="155"/>
    </row>
    <row r="166" spans="1:8" s="172" customFormat="1" ht="15" customHeight="1" thickBot="1">
      <c r="A166" s="370" t="s">
        <v>258</v>
      </c>
      <c r="B166" s="388"/>
      <c r="C166" s="348" t="s">
        <v>379</v>
      </c>
      <c r="D166" s="393">
        <v>0</v>
      </c>
      <c r="E166" s="394">
        <v>0</v>
      </c>
      <c r="F166" s="386">
        <f t="shared" si="3"/>
        <v>0</v>
      </c>
      <c r="G166" s="155" t="e">
        <f>#REF!-#REF!</f>
        <v>#REF!</v>
      </c>
      <c r="H166" s="190"/>
    </row>
    <row r="167" spans="1:8" s="172" customFormat="1" ht="15" customHeight="1" thickBot="1">
      <c r="A167" s="370" t="s">
        <v>117</v>
      </c>
      <c r="B167" s="388"/>
      <c r="C167" s="348" t="s">
        <v>426</v>
      </c>
      <c r="D167" s="393">
        <v>0</v>
      </c>
      <c r="E167" s="394">
        <v>0</v>
      </c>
      <c r="F167" s="386">
        <f t="shared" si="3"/>
        <v>0</v>
      </c>
      <c r="G167" s="155"/>
      <c r="H167" s="190"/>
    </row>
    <row r="168" spans="1:8" s="172" customFormat="1" ht="15" customHeight="1" thickBot="1">
      <c r="A168" s="370" t="s">
        <v>117</v>
      </c>
      <c r="B168" s="388"/>
      <c r="C168" s="348" t="s">
        <v>380</v>
      </c>
      <c r="D168" s="393">
        <v>0</v>
      </c>
      <c r="E168" s="394">
        <v>0</v>
      </c>
      <c r="F168" s="386">
        <f t="shared" si="3"/>
        <v>0</v>
      </c>
      <c r="G168" s="155"/>
      <c r="H168" s="190"/>
    </row>
    <row r="169" spans="1:8" s="172" customFormat="1" ht="15" customHeight="1" thickBot="1">
      <c r="A169" s="370" t="s">
        <v>117</v>
      </c>
      <c r="B169" s="388"/>
      <c r="C169" s="348" t="s">
        <v>380</v>
      </c>
      <c r="D169" s="393">
        <v>0</v>
      </c>
      <c r="E169" s="393">
        <v>0</v>
      </c>
      <c r="F169" s="386">
        <f t="shared" si="3"/>
        <v>0</v>
      </c>
      <c r="G169" s="155"/>
      <c r="H169" s="190"/>
    </row>
    <row r="170" spans="1:8" s="172" customFormat="1" ht="15" customHeight="1" thickBot="1">
      <c r="A170" s="370" t="s">
        <v>117</v>
      </c>
      <c r="B170" s="388"/>
      <c r="C170" s="348" t="s">
        <v>485</v>
      </c>
      <c r="D170" s="393">
        <v>0</v>
      </c>
      <c r="E170" s="393">
        <v>0</v>
      </c>
      <c r="F170" s="386">
        <f>D170-E170</f>
        <v>0</v>
      </c>
      <c r="G170" s="155"/>
      <c r="H170" s="190"/>
    </row>
    <row r="171" spans="1:8" s="172" customFormat="1" ht="15" customHeight="1" thickBot="1">
      <c r="A171" s="370" t="s">
        <v>110</v>
      </c>
      <c r="B171" s="388"/>
      <c r="C171" s="348" t="s">
        <v>446</v>
      </c>
      <c r="D171" s="393">
        <v>388200</v>
      </c>
      <c r="E171" s="394">
        <v>0</v>
      </c>
      <c r="F171" s="386">
        <f>D171-E171</f>
        <v>388200</v>
      </c>
      <c r="G171" s="155"/>
      <c r="H171" s="190"/>
    </row>
    <row r="172" spans="1:8" s="172" customFormat="1" ht="15" customHeight="1" thickBot="1">
      <c r="A172" s="370" t="s">
        <v>110</v>
      </c>
      <c r="B172" s="388"/>
      <c r="C172" s="348" t="s">
        <v>527</v>
      </c>
      <c r="D172" s="393">
        <v>2702.5</v>
      </c>
      <c r="E172" s="393">
        <v>0</v>
      </c>
      <c r="F172" s="386">
        <f t="shared" si="3"/>
        <v>2702.5</v>
      </c>
      <c r="G172" s="155"/>
      <c r="H172" s="190"/>
    </row>
    <row r="173" spans="1:8" s="172" customFormat="1" ht="12.75" customHeight="1" thickBot="1">
      <c r="A173" s="370" t="s">
        <v>130</v>
      </c>
      <c r="B173" s="388"/>
      <c r="C173" s="348" t="s">
        <v>381</v>
      </c>
      <c r="D173" s="393">
        <v>0</v>
      </c>
      <c r="E173" s="393">
        <v>0</v>
      </c>
      <c r="F173" s="386">
        <f t="shared" si="3"/>
        <v>0</v>
      </c>
      <c r="G173" s="155"/>
      <c r="H173" s="190"/>
    </row>
    <row r="174" spans="1:7" s="172" customFormat="1" ht="14.25" customHeight="1" thickBot="1">
      <c r="A174" s="370"/>
      <c r="B174" s="388"/>
      <c r="C174" s="348"/>
      <c r="D174" s="386"/>
      <c r="E174" s="386"/>
      <c r="F174" s="386"/>
      <c r="G174" s="155"/>
    </row>
    <row r="175" spans="1:8" s="172" customFormat="1" ht="75" customHeight="1" thickBot="1">
      <c r="A175" s="372" t="s">
        <v>529</v>
      </c>
      <c r="B175" s="383"/>
      <c r="C175" s="321" t="s">
        <v>383</v>
      </c>
      <c r="D175" s="317">
        <f>D176+D177</f>
        <v>1087140</v>
      </c>
      <c r="E175" s="317">
        <f>E176</f>
        <v>0</v>
      </c>
      <c r="F175" s="317">
        <f>D175-E175</f>
        <v>1087140</v>
      </c>
      <c r="G175" s="155" t="e">
        <f>#REF!-#REF!</f>
        <v>#REF!</v>
      </c>
      <c r="H175" s="30"/>
    </row>
    <row r="176" spans="1:7" s="172" customFormat="1" ht="15" customHeight="1" thickBot="1">
      <c r="A176" s="370" t="s">
        <v>136</v>
      </c>
      <c r="B176" s="383"/>
      <c r="C176" s="348" t="s">
        <v>382</v>
      </c>
      <c r="D176" s="393">
        <v>481800</v>
      </c>
      <c r="E176" s="393">
        <v>0</v>
      </c>
      <c r="F176" s="386">
        <f>D176-E176</f>
        <v>481800</v>
      </c>
      <c r="G176" s="155" t="e">
        <f>#REF!-#REF!</f>
        <v>#REF!</v>
      </c>
    </row>
    <row r="177" spans="1:7" s="172" customFormat="1" ht="15" customHeight="1" thickBot="1">
      <c r="A177" s="370" t="s">
        <v>136</v>
      </c>
      <c r="B177" s="383"/>
      <c r="C177" s="348" t="s">
        <v>483</v>
      </c>
      <c r="D177" s="393">
        <v>605340</v>
      </c>
      <c r="E177" s="393">
        <v>0</v>
      </c>
      <c r="F177" s="386">
        <f>D177-E177</f>
        <v>605340</v>
      </c>
      <c r="G177" s="171"/>
    </row>
    <row r="178" spans="1:8" s="167" customFormat="1" ht="10.5" customHeight="1" thickBot="1">
      <c r="A178" s="372"/>
      <c r="B178" s="383"/>
      <c r="C178" s="348"/>
      <c r="D178" s="317"/>
      <c r="E178" s="317"/>
      <c r="F178" s="317"/>
      <c r="G178" s="168"/>
      <c r="H178" s="30"/>
    </row>
    <row r="179" spans="1:8" s="172" customFormat="1" ht="154.5" customHeight="1" thickBot="1">
      <c r="A179" s="372" t="s">
        <v>530</v>
      </c>
      <c r="B179" s="383"/>
      <c r="C179" s="321" t="s">
        <v>427</v>
      </c>
      <c r="D179" s="317">
        <f>D180</f>
        <v>24033821.68</v>
      </c>
      <c r="E179" s="317">
        <f>E180</f>
        <v>0</v>
      </c>
      <c r="F179" s="317">
        <f>D179-E179</f>
        <v>24033821.68</v>
      </c>
      <c r="G179" s="155" t="e">
        <f>#REF!-#REF!</f>
        <v>#REF!</v>
      </c>
      <c r="H179" s="30"/>
    </row>
    <row r="180" spans="1:7" s="172" customFormat="1" ht="15" customHeight="1" thickBot="1">
      <c r="A180" s="370" t="s">
        <v>136</v>
      </c>
      <c r="B180" s="383"/>
      <c r="C180" s="348" t="s">
        <v>385</v>
      </c>
      <c r="D180" s="393">
        <v>24033821.68</v>
      </c>
      <c r="E180" s="393">
        <v>0</v>
      </c>
      <c r="F180" s="386">
        <f>D180-E180</f>
        <v>24033821.68</v>
      </c>
      <c r="G180" s="155" t="e">
        <f>#REF!-#REF!</f>
        <v>#REF!</v>
      </c>
    </row>
    <row r="181" spans="1:8" s="167" customFormat="1" ht="10.5" customHeight="1" thickBot="1">
      <c r="A181" s="372"/>
      <c r="B181" s="383"/>
      <c r="C181" s="348"/>
      <c r="D181" s="317"/>
      <c r="E181" s="317"/>
      <c r="F181" s="317"/>
      <c r="G181" s="168"/>
      <c r="H181" s="30"/>
    </row>
    <row r="182" spans="1:8" s="172" customFormat="1" ht="69.75" customHeight="1" thickBot="1">
      <c r="A182" s="372" t="s">
        <v>531</v>
      </c>
      <c r="B182" s="383"/>
      <c r="C182" s="321" t="s">
        <v>384</v>
      </c>
      <c r="D182" s="317">
        <f>D185+D186+D187+D183+D184</f>
        <v>500000</v>
      </c>
      <c r="E182" s="317">
        <f>E185+E186+E187+E183+E184</f>
        <v>0</v>
      </c>
      <c r="F182" s="317">
        <f aca="true" t="shared" si="4" ref="F182:F187">D182-E182</f>
        <v>500000</v>
      </c>
      <c r="G182" s="155" t="e">
        <f>#REF!-#REF!</f>
        <v>#REF!</v>
      </c>
      <c r="H182" s="30"/>
    </row>
    <row r="183" spans="1:7" s="172" customFormat="1" ht="15" customHeight="1" thickBot="1">
      <c r="A183" s="370" t="s">
        <v>136</v>
      </c>
      <c r="B183" s="383"/>
      <c r="C183" s="348" t="s">
        <v>387</v>
      </c>
      <c r="D183" s="393">
        <v>500000</v>
      </c>
      <c r="E183" s="393">
        <v>0</v>
      </c>
      <c r="F183" s="386">
        <f t="shared" si="4"/>
        <v>500000</v>
      </c>
      <c r="G183" s="155" t="e">
        <f>#REF!-#REF!</f>
        <v>#REF!</v>
      </c>
    </row>
    <row r="184" spans="1:7" s="172" customFormat="1" ht="15" customHeight="1" thickBot="1">
      <c r="A184" s="370" t="s">
        <v>136</v>
      </c>
      <c r="B184" s="383"/>
      <c r="C184" s="348" t="s">
        <v>482</v>
      </c>
      <c r="D184" s="393">
        <v>0</v>
      </c>
      <c r="E184" s="393">
        <v>0</v>
      </c>
      <c r="F184" s="386">
        <f t="shared" si="4"/>
        <v>0</v>
      </c>
      <c r="G184" s="155" t="e">
        <f>#REF!-#REF!</f>
        <v>#REF!</v>
      </c>
    </row>
    <row r="185" spans="1:7" s="172" customFormat="1" ht="15" customHeight="1" thickBot="1">
      <c r="A185" s="370" t="s">
        <v>136</v>
      </c>
      <c r="B185" s="383"/>
      <c r="C185" s="348" t="s">
        <v>483</v>
      </c>
      <c r="D185" s="393">
        <v>0</v>
      </c>
      <c r="E185" s="394">
        <v>0</v>
      </c>
      <c r="F185" s="386">
        <f t="shared" si="4"/>
        <v>0</v>
      </c>
      <c r="G185" s="155" t="e">
        <f>#REF!-#REF!</f>
        <v>#REF!</v>
      </c>
    </row>
    <row r="186" spans="1:7" s="172" customFormat="1" ht="15" customHeight="1" thickBot="1">
      <c r="A186" s="370" t="s">
        <v>136</v>
      </c>
      <c r="B186" s="383"/>
      <c r="C186" s="348" t="s">
        <v>472</v>
      </c>
      <c r="D186" s="393">
        <v>0</v>
      </c>
      <c r="E186" s="394">
        <v>0</v>
      </c>
      <c r="F186" s="386">
        <f t="shared" si="4"/>
        <v>0</v>
      </c>
      <c r="G186" s="155" t="e">
        <f>#REF!-#REF!</f>
        <v>#REF!</v>
      </c>
    </row>
    <row r="187" spans="1:7" s="172" customFormat="1" ht="15" customHeight="1" thickBot="1">
      <c r="A187" s="370" t="s">
        <v>136</v>
      </c>
      <c r="B187" s="383"/>
      <c r="C187" s="348" t="s">
        <v>428</v>
      </c>
      <c r="D187" s="393">
        <v>0</v>
      </c>
      <c r="E187" s="394">
        <v>0</v>
      </c>
      <c r="F187" s="386">
        <f t="shared" si="4"/>
        <v>0</v>
      </c>
      <c r="G187" s="155" t="e">
        <f>#REF!-#REF!</f>
        <v>#REF!</v>
      </c>
    </row>
    <row r="188" spans="1:8" s="30" customFormat="1" ht="10.5" customHeight="1" thickBot="1">
      <c r="A188" s="370"/>
      <c r="B188" s="392"/>
      <c r="C188" s="348"/>
      <c r="D188" s="386"/>
      <c r="E188" s="386"/>
      <c r="F188" s="386"/>
      <c r="G188" s="160"/>
      <c r="H188" s="174"/>
    </row>
    <row r="189" spans="1:8" s="172" customFormat="1" ht="81" customHeight="1" thickBot="1">
      <c r="A189" s="372" t="s">
        <v>533</v>
      </c>
      <c r="B189" s="383"/>
      <c r="C189" s="321" t="s">
        <v>386</v>
      </c>
      <c r="D189" s="317">
        <f>D191+D190</f>
        <v>0</v>
      </c>
      <c r="E189" s="317">
        <f>E191+E190</f>
        <v>0</v>
      </c>
      <c r="F189" s="317">
        <f>D189-E189</f>
        <v>0</v>
      </c>
      <c r="G189" s="155" t="e">
        <f>#REF!-#REF!</f>
        <v>#REF!</v>
      </c>
      <c r="H189" s="30"/>
    </row>
    <row r="190" spans="1:7" s="172" customFormat="1" ht="15" customHeight="1" thickBot="1">
      <c r="A190" s="370" t="s">
        <v>110</v>
      </c>
      <c r="B190" s="383"/>
      <c r="C190" s="348" t="s">
        <v>388</v>
      </c>
      <c r="D190" s="393">
        <v>0</v>
      </c>
      <c r="E190" s="393">
        <v>0</v>
      </c>
      <c r="F190" s="386">
        <f>D190-E190</f>
        <v>0</v>
      </c>
      <c r="G190" s="155" t="e">
        <f>#REF!-#REF!</f>
        <v>#REF!</v>
      </c>
    </row>
    <row r="191" spans="1:7" s="172" customFormat="1" ht="15" customHeight="1" thickBot="1">
      <c r="A191" s="370" t="s">
        <v>110</v>
      </c>
      <c r="B191" s="383"/>
      <c r="C191" s="348" t="s">
        <v>484</v>
      </c>
      <c r="D191" s="393">
        <v>0</v>
      </c>
      <c r="E191" s="393">
        <v>0</v>
      </c>
      <c r="F191" s="386">
        <f>D191-E191</f>
        <v>0</v>
      </c>
      <c r="G191" s="155" t="e">
        <f>#REF!-#REF!</f>
        <v>#REF!</v>
      </c>
    </row>
    <row r="192" spans="1:8" s="30" customFormat="1" ht="10.5" customHeight="1" thickBot="1">
      <c r="A192" s="370"/>
      <c r="B192" s="392"/>
      <c r="C192" s="348"/>
      <c r="D192" s="386"/>
      <c r="E192" s="386"/>
      <c r="F192" s="386"/>
      <c r="G192" s="160"/>
      <c r="H192" s="174"/>
    </row>
    <row r="193" spans="1:7" s="174" customFormat="1" ht="90.75" customHeight="1" thickBot="1">
      <c r="A193" s="372" t="s">
        <v>532</v>
      </c>
      <c r="B193" s="392"/>
      <c r="C193" s="321" t="s">
        <v>389</v>
      </c>
      <c r="D193" s="402">
        <f>D194+D195+D196</f>
        <v>30000</v>
      </c>
      <c r="E193" s="402">
        <f>E194+E195+E196</f>
        <v>0</v>
      </c>
      <c r="F193" s="402">
        <f>D193-E193</f>
        <v>30000</v>
      </c>
      <c r="G193" s="170"/>
    </row>
    <row r="194" spans="1:7" s="174" customFormat="1" ht="15" customHeight="1" thickBot="1">
      <c r="A194" s="370" t="s">
        <v>117</v>
      </c>
      <c r="B194" s="392"/>
      <c r="C194" s="348" t="s">
        <v>429</v>
      </c>
      <c r="D194" s="403">
        <v>0</v>
      </c>
      <c r="E194" s="403">
        <v>0</v>
      </c>
      <c r="F194" s="403">
        <f>D194-E194</f>
        <v>0</v>
      </c>
      <c r="G194" s="170"/>
    </row>
    <row r="195" spans="1:7" s="174" customFormat="1" ht="15" customHeight="1" thickBot="1">
      <c r="A195" s="370" t="s">
        <v>110</v>
      </c>
      <c r="B195" s="392"/>
      <c r="C195" s="348" t="s">
        <v>390</v>
      </c>
      <c r="D195" s="403">
        <v>30000</v>
      </c>
      <c r="E195" s="403">
        <v>0</v>
      </c>
      <c r="F195" s="403">
        <f>D195-E195</f>
        <v>30000</v>
      </c>
      <c r="G195" s="170"/>
    </row>
    <row r="196" spans="1:8" s="174" customFormat="1" ht="15" customHeight="1" thickBot="1">
      <c r="A196" s="370" t="s">
        <v>432</v>
      </c>
      <c r="B196" s="392"/>
      <c r="C196" s="348" t="s">
        <v>447</v>
      </c>
      <c r="D196" s="393">
        <v>0</v>
      </c>
      <c r="E196" s="393">
        <v>0</v>
      </c>
      <c r="F196" s="386">
        <f>D196-E196</f>
        <v>0</v>
      </c>
      <c r="G196" s="170"/>
      <c r="H196" s="195"/>
    </row>
    <row r="197" spans="1:8" s="174" customFormat="1" ht="10.5" customHeight="1" thickBot="1">
      <c r="A197" s="370"/>
      <c r="B197" s="392"/>
      <c r="C197" s="348"/>
      <c r="D197" s="393"/>
      <c r="E197" s="394"/>
      <c r="F197" s="386"/>
      <c r="G197" s="171"/>
      <c r="H197" s="195"/>
    </row>
    <row r="198" spans="1:8" s="169" customFormat="1" ht="83.25" customHeight="1" thickBot="1">
      <c r="A198" s="372" t="s">
        <v>534</v>
      </c>
      <c r="B198" s="388"/>
      <c r="C198" s="321" t="s">
        <v>391</v>
      </c>
      <c r="D198" s="317">
        <f>D199+D201+D200</f>
        <v>0</v>
      </c>
      <c r="E198" s="317">
        <f>E199+E201+E200</f>
        <v>0</v>
      </c>
      <c r="F198" s="317">
        <f>D198-E198</f>
        <v>0</v>
      </c>
      <c r="G198" s="194"/>
      <c r="H198" s="172"/>
    </row>
    <row r="199" spans="1:8" s="172" customFormat="1" ht="15" customHeight="1" thickBot="1">
      <c r="A199" s="370" t="s">
        <v>117</v>
      </c>
      <c r="B199" s="388"/>
      <c r="C199" s="348" t="s">
        <v>392</v>
      </c>
      <c r="D199" s="393">
        <v>0</v>
      </c>
      <c r="E199" s="394">
        <v>0</v>
      </c>
      <c r="F199" s="386">
        <f>D199-E199</f>
        <v>0</v>
      </c>
      <c r="G199" s="155" t="e">
        <f>#REF!-#REF!</f>
        <v>#REF!</v>
      </c>
      <c r="H199" s="190"/>
    </row>
    <row r="200" spans="1:8" s="172" customFormat="1" ht="12.75" customHeight="1" thickBot="1">
      <c r="A200" s="370" t="s">
        <v>432</v>
      </c>
      <c r="B200" s="388"/>
      <c r="C200" s="348" t="s">
        <v>486</v>
      </c>
      <c r="D200" s="393">
        <v>0</v>
      </c>
      <c r="E200" s="394">
        <v>0</v>
      </c>
      <c r="F200" s="386">
        <f>D200-E200</f>
        <v>0</v>
      </c>
      <c r="G200" s="155" t="e">
        <f>#REF!-#REF!</f>
        <v>#REF!</v>
      </c>
      <c r="H200" s="190"/>
    </row>
    <row r="201" spans="1:8" s="172" customFormat="1" ht="12.75" customHeight="1" thickBot="1">
      <c r="A201" s="370" t="s">
        <v>432</v>
      </c>
      <c r="B201" s="388"/>
      <c r="C201" s="348" t="s">
        <v>448</v>
      </c>
      <c r="D201" s="393">
        <v>0</v>
      </c>
      <c r="E201" s="393">
        <v>0</v>
      </c>
      <c r="F201" s="386">
        <f>D201-E201</f>
        <v>0</v>
      </c>
      <c r="G201" s="155" t="e">
        <f>#REF!-#REF!</f>
        <v>#REF!</v>
      </c>
      <c r="H201" s="190"/>
    </row>
    <row r="202" spans="1:8" s="172" customFormat="1" ht="19.5" customHeight="1" thickBot="1">
      <c r="A202" s="370"/>
      <c r="B202" s="388"/>
      <c r="C202" s="348"/>
      <c r="D202" s="393"/>
      <c r="E202" s="394"/>
      <c r="F202" s="386"/>
      <c r="G202" s="171"/>
      <c r="H202" s="190"/>
    </row>
    <row r="203" spans="1:10" s="169" customFormat="1" ht="90" customHeight="1" thickBot="1">
      <c r="A203" s="372" t="s">
        <v>414</v>
      </c>
      <c r="B203" s="388"/>
      <c r="C203" s="321" t="s">
        <v>430</v>
      </c>
      <c r="D203" s="317">
        <f>D204+D205+D206+D207+D208</f>
        <v>95269.97</v>
      </c>
      <c r="E203" s="317">
        <f>E204+E205+E206+E207+E208</f>
        <v>0</v>
      </c>
      <c r="F203" s="317">
        <f>D203-E203</f>
        <v>95269.97</v>
      </c>
      <c r="G203" s="194"/>
      <c r="H203" s="172"/>
      <c r="J203" s="374">
        <f>D203+D198+D193+D189+D182+D179+D175+D164+D161+D158+D154+D151+D148+D143+D137+D134+D130+D126+D116+D112+D109+D102+D90+D86+D83+D79+D76+D70+D65+D60+D55+D51+D46+D43+D39+D35+D29+D26+D22+D19+D15+D11</f>
        <v>50749897.18</v>
      </c>
    </row>
    <row r="204" spans="1:8" s="172" customFormat="1" ht="15" customHeight="1" thickBot="1">
      <c r="A204" s="370" t="s">
        <v>104</v>
      </c>
      <c r="B204" s="388"/>
      <c r="C204" s="348" t="s">
        <v>470</v>
      </c>
      <c r="D204" s="393">
        <v>0</v>
      </c>
      <c r="E204" s="394">
        <v>0</v>
      </c>
      <c r="F204" s="386">
        <f>D204-E204</f>
        <v>0</v>
      </c>
      <c r="G204" s="155" t="e">
        <f>#REF!-#REF!</f>
        <v>#REF!</v>
      </c>
      <c r="H204" s="190"/>
    </row>
    <row r="205" spans="1:8" s="172" customFormat="1" ht="15" customHeight="1" thickBot="1">
      <c r="A205" s="370" t="s">
        <v>277</v>
      </c>
      <c r="B205" s="388"/>
      <c r="C205" s="348" t="s">
        <v>393</v>
      </c>
      <c r="D205" s="393">
        <v>0</v>
      </c>
      <c r="E205" s="394">
        <v>0</v>
      </c>
      <c r="F205" s="386">
        <f>D205-E205</f>
        <v>0</v>
      </c>
      <c r="G205" s="155" t="e">
        <f>#REF!-#REF!</f>
        <v>#REF!</v>
      </c>
      <c r="H205" s="190"/>
    </row>
    <row r="206" spans="1:8" s="169" customFormat="1" ht="15" customHeight="1" thickBot="1">
      <c r="A206" s="370" t="s">
        <v>104</v>
      </c>
      <c r="B206" s="388"/>
      <c r="C206" s="348" t="s">
        <v>394</v>
      </c>
      <c r="D206" s="393">
        <v>0</v>
      </c>
      <c r="E206" s="394">
        <v>0</v>
      </c>
      <c r="F206" s="386">
        <f>D206-E206</f>
        <v>0</v>
      </c>
      <c r="G206" s="194"/>
      <c r="H206" s="172"/>
    </row>
    <row r="207" spans="1:8" s="172" customFormat="1" ht="15" customHeight="1" thickBot="1">
      <c r="A207" s="370" t="s">
        <v>277</v>
      </c>
      <c r="B207" s="388"/>
      <c r="C207" s="348" t="s">
        <v>473</v>
      </c>
      <c r="D207" s="393">
        <v>73269.97</v>
      </c>
      <c r="E207" s="394">
        <v>0</v>
      </c>
      <c r="F207" s="386">
        <f>D207-E207</f>
        <v>73269.97</v>
      </c>
      <c r="G207" s="155" t="e">
        <f>#REF!-#REF!</f>
        <v>#REF!</v>
      </c>
      <c r="H207" s="190"/>
    </row>
    <row r="208" spans="1:8" s="172" customFormat="1" ht="15" customHeight="1" thickBot="1">
      <c r="A208" s="370" t="s">
        <v>277</v>
      </c>
      <c r="B208" s="388"/>
      <c r="C208" s="348" t="s">
        <v>474</v>
      </c>
      <c r="D208" s="393">
        <v>22000</v>
      </c>
      <c r="E208" s="393">
        <v>0</v>
      </c>
      <c r="F208" s="386">
        <f>D208-E208</f>
        <v>22000</v>
      </c>
      <c r="G208" s="155" t="e">
        <f>#REF!-#REF!</f>
        <v>#REF!</v>
      </c>
      <c r="H208" s="190"/>
    </row>
    <row r="209" spans="1:9" s="174" customFormat="1" ht="18" customHeight="1" thickBot="1">
      <c r="A209" s="185" t="s">
        <v>251</v>
      </c>
      <c r="B209" s="356"/>
      <c r="C209" s="357" t="s">
        <v>431</v>
      </c>
      <c r="D209" s="358">
        <f>D214+D221+D224+D226+D228+D230+D236+D238</f>
        <v>51519916.18</v>
      </c>
      <c r="E209" s="358">
        <f>E214+E221+E224+E226+E228+E230+E236+E238</f>
        <v>1817814.65</v>
      </c>
      <c r="F209" s="358">
        <f>F214+F221+F224+F226+F228+F230+F236+F238</f>
        <v>49702101.53</v>
      </c>
      <c r="G209" s="170"/>
      <c r="H209" s="176">
        <v>79430611.12</v>
      </c>
      <c r="I209" s="176">
        <v>41312160.16</v>
      </c>
    </row>
    <row r="210" spans="1:9" s="174" customFormat="1" ht="18" customHeight="1" thickBot="1">
      <c r="A210" s="370" t="s">
        <v>10</v>
      </c>
      <c r="B210" s="388"/>
      <c r="C210" s="321"/>
      <c r="D210" s="402"/>
      <c r="E210" s="402"/>
      <c r="F210" s="402"/>
      <c r="G210" s="170"/>
      <c r="H210" s="191">
        <f>H209-D209</f>
        <v>27910694.940000005</v>
      </c>
      <c r="I210" s="333">
        <f>I209-E209</f>
        <v>39494345.51</v>
      </c>
    </row>
    <row r="211" spans="1:9" s="37" customFormat="1" ht="18" customHeight="1" thickBot="1">
      <c r="A211" s="370" t="s">
        <v>104</v>
      </c>
      <c r="B211" s="391"/>
      <c r="C211" s="348" t="s">
        <v>103</v>
      </c>
      <c r="D211" s="386">
        <f>D36+D40+D57+D80+D103+D131+D205+D207+D127</f>
        <v>9462429.97</v>
      </c>
      <c r="E211" s="386">
        <f>E36+E40+E57+E80+E103+E131+E205+E207+E127</f>
        <v>1246131.86</v>
      </c>
      <c r="F211" s="386">
        <f>D211-E211</f>
        <v>8216298.11</v>
      </c>
      <c r="G211" s="159"/>
      <c r="H211" s="30"/>
      <c r="I211" s="197"/>
    </row>
    <row r="212" spans="1:8" s="120" customFormat="1" ht="16.5" customHeight="1" thickBot="1">
      <c r="A212" s="370" t="s">
        <v>106</v>
      </c>
      <c r="B212" s="392"/>
      <c r="C212" s="348" t="s">
        <v>105</v>
      </c>
      <c r="D212" s="386">
        <f>D44+D84+D110+D135</f>
        <v>344047.45</v>
      </c>
      <c r="E212" s="386">
        <f>E44+E84+E110+E135</f>
        <v>0</v>
      </c>
      <c r="F212" s="386">
        <f>D212-E212</f>
        <v>344047.45</v>
      </c>
      <c r="G212" s="158" t="e">
        <f>#REF!-#REF!</f>
        <v>#REF!</v>
      </c>
      <c r="H212" s="119"/>
    </row>
    <row r="213" spans="1:9" s="174" customFormat="1" ht="18" customHeight="1" thickBot="1">
      <c r="A213" s="370" t="s">
        <v>108</v>
      </c>
      <c r="B213" s="392"/>
      <c r="C213" s="348" t="s">
        <v>107</v>
      </c>
      <c r="D213" s="386">
        <f>D37+D41+D58+D81+D104+D128+D132+D206+D208</f>
        <v>2420642</v>
      </c>
      <c r="E213" s="386">
        <f>E37+E41+E58+E81+E104+E128+E132+E206+E208</f>
        <v>69164.23999999999</v>
      </c>
      <c r="F213" s="386">
        <f>D213-E213</f>
        <v>2351477.76</v>
      </c>
      <c r="G213" s="170" t="e">
        <f>#REF!-#REF!</f>
        <v>#REF!</v>
      </c>
      <c r="H213" s="119"/>
      <c r="I213" s="333"/>
    </row>
    <row r="214" spans="1:8" s="37" customFormat="1" ht="24" customHeight="1" thickBot="1">
      <c r="A214" s="182" t="s">
        <v>122</v>
      </c>
      <c r="B214" s="354"/>
      <c r="C214" s="349" t="s">
        <v>119</v>
      </c>
      <c r="D214" s="337">
        <f>SUM(D211:D213)</f>
        <v>12227119.42</v>
      </c>
      <c r="E214" s="337">
        <f>E211+E212+E213</f>
        <v>1315296.1</v>
      </c>
      <c r="F214" s="337">
        <f>SUM(F211:F213)</f>
        <v>10911823.32</v>
      </c>
      <c r="G214" s="159"/>
      <c r="H214" s="119"/>
    </row>
    <row r="215" spans="1:8" s="120" customFormat="1" ht="18" customHeight="1" thickBot="1">
      <c r="A215" s="370" t="s">
        <v>112</v>
      </c>
      <c r="B215" s="392"/>
      <c r="C215" s="348" t="s">
        <v>111</v>
      </c>
      <c r="D215" s="386">
        <f>D87+D88+D113+D114</f>
        <v>180700</v>
      </c>
      <c r="E215" s="386">
        <f>E87+E88+E113+E114</f>
        <v>6968.16</v>
      </c>
      <c r="F215" s="386">
        <f>D215-E215</f>
        <v>173731.84</v>
      </c>
      <c r="G215" s="158" t="e">
        <f>#REF!-#REF!</f>
        <v>#REF!</v>
      </c>
      <c r="H215" s="119"/>
    </row>
    <row r="216" spans="1:8" s="174" customFormat="1" ht="18" customHeight="1" thickBot="1">
      <c r="A216" s="370" t="s">
        <v>113</v>
      </c>
      <c r="B216" s="392"/>
      <c r="C216" s="348" t="s">
        <v>114</v>
      </c>
      <c r="D216" s="386">
        <f>D165</f>
        <v>0</v>
      </c>
      <c r="E216" s="386">
        <f>E165</f>
        <v>0</v>
      </c>
      <c r="F216" s="386">
        <f>D216-E216</f>
        <v>0</v>
      </c>
      <c r="G216" s="170" t="e">
        <f>#REF!-#REF!</f>
        <v>#REF!</v>
      </c>
      <c r="H216" s="119"/>
    </row>
    <row r="217" spans="1:8" s="37" customFormat="1" ht="18" customHeight="1" thickBot="1">
      <c r="A217" s="370" t="s">
        <v>115</v>
      </c>
      <c r="B217" s="392"/>
      <c r="C217" s="348" t="s">
        <v>116</v>
      </c>
      <c r="D217" s="386">
        <f>D91+D117+D155+D166</f>
        <v>994000</v>
      </c>
      <c r="E217" s="386">
        <f>E91+E117+E155+E166</f>
        <v>9214.39</v>
      </c>
      <c r="F217" s="386">
        <f>D217-E217</f>
        <v>984785.61</v>
      </c>
      <c r="G217" s="159"/>
      <c r="H217" s="30"/>
    </row>
    <row r="218" spans="1:8" s="37" customFormat="1" ht="18" customHeight="1" thickBot="1">
      <c r="A218" s="370" t="s">
        <v>282</v>
      </c>
      <c r="B218" s="392"/>
      <c r="C218" s="348" t="s">
        <v>281</v>
      </c>
      <c r="D218" s="386">
        <f>D167</f>
        <v>0</v>
      </c>
      <c r="E218" s="386">
        <f>E167</f>
        <v>0</v>
      </c>
      <c r="F218" s="386">
        <f>F167</f>
        <v>0</v>
      </c>
      <c r="G218" s="159"/>
      <c r="H218" s="30"/>
    </row>
    <row r="219" spans="1:9" s="119" customFormat="1" ht="18" customHeight="1" thickBot="1">
      <c r="A219" s="370" t="s">
        <v>117</v>
      </c>
      <c r="B219" s="392"/>
      <c r="C219" s="348" t="s">
        <v>118</v>
      </c>
      <c r="D219" s="386">
        <f>D12+D16+D17+D92+D118+D144+D156+D159+D162+D168+D169+D194+D199</f>
        <v>5010625.2</v>
      </c>
      <c r="E219" s="386">
        <f>E12+E16+E17+E92+E118+E144+E156+E159+E162+E168+E169+E194+E199</f>
        <v>226336.93</v>
      </c>
      <c r="F219" s="386">
        <f>D219-E219</f>
        <v>4784288.2700000005</v>
      </c>
      <c r="G219" s="160"/>
      <c r="H219" s="1"/>
      <c r="I219" s="177"/>
    </row>
    <row r="220" spans="1:10" s="119" customFormat="1" ht="18" customHeight="1" thickBot="1">
      <c r="A220" s="370" t="s">
        <v>110</v>
      </c>
      <c r="B220" s="383"/>
      <c r="C220" s="348" t="s">
        <v>109</v>
      </c>
      <c r="D220" s="386">
        <f>D13+D24+D27+D30+D31+D32+D47+D61+D74+D93+D119+D141+D145+D171+D172+D190+D191+D195+T203</f>
        <v>3035083.05</v>
      </c>
      <c r="E220" s="386">
        <f>E13+E24+E27+E30+E31+E32+E47+E61+E74+E93+E119+E141+E145+E171+E172+E190+E191+E195+U203</f>
        <v>74508.95</v>
      </c>
      <c r="F220" s="386">
        <f>D220-E220</f>
        <v>2960574.0999999996</v>
      </c>
      <c r="G220" s="184" t="e">
        <f>#REF!+G47+#REF!+G93+G119+G145+#REF!+G191+#REF!+#REF!+#REF!+G61</f>
        <v>#REF!</v>
      </c>
      <c r="H220" s="1"/>
      <c r="I220" s="197"/>
      <c r="J220" s="177"/>
    </row>
    <row r="221" spans="1:10" s="30" customFormat="1" ht="24" customHeight="1" thickBot="1">
      <c r="A221" s="182" t="s">
        <v>120</v>
      </c>
      <c r="B221" s="338"/>
      <c r="C221" s="349" t="s">
        <v>121</v>
      </c>
      <c r="D221" s="337">
        <f>SUM(D215:D220)</f>
        <v>9220408.25</v>
      </c>
      <c r="E221" s="337">
        <f>E215+E216+E217+E218+E219+E220</f>
        <v>317028.43</v>
      </c>
      <c r="F221" s="337">
        <f>SUM(F215:F220)</f>
        <v>8903379.82</v>
      </c>
      <c r="G221" s="159" t="e">
        <f>#REF!-#REF!</f>
        <v>#REF!</v>
      </c>
      <c r="J221" s="176"/>
    </row>
    <row r="222" spans="1:8" s="119" customFormat="1" ht="37.5" customHeight="1" thickBot="1">
      <c r="A222" s="370" t="s">
        <v>171</v>
      </c>
      <c r="B222" s="404"/>
      <c r="C222" s="348" t="s">
        <v>123</v>
      </c>
      <c r="D222" s="386">
        <f>D152</f>
        <v>3633270</v>
      </c>
      <c r="E222" s="386">
        <f>E152</f>
        <v>0</v>
      </c>
      <c r="F222" s="386">
        <f>D222-E222</f>
        <v>3633270</v>
      </c>
      <c r="G222" s="159" t="e">
        <f>#REF!-#REF!</f>
        <v>#REF!</v>
      </c>
      <c r="H222" s="30"/>
    </row>
    <row r="223" spans="1:8" s="119" customFormat="1" ht="37.5" customHeight="1" thickBot="1">
      <c r="A223" s="370" t="s">
        <v>126</v>
      </c>
      <c r="B223" s="404"/>
      <c r="C223" s="348" t="s">
        <v>124</v>
      </c>
      <c r="D223" s="386">
        <f>D149</f>
        <v>78269.4</v>
      </c>
      <c r="E223" s="386">
        <f>E149</f>
        <v>0</v>
      </c>
      <c r="F223" s="386">
        <f>D223-E223</f>
        <v>78269.4</v>
      </c>
      <c r="G223" s="160" t="e">
        <f>#REF!-#REF!</f>
        <v>#REF!</v>
      </c>
      <c r="H223" s="30"/>
    </row>
    <row r="224" spans="1:8" s="119" customFormat="1" ht="24" customHeight="1" thickBot="1">
      <c r="A224" s="182" t="s">
        <v>252</v>
      </c>
      <c r="B224" s="338"/>
      <c r="C224" s="349" t="s">
        <v>125</v>
      </c>
      <c r="D224" s="337">
        <f>SUM(D222:D223)</f>
        <v>3711539.4</v>
      </c>
      <c r="E224" s="337">
        <f>E222+E223</f>
        <v>0</v>
      </c>
      <c r="F224" s="337">
        <f>SUM(F222:F223)</f>
        <v>3711539.4</v>
      </c>
      <c r="G224" s="159" t="e">
        <f>#REF!-#REF!</f>
        <v>#REF!</v>
      </c>
      <c r="H224" s="30"/>
    </row>
    <row r="225" spans="1:8" s="119" customFormat="1" ht="18" customHeight="1" thickBot="1">
      <c r="A225" s="370" t="s">
        <v>136</v>
      </c>
      <c r="B225" s="404"/>
      <c r="C225" s="348" t="s">
        <v>135</v>
      </c>
      <c r="D225" s="386">
        <f>D175+D180+D185+D186+D187+D184+D183</f>
        <v>25620961.68</v>
      </c>
      <c r="E225" s="386">
        <f>E175+E180+E185+E186+E187+E184+E183</f>
        <v>0</v>
      </c>
      <c r="F225" s="386">
        <f aca="true" t="shared" si="5" ref="F225:F236">D225-E225</f>
        <v>25620961.68</v>
      </c>
      <c r="G225" s="159" t="e">
        <f>#REF!-#REF!</f>
        <v>#REF!</v>
      </c>
      <c r="H225" s="1"/>
    </row>
    <row r="226" spans="1:8" s="119" customFormat="1" ht="24" customHeight="1" thickBot="1">
      <c r="A226" s="182" t="s">
        <v>253</v>
      </c>
      <c r="B226" s="338"/>
      <c r="C226" s="349" t="s">
        <v>245</v>
      </c>
      <c r="D226" s="337">
        <f>D225</f>
        <v>25620961.68</v>
      </c>
      <c r="E226" s="337">
        <f>E225</f>
        <v>0</v>
      </c>
      <c r="F226" s="337">
        <f t="shared" si="5"/>
        <v>25620961.68</v>
      </c>
      <c r="G226" s="159" t="e">
        <f>#REF!-#REF!</f>
        <v>#REF!</v>
      </c>
      <c r="H226" s="30"/>
    </row>
    <row r="227" spans="1:8" s="30" customFormat="1" ht="18" customHeight="1" thickBot="1">
      <c r="A227" s="370" t="s">
        <v>145</v>
      </c>
      <c r="B227" s="404"/>
      <c r="C227" s="348" t="s">
        <v>146</v>
      </c>
      <c r="D227" s="386">
        <f>D71</f>
        <v>60000</v>
      </c>
      <c r="E227" s="386">
        <f>E71</f>
        <v>0</v>
      </c>
      <c r="F227" s="386">
        <f t="shared" si="5"/>
        <v>60000</v>
      </c>
      <c r="G227" s="117" t="e">
        <f>G125+#REF!+#REF!+G96</f>
        <v>#REF!</v>
      </c>
      <c r="H227" s="172"/>
    </row>
    <row r="228" spans="1:8" ht="24" customHeight="1" thickBot="1">
      <c r="A228" s="182" t="s">
        <v>254</v>
      </c>
      <c r="B228" s="338"/>
      <c r="C228" s="349" t="s">
        <v>246</v>
      </c>
      <c r="D228" s="337">
        <f>D227</f>
        <v>60000</v>
      </c>
      <c r="E228" s="337">
        <f>E227</f>
        <v>0</v>
      </c>
      <c r="F228" s="337">
        <f t="shared" si="5"/>
        <v>60000</v>
      </c>
      <c r="G228" s="159" t="e">
        <f>#REF!-#REF!</f>
        <v>#REF!</v>
      </c>
      <c r="H228" s="172"/>
    </row>
    <row r="229" spans="1:7" ht="18" customHeight="1" thickBot="1">
      <c r="A229" s="370" t="s">
        <v>127</v>
      </c>
      <c r="B229" s="404"/>
      <c r="C229" s="348" t="s">
        <v>149</v>
      </c>
      <c r="D229" s="386">
        <f>D52+D53+D49+D67+D98+D99+D100+D120+D123+D124+D138+D77+D170</f>
        <v>149000</v>
      </c>
      <c r="E229" s="386">
        <f>E52+E53+E49+E67+E98+E99+E100+E120+E123+E124+E138+E77+E170</f>
        <v>4796</v>
      </c>
      <c r="F229" s="386">
        <f t="shared" si="5"/>
        <v>144204</v>
      </c>
      <c r="G229" s="160" t="e">
        <f>#REF!-#REF!</f>
        <v>#REF!</v>
      </c>
    </row>
    <row r="230" spans="1:7" s="30" customFormat="1" ht="24" customHeight="1" thickBot="1">
      <c r="A230" s="182" t="s">
        <v>255</v>
      </c>
      <c r="B230" s="338"/>
      <c r="C230" s="349" t="s">
        <v>247</v>
      </c>
      <c r="D230" s="337">
        <f>D229</f>
        <v>149000</v>
      </c>
      <c r="E230" s="337">
        <f>E229</f>
        <v>4796</v>
      </c>
      <c r="F230" s="337">
        <f t="shared" si="5"/>
        <v>144204</v>
      </c>
      <c r="G230" s="159" t="e">
        <f>#REF!-#REF!</f>
        <v>#REF!</v>
      </c>
    </row>
    <row r="231" spans="1:8" s="30" customFormat="1" ht="18" customHeight="1" thickBot="1">
      <c r="A231" s="370" t="s">
        <v>127</v>
      </c>
      <c r="B231" s="383"/>
      <c r="C231" s="348" t="s">
        <v>461</v>
      </c>
      <c r="D231" s="386">
        <f>D14+D62+D94+D95+D121+D196+D201+D139</f>
        <v>335300</v>
      </c>
      <c r="E231" s="386">
        <f>E14+E62+E94+E95+E121+E196+E201+E139</f>
        <v>161530</v>
      </c>
      <c r="F231" s="386">
        <f t="shared" si="5"/>
        <v>173770</v>
      </c>
      <c r="G231" s="351" t="e">
        <f>G13+G62+G94+G121+G196+G201</f>
        <v>#REF!</v>
      </c>
      <c r="H231" s="1"/>
    </row>
    <row r="232" spans="1:8" s="30" customFormat="1" ht="18" customHeight="1" thickBot="1">
      <c r="A232" s="370" t="s">
        <v>130</v>
      </c>
      <c r="B232" s="383"/>
      <c r="C232" s="348" t="s">
        <v>263</v>
      </c>
      <c r="D232" s="386">
        <f>D48+D63+D68+D96+D97+D122+D140+D146+D173+D20+D25</f>
        <v>195587.43</v>
      </c>
      <c r="E232" s="386">
        <f>E48+E63+E68+E96+E97+E122+E140+E146+E173+E20+E25</f>
        <v>19164.12</v>
      </c>
      <c r="F232" s="386">
        <f t="shared" si="5"/>
        <v>176423.31</v>
      </c>
      <c r="G232" s="159"/>
      <c r="H232" s="1"/>
    </row>
    <row r="233" spans="1:7" s="30" customFormat="1" ht="18" customHeight="1" thickBot="1">
      <c r="A233" s="370" t="s">
        <v>130</v>
      </c>
      <c r="B233" s="383"/>
      <c r="C233" s="348" t="s">
        <v>223</v>
      </c>
      <c r="D233" s="386">
        <v>0</v>
      </c>
      <c r="E233" s="386">
        <f>E95</f>
        <v>0</v>
      </c>
      <c r="F233" s="386">
        <f t="shared" si="5"/>
        <v>0</v>
      </c>
      <c r="G233" s="160" t="e">
        <f>#REF!-#REF!</f>
        <v>#REF!</v>
      </c>
    </row>
    <row r="234" spans="1:7" s="30" customFormat="1" ht="18" customHeight="1" thickBot="1">
      <c r="A234" s="370" t="s">
        <v>130</v>
      </c>
      <c r="B234" s="383"/>
      <c r="C234" s="348" t="s">
        <v>155</v>
      </c>
      <c r="D234" s="386">
        <f>0</f>
        <v>0</v>
      </c>
      <c r="E234" s="386">
        <f>0</f>
        <v>0</v>
      </c>
      <c r="F234" s="386">
        <f t="shared" si="5"/>
        <v>0</v>
      </c>
      <c r="G234" s="160" t="e">
        <f>#REF!-#REF!</f>
        <v>#REF!</v>
      </c>
    </row>
    <row r="235" spans="1:8" ht="18" customHeight="1" thickBot="1">
      <c r="A235" s="370" t="s">
        <v>130</v>
      </c>
      <c r="B235" s="383"/>
      <c r="C235" s="348" t="s">
        <v>152</v>
      </c>
      <c r="D235" s="386">
        <v>0</v>
      </c>
      <c r="E235" s="386">
        <f>E20+E25</f>
        <v>0</v>
      </c>
      <c r="F235" s="386">
        <f t="shared" si="5"/>
        <v>0</v>
      </c>
      <c r="G235" s="184" t="e">
        <f>G20+#REF!+G67+G96+#REF!+G140+G146+#REF!</f>
        <v>#REF!</v>
      </c>
      <c r="H235" s="30"/>
    </row>
    <row r="236" spans="1:8" s="30" customFormat="1" ht="24" customHeight="1" thickBot="1">
      <c r="A236" s="182" t="s">
        <v>256</v>
      </c>
      <c r="B236" s="359"/>
      <c r="C236" s="349" t="s">
        <v>128</v>
      </c>
      <c r="D236" s="337">
        <f>SUM(D231:D235)</f>
        <v>530887.4299999999</v>
      </c>
      <c r="E236" s="337">
        <f>E231+E232+E233+E234+E235</f>
        <v>180694.12</v>
      </c>
      <c r="F236" s="337">
        <f t="shared" si="5"/>
        <v>350193.30999999994</v>
      </c>
      <c r="G236" s="160"/>
      <c r="H236" s="1"/>
    </row>
    <row r="237" spans="1:8" s="172" customFormat="1" ht="18" customHeight="1" thickBot="1">
      <c r="A237" s="371"/>
      <c r="B237" s="360"/>
      <c r="C237" s="347" t="s">
        <v>49</v>
      </c>
      <c r="D237" s="351">
        <f>0</f>
        <v>0</v>
      </c>
      <c r="E237" s="351">
        <f>0</f>
        <v>0</v>
      </c>
      <c r="F237" s="351">
        <f>0</f>
        <v>0</v>
      </c>
      <c r="G237" s="170"/>
      <c r="H237" s="1"/>
    </row>
    <row r="238" spans="1:8" s="172" customFormat="1" ht="24" customHeight="1" thickBot="1">
      <c r="A238" s="182" t="s">
        <v>257</v>
      </c>
      <c r="B238" s="359"/>
      <c r="C238" s="349" t="s">
        <v>49</v>
      </c>
      <c r="D238" s="337">
        <f>D237</f>
        <v>0</v>
      </c>
      <c r="E238" s="337">
        <f>E237</f>
        <v>0</v>
      </c>
      <c r="F238" s="337">
        <f>D238-E238</f>
        <v>0</v>
      </c>
      <c r="G238" s="170"/>
      <c r="H238" s="1"/>
    </row>
    <row r="239" spans="1:7" ht="18" customHeight="1" thickBot="1">
      <c r="A239" s="372"/>
      <c r="B239" s="361"/>
      <c r="C239" s="321"/>
      <c r="D239" s="353"/>
      <c r="E239" s="353"/>
      <c r="F239" s="353"/>
      <c r="G239" s="160" t="e">
        <f>#REF!-#REF!</f>
        <v>#REF!</v>
      </c>
    </row>
    <row r="240" spans="1:8" s="30" customFormat="1" ht="28.5" customHeight="1" thickBot="1">
      <c r="A240" s="182" t="s">
        <v>85</v>
      </c>
      <c r="B240" s="362">
        <v>450</v>
      </c>
      <c r="C240" s="363" t="s">
        <v>57</v>
      </c>
      <c r="D240" s="355" t="s">
        <v>57</v>
      </c>
      <c r="E240" s="355" t="s">
        <v>57</v>
      </c>
      <c r="F240" s="355" t="s">
        <v>57</v>
      </c>
      <c r="G240" s="160" t="e">
        <f>#REF!-#REF!</f>
        <v>#REF!</v>
      </c>
      <c r="H240" s="1"/>
    </row>
    <row r="241" ht="15" customHeight="1">
      <c r="G241" s="34" t="e">
        <f>G67+#REF!+#REF!</f>
        <v>#REF!</v>
      </c>
    </row>
    <row r="242" spans="1:8" s="30" customFormat="1" ht="33" customHeight="1">
      <c r="A242" s="366"/>
      <c r="B242" s="339"/>
      <c r="C242" s="339"/>
      <c r="D242" s="364"/>
      <c r="E242" s="364"/>
      <c r="F242" s="365"/>
      <c r="G242" s="28" t="e">
        <f>G69+#REF!+#REF!</f>
        <v>#REF!</v>
      </c>
      <c r="H242" s="1"/>
    </row>
    <row r="243" spans="1:8" s="30" customFormat="1" ht="15" customHeight="1" hidden="1">
      <c r="A243" s="366"/>
      <c r="B243" s="339"/>
      <c r="C243" s="339"/>
      <c r="D243" s="364"/>
      <c r="E243" s="364"/>
      <c r="F243" s="365"/>
      <c r="G243" s="159" t="e">
        <f>#REF!-#REF!</f>
        <v>#REF!</v>
      </c>
      <c r="H243" s="1"/>
    </row>
    <row r="244" spans="1:8" s="30" customFormat="1" ht="15" customHeight="1" hidden="1">
      <c r="A244" s="366"/>
      <c r="B244" s="339"/>
      <c r="C244" s="339"/>
      <c r="D244" s="364"/>
      <c r="E244" s="364"/>
      <c r="F244" s="365"/>
      <c r="G244" s="159" t="e">
        <f>#REF!-#REF!</f>
        <v>#REF!</v>
      </c>
      <c r="H244" s="1"/>
    </row>
    <row r="245" ht="15" customHeight="1" hidden="1">
      <c r="G245" s="159" t="e">
        <f>#REF!-#REF!</f>
        <v>#REF!</v>
      </c>
    </row>
    <row r="246" ht="15.75" customHeight="1" hidden="1">
      <c r="G246" s="160" t="e">
        <f>#REF!-#REF!</f>
        <v>#REF!</v>
      </c>
    </row>
    <row r="247" ht="18.75" customHeight="1">
      <c r="G247" s="164"/>
    </row>
    <row r="248" ht="13.5" thickBot="1">
      <c r="G248" s="165" t="s">
        <v>57</v>
      </c>
    </row>
  </sheetData>
  <sheetProtection/>
  <mergeCells count="7">
    <mergeCell ref="C2:E2"/>
    <mergeCell ref="F3:F8"/>
    <mergeCell ref="E3:E8"/>
    <mergeCell ref="A3:A8"/>
    <mergeCell ref="B3:B8"/>
    <mergeCell ref="C3:C8"/>
    <mergeCell ref="D3:D8"/>
  </mergeCells>
  <printOptions/>
  <pageMargins left="0.1968503937007874" right="0.1968503937007874" top="0.1968503937007874" bottom="0.1968503937007874" header="0.1968503937007874" footer="0.1968503937007874"/>
  <pageSetup fitToHeight="22"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40">
      <selection activeCell="D70" sqref="D70"/>
    </sheetView>
  </sheetViews>
  <sheetFormatPr defaultColWidth="9.0039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7">
      <selection activeCell="A7" sqref="A1:IV16384"/>
    </sheetView>
  </sheetViews>
  <sheetFormatPr defaultColWidth="9.125" defaultRowHeight="12.75"/>
  <cols>
    <col min="1" max="3" width="9.125" style="52" customWidth="1"/>
    <col min="4" max="4" width="9.125" style="67" customWidth="1"/>
    <col min="5" max="5" width="9.125" style="156" customWidth="1"/>
    <col min="6" max="8" width="9.125" style="67" customWidth="1"/>
    <col min="9" max="16384" width="9.125" style="1" customWidth="1"/>
  </cols>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21"/>
  <sheetViews>
    <sheetView zoomScalePageLayoutView="0" workbookViewId="0" topLeftCell="A1">
      <selection activeCell="H68" sqref="H68"/>
    </sheetView>
  </sheetViews>
  <sheetFormatPr defaultColWidth="9.125" defaultRowHeight="12.75"/>
  <cols>
    <col min="1" max="1" width="33.875" style="52" customWidth="1"/>
    <col min="2" max="2" width="4.50390625" style="52" customWidth="1"/>
    <col min="3" max="3" width="22.875" style="52" customWidth="1"/>
    <col min="4" max="4" width="14.50390625" style="67" customWidth="1"/>
    <col min="5" max="5" width="14.125" style="67" customWidth="1"/>
    <col min="6" max="6" width="15.50390625" style="67" customWidth="1"/>
    <col min="7" max="7" width="12.50390625" style="67" customWidth="1"/>
    <col min="8" max="8" width="13.50390625" style="67" customWidth="1"/>
    <col min="9" max="9" width="14.125" style="1" customWidth="1"/>
    <col min="10" max="16384" width="9.125" style="1" customWidth="1"/>
  </cols>
  <sheetData>
    <row r="1" spans="1:9" ht="16.5" customHeight="1" thickBot="1">
      <c r="A1" s="39" t="s">
        <v>92</v>
      </c>
      <c r="B1" s="40"/>
      <c r="C1" s="41"/>
      <c r="D1" s="39"/>
      <c r="E1" s="39"/>
      <c r="F1" s="39"/>
      <c r="G1" s="39"/>
      <c r="H1" s="39"/>
      <c r="I1" s="42" t="s">
        <v>8</v>
      </c>
    </row>
    <row r="2" spans="1:9" ht="15" customHeight="1">
      <c r="A2" s="43" t="s">
        <v>91</v>
      </c>
      <c r="B2" s="40"/>
      <c r="C2" s="39"/>
      <c r="D2" s="39"/>
      <c r="E2" s="39"/>
      <c r="F2" s="39"/>
      <c r="G2" s="39"/>
      <c r="H2" s="4" t="s">
        <v>36</v>
      </c>
      <c r="I2" s="44" t="s">
        <v>66</v>
      </c>
    </row>
    <row r="3" spans="1:9" ht="13.5" customHeight="1">
      <c r="A3" s="45" t="s">
        <v>224</v>
      </c>
      <c r="B3" s="45"/>
      <c r="C3" s="45"/>
      <c r="D3" s="113"/>
      <c r="E3" s="45"/>
      <c r="F3" s="45"/>
      <c r="G3" s="45"/>
      <c r="H3" s="3" t="s">
        <v>33</v>
      </c>
      <c r="I3" s="46" t="s">
        <v>218</v>
      </c>
    </row>
    <row r="4" spans="1:9" ht="18" customHeight="1">
      <c r="A4" s="3" t="s">
        <v>90</v>
      </c>
      <c r="B4" s="3"/>
      <c r="C4" s="47" t="s">
        <v>95</v>
      </c>
      <c r="D4" s="48"/>
      <c r="E4" s="48"/>
      <c r="F4" s="4"/>
      <c r="G4" s="4"/>
      <c r="H4" s="3" t="s">
        <v>31</v>
      </c>
      <c r="I4" s="46" t="s">
        <v>97</v>
      </c>
    </row>
    <row r="5" spans="1:9" ht="11.25" customHeight="1">
      <c r="A5" s="3" t="s">
        <v>89</v>
      </c>
      <c r="B5" s="3"/>
      <c r="C5" s="47"/>
      <c r="D5" s="48"/>
      <c r="E5" s="48"/>
      <c r="F5" s="4"/>
      <c r="G5" s="4"/>
      <c r="H5" s="3"/>
      <c r="I5" s="49"/>
    </row>
    <row r="6" spans="1:9" ht="15.75" customHeight="1">
      <c r="A6" s="3" t="s">
        <v>159</v>
      </c>
      <c r="B6" s="3"/>
      <c r="C6" s="3"/>
      <c r="D6" s="4"/>
      <c r="E6" s="4"/>
      <c r="F6" s="4"/>
      <c r="G6" s="4"/>
      <c r="H6" s="3" t="s">
        <v>68</v>
      </c>
      <c r="I6" s="46" t="s">
        <v>96</v>
      </c>
    </row>
    <row r="7" spans="1:9" ht="13.5" customHeight="1">
      <c r="A7" s="3" t="s">
        <v>76</v>
      </c>
      <c r="B7" s="3"/>
      <c r="C7" s="3"/>
      <c r="D7" s="4"/>
      <c r="E7" s="4"/>
      <c r="F7" s="4"/>
      <c r="G7" s="4"/>
      <c r="H7" s="3"/>
      <c r="I7" s="50"/>
    </row>
    <row r="8" spans="1:9" ht="13.5" customHeight="1" thickBot="1">
      <c r="A8" s="3" t="s">
        <v>3</v>
      </c>
      <c r="B8" s="3"/>
      <c r="C8" s="3"/>
      <c r="D8" s="4"/>
      <c r="E8" s="125"/>
      <c r="F8" s="4"/>
      <c r="G8" s="4"/>
      <c r="H8" s="3" t="s">
        <v>32</v>
      </c>
      <c r="I8" s="51" t="s">
        <v>2</v>
      </c>
    </row>
    <row r="9" spans="2:9" ht="14.25" customHeight="1">
      <c r="B9" s="2"/>
      <c r="C9" s="2" t="s">
        <v>45</v>
      </c>
      <c r="D9" s="4"/>
      <c r="E9" s="4"/>
      <c r="F9" s="125"/>
      <c r="G9" s="4"/>
      <c r="H9" s="4"/>
      <c r="I9" s="5"/>
    </row>
    <row r="10" spans="1:9" ht="5.25" customHeight="1">
      <c r="A10" s="6"/>
      <c r="B10" s="6"/>
      <c r="C10" s="7"/>
      <c r="D10" s="8"/>
      <c r="E10" s="8"/>
      <c r="F10" s="8"/>
      <c r="G10" s="8"/>
      <c r="H10" s="8"/>
      <c r="I10" s="9"/>
    </row>
    <row r="11" spans="1:9" ht="12.75" customHeight="1">
      <c r="A11" s="10"/>
      <c r="B11" s="11"/>
      <c r="C11" s="15"/>
      <c r="D11" s="12"/>
      <c r="E11" s="53"/>
      <c r="F11" s="54" t="s">
        <v>12</v>
      </c>
      <c r="G11" s="55"/>
      <c r="H11" s="56"/>
      <c r="I11" s="13"/>
    </row>
    <row r="12" spans="1:9" ht="9.75" customHeight="1">
      <c r="A12" s="11"/>
      <c r="B12" s="11" t="s">
        <v>27</v>
      </c>
      <c r="C12" s="11"/>
      <c r="D12" s="12" t="s">
        <v>87</v>
      </c>
      <c r="E12" s="18" t="s">
        <v>71</v>
      </c>
      <c r="F12" s="19" t="s">
        <v>13</v>
      </c>
      <c r="G12" s="18" t="s">
        <v>16</v>
      </c>
      <c r="H12" s="14"/>
      <c r="I12" s="13" t="s">
        <v>6</v>
      </c>
    </row>
    <row r="13" spans="1:9" ht="9.75" customHeight="1">
      <c r="A13" s="11" t="s">
        <v>9</v>
      </c>
      <c r="B13" s="11" t="s">
        <v>28</v>
      </c>
      <c r="C13" s="15" t="s">
        <v>11</v>
      </c>
      <c r="D13" s="12" t="s">
        <v>88</v>
      </c>
      <c r="E13" s="20" t="s">
        <v>72</v>
      </c>
      <c r="F13" s="12" t="s">
        <v>14</v>
      </c>
      <c r="G13" s="12" t="s">
        <v>17</v>
      </c>
      <c r="H13" s="12" t="s">
        <v>18</v>
      </c>
      <c r="I13" s="13" t="s">
        <v>7</v>
      </c>
    </row>
    <row r="14" spans="1:9" ht="9.75" customHeight="1">
      <c r="A14" s="10"/>
      <c r="B14" s="11" t="s">
        <v>29</v>
      </c>
      <c r="C14" s="11"/>
      <c r="D14" s="12" t="s">
        <v>7</v>
      </c>
      <c r="E14" s="20" t="s">
        <v>62</v>
      </c>
      <c r="F14" s="12" t="s">
        <v>15</v>
      </c>
      <c r="G14" s="12"/>
      <c r="H14" s="12"/>
      <c r="I14" s="13"/>
    </row>
    <row r="15" spans="1:9" ht="9.75" customHeight="1">
      <c r="A15" s="10"/>
      <c r="B15" s="11"/>
      <c r="C15" s="11"/>
      <c r="D15" s="12"/>
      <c r="E15" s="20" t="s">
        <v>63</v>
      </c>
      <c r="F15" s="12"/>
      <c r="G15" s="12"/>
      <c r="H15" s="12"/>
      <c r="I15" s="13"/>
    </row>
    <row r="16" spans="1:9" ht="9.75" customHeight="1" thickBot="1">
      <c r="A16" s="21">
        <v>1</v>
      </c>
      <c r="B16" s="22">
        <v>2</v>
      </c>
      <c r="C16" s="22">
        <v>3</v>
      </c>
      <c r="D16" s="23" t="s">
        <v>4</v>
      </c>
      <c r="E16" s="24" t="s">
        <v>5</v>
      </c>
      <c r="F16" s="23" t="s">
        <v>19</v>
      </c>
      <c r="G16" s="23" t="s">
        <v>20</v>
      </c>
      <c r="H16" s="23" t="s">
        <v>21</v>
      </c>
      <c r="I16" s="25" t="s">
        <v>22</v>
      </c>
    </row>
    <row r="17" spans="1:9" s="30" customFormat="1" ht="15.75" customHeight="1">
      <c r="A17" s="127" t="s">
        <v>26</v>
      </c>
      <c r="B17" s="128" t="s">
        <v>38</v>
      </c>
      <c r="C17" s="129" t="s">
        <v>57</v>
      </c>
      <c r="D17" s="130">
        <f>D19+D57</f>
        <v>45391350</v>
      </c>
      <c r="E17" s="130">
        <f>E19+E57</f>
        <v>35057769.050000004</v>
      </c>
      <c r="F17" s="131"/>
      <c r="G17" s="131"/>
      <c r="H17" s="131">
        <f>E17</f>
        <v>35057769.050000004</v>
      </c>
      <c r="I17" s="137">
        <f>D17-E17</f>
        <v>10333580.949999996</v>
      </c>
    </row>
    <row r="18" spans="1:9" ht="15.75" customHeight="1" thickBot="1">
      <c r="A18" s="31" t="s">
        <v>10</v>
      </c>
      <c r="B18" s="32"/>
      <c r="C18" s="33"/>
      <c r="D18" s="34"/>
      <c r="E18" s="34"/>
      <c r="F18" s="35"/>
      <c r="G18" s="35"/>
      <c r="H18" s="35"/>
      <c r="I18" s="58"/>
    </row>
    <row r="19" spans="1:9" s="30" customFormat="1" ht="15.75" customHeight="1" thickBot="1">
      <c r="A19" s="133" t="s">
        <v>98</v>
      </c>
      <c r="B19" s="132"/>
      <c r="C19" s="135"/>
      <c r="D19" s="131">
        <f>SUM(D20:D56)</f>
        <v>3008210</v>
      </c>
      <c r="E19" s="130">
        <f>SUM(E20:E56)</f>
        <v>1993119.2600000005</v>
      </c>
      <c r="F19" s="131"/>
      <c r="G19" s="131"/>
      <c r="H19" s="131">
        <f aca="true" t="shared" si="0" ref="H19:H65">E19</f>
        <v>1993119.2600000005</v>
      </c>
      <c r="I19" s="137">
        <f aca="true" t="shared" si="1" ref="I19:I62">D19-E19</f>
        <v>1015090.7399999995</v>
      </c>
    </row>
    <row r="20" spans="1:9" ht="15.75" customHeight="1" thickBot="1">
      <c r="A20" s="116" t="s">
        <v>160</v>
      </c>
      <c r="B20" s="32"/>
      <c r="C20" s="59" t="s">
        <v>197</v>
      </c>
      <c r="D20" s="138">
        <v>1529000</v>
      </c>
      <c r="E20" s="34">
        <v>1283465.33</v>
      </c>
      <c r="F20" s="35">
        <f>D20-E20-E21-E22-E23-E24</f>
        <v>237119.22999999992</v>
      </c>
      <c r="G20" s="35"/>
      <c r="H20" s="29">
        <f t="shared" si="0"/>
        <v>1283465.33</v>
      </c>
      <c r="I20" s="57">
        <f t="shared" si="1"/>
        <v>245534.66999999993</v>
      </c>
    </row>
    <row r="21" spans="1:9" ht="15.75" customHeight="1" thickBot="1">
      <c r="A21" s="116" t="s">
        <v>160</v>
      </c>
      <c r="B21" s="32"/>
      <c r="C21" s="59" t="s">
        <v>198</v>
      </c>
      <c r="D21" s="34"/>
      <c r="E21" s="34">
        <v>241.5</v>
      </c>
      <c r="F21" s="35"/>
      <c r="G21" s="35"/>
      <c r="H21" s="29">
        <f t="shared" si="0"/>
        <v>241.5</v>
      </c>
      <c r="I21" s="57">
        <f t="shared" si="1"/>
        <v>-241.5</v>
      </c>
    </row>
    <row r="22" spans="1:9" ht="15.75" customHeight="1" thickBot="1">
      <c r="A22" s="116" t="s">
        <v>160</v>
      </c>
      <c r="B22" s="32"/>
      <c r="C22" s="59" t="s">
        <v>226</v>
      </c>
      <c r="D22" s="34"/>
      <c r="E22" s="34">
        <v>4842.1</v>
      </c>
      <c r="F22" s="35"/>
      <c r="G22" s="35"/>
      <c r="H22" s="29">
        <f t="shared" si="0"/>
        <v>4842.1</v>
      </c>
      <c r="I22" s="57">
        <f aca="true" t="shared" si="2" ref="I22:I27">D22-E22</f>
        <v>-4842.1</v>
      </c>
    </row>
    <row r="23" spans="1:9" ht="15.75" customHeight="1" thickBot="1">
      <c r="A23" s="116" t="s">
        <v>160</v>
      </c>
      <c r="B23" s="32"/>
      <c r="C23" s="59" t="s">
        <v>214</v>
      </c>
      <c r="D23" s="34"/>
      <c r="E23" s="34">
        <v>3119.31</v>
      </c>
      <c r="F23" s="35"/>
      <c r="G23" s="35"/>
      <c r="H23" s="29">
        <f t="shared" si="0"/>
        <v>3119.31</v>
      </c>
      <c r="I23" s="57">
        <f t="shared" si="2"/>
        <v>-3119.31</v>
      </c>
    </row>
    <row r="24" spans="1:9" ht="15.75" customHeight="1" thickBot="1">
      <c r="A24" s="116" t="s">
        <v>160</v>
      </c>
      <c r="B24" s="32"/>
      <c r="C24" s="59" t="s">
        <v>215</v>
      </c>
      <c r="D24" s="34"/>
      <c r="E24" s="34">
        <v>212.53</v>
      </c>
      <c r="F24" s="35"/>
      <c r="G24" s="35"/>
      <c r="H24" s="29">
        <f t="shared" si="0"/>
        <v>212.53</v>
      </c>
      <c r="I24" s="57">
        <f t="shared" si="2"/>
        <v>-212.53</v>
      </c>
    </row>
    <row r="25" spans="1:9" ht="26.25" customHeight="1" thickBot="1">
      <c r="A25" s="116" t="s">
        <v>204</v>
      </c>
      <c r="B25" s="32"/>
      <c r="C25" s="59" t="s">
        <v>203</v>
      </c>
      <c r="D25" s="34"/>
      <c r="E25" s="34">
        <v>258.5</v>
      </c>
      <c r="F25" s="35"/>
      <c r="G25" s="35"/>
      <c r="H25" s="29">
        <f t="shared" si="0"/>
        <v>258.5</v>
      </c>
      <c r="I25" s="57">
        <f t="shared" si="2"/>
        <v>-258.5</v>
      </c>
    </row>
    <row r="26" spans="1:9" ht="31.5" customHeight="1" thickBot="1">
      <c r="A26" s="116" t="s">
        <v>204</v>
      </c>
      <c r="B26" s="32"/>
      <c r="C26" s="59" t="s">
        <v>199</v>
      </c>
      <c r="D26" s="34"/>
      <c r="E26" s="34">
        <v>0.49</v>
      </c>
      <c r="F26" s="35"/>
      <c r="G26" s="35"/>
      <c r="H26" s="29">
        <f t="shared" si="0"/>
        <v>0.49</v>
      </c>
      <c r="I26" s="57">
        <f t="shared" si="2"/>
        <v>-0.49</v>
      </c>
    </row>
    <row r="27" spans="1:9" ht="31.5" customHeight="1" thickBot="1">
      <c r="A27" s="116" t="s">
        <v>204</v>
      </c>
      <c r="B27" s="32"/>
      <c r="C27" s="59" t="s">
        <v>205</v>
      </c>
      <c r="D27" s="34"/>
      <c r="E27" s="34">
        <v>50</v>
      </c>
      <c r="F27" s="35"/>
      <c r="G27" s="35"/>
      <c r="H27" s="29">
        <f t="shared" si="0"/>
        <v>50</v>
      </c>
      <c r="I27" s="57">
        <f t="shared" si="2"/>
        <v>-50</v>
      </c>
    </row>
    <row r="28" spans="1:9" ht="27.75" customHeight="1" thickBot="1">
      <c r="A28" s="116" t="s">
        <v>161</v>
      </c>
      <c r="B28" s="32"/>
      <c r="C28" s="59" t="s">
        <v>163</v>
      </c>
      <c r="D28" s="34"/>
      <c r="E28" s="154"/>
      <c r="F28" s="35"/>
      <c r="G28" s="35"/>
      <c r="H28" s="29">
        <f t="shared" si="0"/>
        <v>0</v>
      </c>
      <c r="I28" s="57">
        <f t="shared" si="1"/>
        <v>0</v>
      </c>
    </row>
    <row r="29" spans="1:9" ht="15.75" customHeight="1" thickBot="1">
      <c r="A29" s="116" t="s">
        <v>165</v>
      </c>
      <c r="B29" s="32"/>
      <c r="C29" s="59" t="s">
        <v>166</v>
      </c>
      <c r="D29" s="34"/>
      <c r="E29" s="34"/>
      <c r="F29" s="35"/>
      <c r="G29" s="35"/>
      <c r="H29" s="29">
        <f t="shared" si="0"/>
        <v>0</v>
      </c>
      <c r="I29" s="57">
        <f>D29-E29</f>
        <v>0</v>
      </c>
    </row>
    <row r="30" spans="1:9" ht="15.75" customHeight="1" thickBot="1">
      <c r="A30" s="116" t="s">
        <v>165</v>
      </c>
      <c r="B30" s="32"/>
      <c r="C30" s="59" t="s">
        <v>167</v>
      </c>
      <c r="D30" s="34"/>
      <c r="E30" s="34"/>
      <c r="F30" s="35"/>
      <c r="G30" s="35"/>
      <c r="H30" s="29">
        <f t="shared" si="0"/>
        <v>0</v>
      </c>
      <c r="I30" s="57">
        <f>D30-E30</f>
        <v>0</v>
      </c>
    </row>
    <row r="31" spans="1:9" ht="15.75" customHeight="1" thickBot="1">
      <c r="A31" s="116" t="s">
        <v>165</v>
      </c>
      <c r="B31" s="32"/>
      <c r="C31" s="59" t="s">
        <v>164</v>
      </c>
      <c r="D31" s="138"/>
      <c r="E31" s="35"/>
      <c r="F31" s="35"/>
      <c r="G31" s="35"/>
      <c r="H31" s="29">
        <f t="shared" si="0"/>
        <v>0</v>
      </c>
      <c r="I31" s="57">
        <f>D31-E31</f>
        <v>0</v>
      </c>
    </row>
    <row r="32" spans="1:9" ht="15.75" customHeight="1" thickBot="1">
      <c r="A32" s="116" t="s">
        <v>131</v>
      </c>
      <c r="B32" s="36"/>
      <c r="C32" s="59" t="s">
        <v>138</v>
      </c>
      <c r="D32" s="34">
        <v>15000</v>
      </c>
      <c r="E32" s="34">
        <v>2525.96</v>
      </c>
      <c r="F32" s="35"/>
      <c r="G32" s="35"/>
      <c r="H32" s="29">
        <f t="shared" si="0"/>
        <v>2525.96</v>
      </c>
      <c r="I32" s="57">
        <f t="shared" si="1"/>
        <v>12474.04</v>
      </c>
    </row>
    <row r="33" spans="1:9" ht="15.75" customHeight="1" thickBot="1">
      <c r="A33" s="116" t="s">
        <v>131</v>
      </c>
      <c r="B33" s="36"/>
      <c r="C33" s="59" t="s">
        <v>137</v>
      </c>
      <c r="D33" s="34"/>
      <c r="E33" s="34">
        <v>8.24</v>
      </c>
      <c r="F33" s="35"/>
      <c r="G33" s="35"/>
      <c r="H33" s="29">
        <f t="shared" si="0"/>
        <v>8.24</v>
      </c>
      <c r="I33" s="57">
        <f t="shared" si="1"/>
        <v>-8.24</v>
      </c>
    </row>
    <row r="34" spans="1:9" ht="15.75" customHeight="1" thickBot="1">
      <c r="A34" s="116" t="s">
        <v>131</v>
      </c>
      <c r="B34" s="36"/>
      <c r="C34" s="59" t="s">
        <v>147</v>
      </c>
      <c r="D34" s="34"/>
      <c r="E34" s="34"/>
      <c r="F34" s="35"/>
      <c r="G34" s="35"/>
      <c r="H34" s="29">
        <f t="shared" si="0"/>
        <v>0</v>
      </c>
      <c r="I34" s="57">
        <f t="shared" si="1"/>
        <v>0</v>
      </c>
    </row>
    <row r="35" spans="1:9" ht="15.75" customHeight="1" thickBot="1">
      <c r="A35" s="116" t="s">
        <v>132</v>
      </c>
      <c r="B35" s="36"/>
      <c r="C35" s="59" t="s">
        <v>139</v>
      </c>
      <c r="D35" s="34"/>
      <c r="E35" s="34"/>
      <c r="F35" s="35"/>
      <c r="G35" s="35"/>
      <c r="H35" s="29">
        <f t="shared" si="0"/>
        <v>0</v>
      </c>
      <c r="I35" s="57">
        <f t="shared" si="1"/>
        <v>0</v>
      </c>
    </row>
    <row r="36" spans="1:9" ht="15.75" customHeight="1" thickBot="1">
      <c r="A36" s="116" t="s">
        <v>132</v>
      </c>
      <c r="B36" s="36"/>
      <c r="C36" s="59" t="s">
        <v>140</v>
      </c>
      <c r="D36" s="34"/>
      <c r="E36" s="34"/>
      <c r="F36" s="35"/>
      <c r="G36" s="35"/>
      <c r="H36" s="29">
        <f t="shared" si="0"/>
        <v>0</v>
      </c>
      <c r="I36" s="57">
        <f t="shared" si="1"/>
        <v>0</v>
      </c>
    </row>
    <row r="37" spans="1:9" ht="15.75" customHeight="1" thickBot="1">
      <c r="A37" s="116" t="s">
        <v>99</v>
      </c>
      <c r="B37" s="36"/>
      <c r="C37" s="59" t="s">
        <v>141</v>
      </c>
      <c r="D37" s="34">
        <v>44000</v>
      </c>
      <c r="E37" s="34">
        <v>29036.32</v>
      </c>
      <c r="F37" s="35"/>
      <c r="G37" s="35"/>
      <c r="H37" s="29">
        <f t="shared" si="0"/>
        <v>29036.32</v>
      </c>
      <c r="I37" s="57">
        <f t="shared" si="1"/>
        <v>14963.68</v>
      </c>
    </row>
    <row r="38" spans="1:9" ht="15.75" customHeight="1" thickBot="1">
      <c r="A38" s="116" t="s">
        <v>99</v>
      </c>
      <c r="B38" s="36"/>
      <c r="C38" s="59" t="s">
        <v>142</v>
      </c>
      <c r="D38" s="34"/>
      <c r="E38" s="34"/>
      <c r="F38" s="35"/>
      <c r="G38" s="35"/>
      <c r="H38" s="29">
        <f t="shared" si="0"/>
        <v>0</v>
      </c>
      <c r="I38" s="57">
        <f t="shared" si="1"/>
        <v>0</v>
      </c>
    </row>
    <row r="39" spans="1:9" ht="15.75" customHeight="1" thickBot="1">
      <c r="A39" s="116" t="s">
        <v>100</v>
      </c>
      <c r="B39" s="36"/>
      <c r="C39" s="59" t="s">
        <v>143</v>
      </c>
      <c r="D39" s="34">
        <v>15000</v>
      </c>
      <c r="E39" s="34"/>
      <c r="F39" s="35"/>
      <c r="G39" s="35"/>
      <c r="H39" s="29">
        <f t="shared" si="0"/>
        <v>0</v>
      </c>
      <c r="I39" s="57">
        <f t="shared" si="1"/>
        <v>15000</v>
      </c>
    </row>
    <row r="40" spans="1:9" ht="15.75" customHeight="1" thickBot="1">
      <c r="A40" s="116" t="s">
        <v>100</v>
      </c>
      <c r="B40" s="36"/>
      <c r="C40" s="59" t="s">
        <v>196</v>
      </c>
      <c r="D40" s="34"/>
      <c r="E40" s="34">
        <v>48133.36</v>
      </c>
      <c r="F40" s="35"/>
      <c r="G40" s="35"/>
      <c r="H40" s="29">
        <f t="shared" si="0"/>
        <v>48133.36</v>
      </c>
      <c r="I40" s="57">
        <f t="shared" si="1"/>
        <v>-48133.36</v>
      </c>
    </row>
    <row r="41" spans="1:9" ht="15.75" customHeight="1" thickBot="1">
      <c r="A41" s="116" t="s">
        <v>157</v>
      </c>
      <c r="B41" s="36"/>
      <c r="C41" s="59" t="s">
        <v>168</v>
      </c>
      <c r="D41" s="34">
        <v>216000</v>
      </c>
      <c r="E41" s="34">
        <v>112955.43</v>
      </c>
      <c r="F41" s="35"/>
      <c r="G41" s="35"/>
      <c r="H41" s="29">
        <f t="shared" si="0"/>
        <v>112955.43</v>
      </c>
      <c r="I41" s="57">
        <f t="shared" si="1"/>
        <v>103044.57</v>
      </c>
    </row>
    <row r="42" spans="1:9" ht="15.75" customHeight="1" thickBot="1">
      <c r="A42" s="116" t="s">
        <v>174</v>
      </c>
      <c r="B42" s="36"/>
      <c r="C42" s="59" t="s">
        <v>175</v>
      </c>
      <c r="D42" s="34">
        <v>60000</v>
      </c>
      <c r="E42" s="34">
        <v>34608.79</v>
      </c>
      <c r="F42" s="35"/>
      <c r="G42" s="35"/>
      <c r="H42" s="29">
        <f t="shared" si="0"/>
        <v>34608.79</v>
      </c>
      <c r="I42" s="57">
        <f t="shared" si="1"/>
        <v>25391.21</v>
      </c>
    </row>
    <row r="43" spans="1:9" ht="15.75" customHeight="1" thickBot="1">
      <c r="A43" s="116" t="s">
        <v>202</v>
      </c>
      <c r="B43" s="36"/>
      <c r="C43" s="59" t="s">
        <v>208</v>
      </c>
      <c r="D43" s="34">
        <v>100000</v>
      </c>
      <c r="E43" s="34">
        <v>78355</v>
      </c>
      <c r="F43" s="35"/>
      <c r="G43" s="35"/>
      <c r="H43" s="29">
        <f t="shared" si="0"/>
        <v>78355</v>
      </c>
      <c r="I43" s="57">
        <f t="shared" si="1"/>
        <v>21645</v>
      </c>
    </row>
    <row r="44" spans="1:9" ht="21" thickBot="1">
      <c r="A44" s="116" t="s">
        <v>207</v>
      </c>
      <c r="B44" s="36"/>
      <c r="C44" s="59" t="s">
        <v>227</v>
      </c>
      <c r="D44" s="34"/>
      <c r="E44" s="34">
        <v>6688.72</v>
      </c>
      <c r="F44" s="35"/>
      <c r="G44" s="35"/>
      <c r="H44" s="29">
        <f t="shared" si="0"/>
        <v>6688.72</v>
      </c>
      <c r="I44" s="57">
        <f t="shared" si="1"/>
        <v>-6688.72</v>
      </c>
    </row>
    <row r="45" spans="1:9" ht="13.5" thickBot="1">
      <c r="A45" s="116" t="s">
        <v>154</v>
      </c>
      <c r="B45" s="36"/>
      <c r="C45" s="59" t="s">
        <v>210</v>
      </c>
      <c r="D45" s="34">
        <v>3000</v>
      </c>
      <c r="E45" s="34">
        <v>5575.27</v>
      </c>
      <c r="F45" s="35"/>
      <c r="G45" s="35"/>
      <c r="H45" s="29">
        <f t="shared" si="0"/>
        <v>5575.27</v>
      </c>
      <c r="I45" s="57">
        <f t="shared" si="1"/>
        <v>-2575.2700000000004</v>
      </c>
    </row>
    <row r="46" spans="1:9" ht="13.5" thickBot="1">
      <c r="A46" s="116" t="s">
        <v>154</v>
      </c>
      <c r="B46" s="36"/>
      <c r="C46" s="59" t="s">
        <v>209</v>
      </c>
      <c r="D46" s="34"/>
      <c r="E46" s="34">
        <v>0</v>
      </c>
      <c r="F46" s="35"/>
      <c r="G46" s="35"/>
      <c r="H46" s="29">
        <f t="shared" si="0"/>
        <v>0</v>
      </c>
      <c r="I46" s="57">
        <f t="shared" si="1"/>
        <v>0</v>
      </c>
    </row>
    <row r="47" spans="1:9" ht="13.5" thickBot="1">
      <c r="A47" s="116" t="s">
        <v>216</v>
      </c>
      <c r="B47" s="36"/>
      <c r="C47" s="59" t="s">
        <v>217</v>
      </c>
      <c r="D47" s="34">
        <v>880210</v>
      </c>
      <c r="E47" s="34">
        <v>246987</v>
      </c>
      <c r="F47" s="35"/>
      <c r="G47" s="35"/>
      <c r="H47" s="29">
        <f t="shared" si="0"/>
        <v>246987</v>
      </c>
      <c r="I47" s="57">
        <f>D47-E47</f>
        <v>633223</v>
      </c>
    </row>
    <row r="48" spans="1:9" ht="14.25" customHeight="1" thickBot="1">
      <c r="A48" s="116" t="s">
        <v>162</v>
      </c>
      <c r="B48" s="36"/>
      <c r="C48" s="59" t="s">
        <v>220</v>
      </c>
      <c r="D48" s="34">
        <v>124000</v>
      </c>
      <c r="E48" s="34">
        <v>84000</v>
      </c>
      <c r="F48" s="35"/>
      <c r="G48" s="35"/>
      <c r="H48" s="29">
        <f t="shared" si="0"/>
        <v>84000</v>
      </c>
      <c r="I48" s="57">
        <f t="shared" si="1"/>
        <v>40000</v>
      </c>
    </row>
    <row r="49" spans="1:9" ht="15.75" customHeight="1" thickBot="1">
      <c r="A49" s="116" t="s">
        <v>144</v>
      </c>
      <c r="B49" s="36"/>
      <c r="C49" s="59" t="s">
        <v>206</v>
      </c>
      <c r="D49" s="34"/>
      <c r="E49" s="34">
        <v>2887.5</v>
      </c>
      <c r="F49" s="35"/>
      <c r="G49" s="35"/>
      <c r="H49" s="29">
        <f t="shared" si="0"/>
        <v>2887.5</v>
      </c>
      <c r="I49" s="57">
        <f>D49-E49</f>
        <v>-2887.5</v>
      </c>
    </row>
    <row r="50" spans="1:9" ht="15.75" customHeight="1" thickBot="1">
      <c r="A50" s="116" t="s">
        <v>144</v>
      </c>
      <c r="B50" s="36"/>
      <c r="C50" s="59" t="s">
        <v>200</v>
      </c>
      <c r="D50" s="34"/>
      <c r="E50" s="34">
        <v>-2.25</v>
      </c>
      <c r="F50" s="35"/>
      <c r="G50" s="35"/>
      <c r="H50" s="29">
        <f t="shared" si="0"/>
        <v>-2.25</v>
      </c>
      <c r="I50" s="57">
        <f t="shared" si="1"/>
        <v>2.25</v>
      </c>
    </row>
    <row r="51" spans="1:9" ht="15.75" customHeight="1" thickBot="1">
      <c r="A51" s="116" t="s">
        <v>144</v>
      </c>
      <c r="B51" s="36"/>
      <c r="C51" s="59" t="s">
        <v>201</v>
      </c>
      <c r="D51" s="34">
        <v>3000</v>
      </c>
      <c r="E51" s="34">
        <v>5.61</v>
      </c>
      <c r="F51" s="35"/>
      <c r="G51" s="35"/>
      <c r="H51" s="29">
        <f t="shared" si="0"/>
        <v>5.61</v>
      </c>
      <c r="I51" s="57">
        <f>D51-E51</f>
        <v>2994.39</v>
      </c>
    </row>
    <row r="52" spans="1:9" ht="15.75" customHeight="1" thickBot="1">
      <c r="A52" s="116" t="s">
        <v>156</v>
      </c>
      <c r="B52" s="36"/>
      <c r="C52" s="59" t="s">
        <v>169</v>
      </c>
      <c r="D52" s="34">
        <v>7000</v>
      </c>
      <c r="E52" s="34">
        <v>8000</v>
      </c>
      <c r="F52" s="35"/>
      <c r="G52" s="35"/>
      <c r="H52" s="29">
        <f t="shared" si="0"/>
        <v>8000</v>
      </c>
      <c r="I52" s="57">
        <f t="shared" si="1"/>
        <v>-1000</v>
      </c>
    </row>
    <row r="53" spans="1:9" ht="15.75" customHeight="1" thickBot="1">
      <c r="A53" s="116" t="s">
        <v>156</v>
      </c>
      <c r="B53" s="36"/>
      <c r="C53" s="59" t="s">
        <v>170</v>
      </c>
      <c r="D53" s="34"/>
      <c r="E53" s="34"/>
      <c r="F53" s="35"/>
      <c r="G53" s="35"/>
      <c r="H53" s="29">
        <f t="shared" si="0"/>
        <v>0</v>
      </c>
      <c r="I53" s="57">
        <f>D53-E53</f>
        <v>0</v>
      </c>
    </row>
    <row r="54" spans="1:9" ht="25.5" customHeight="1" thickBot="1">
      <c r="A54" s="116" t="s">
        <v>221</v>
      </c>
      <c r="B54" s="36"/>
      <c r="C54" s="59" t="s">
        <v>222</v>
      </c>
      <c r="D54" s="34"/>
      <c r="E54" s="34">
        <v>29164.55</v>
      </c>
      <c r="F54" s="35"/>
      <c r="G54" s="35"/>
      <c r="H54" s="29">
        <f t="shared" si="0"/>
        <v>29164.55</v>
      </c>
      <c r="I54" s="57">
        <f>D54-E54</f>
        <v>-29164.55</v>
      </c>
    </row>
    <row r="55" spans="1:9" ht="25.5" customHeight="1" thickBot="1">
      <c r="A55" s="116" t="s">
        <v>211</v>
      </c>
      <c r="B55" s="36"/>
      <c r="C55" s="59" t="s">
        <v>225</v>
      </c>
      <c r="D55" s="34">
        <v>12000</v>
      </c>
      <c r="E55" s="34">
        <v>12000</v>
      </c>
      <c r="F55" s="35"/>
      <c r="G55" s="35"/>
      <c r="H55" s="29">
        <f t="shared" si="0"/>
        <v>12000</v>
      </c>
      <c r="I55" s="57">
        <f>D55-E55</f>
        <v>0</v>
      </c>
    </row>
    <row r="56" spans="1:9" ht="25.5" customHeight="1" thickBot="1">
      <c r="A56" s="116" t="s">
        <v>194</v>
      </c>
      <c r="B56" s="36"/>
      <c r="C56" s="59" t="s">
        <v>186</v>
      </c>
      <c r="D56" s="34"/>
      <c r="E56" s="34">
        <v>0</v>
      </c>
      <c r="F56" s="35"/>
      <c r="G56" s="35"/>
      <c r="H56" s="29">
        <f t="shared" si="0"/>
        <v>0</v>
      </c>
      <c r="I56" s="57">
        <f>D56-E56</f>
        <v>0</v>
      </c>
    </row>
    <row r="57" spans="1:9" s="37" customFormat="1" ht="26.25" customHeight="1" thickBot="1">
      <c r="A57" s="133" t="s">
        <v>148</v>
      </c>
      <c r="B57" s="136"/>
      <c r="C57" s="135"/>
      <c r="D57" s="130">
        <f>D58+D59+D60+D61+D62</f>
        <v>42383140</v>
      </c>
      <c r="E57" s="130">
        <f>E58+E59+E60+E61+E62+E66+E67+E65</f>
        <v>33064649.790000003</v>
      </c>
      <c r="F57" s="134"/>
      <c r="G57" s="134"/>
      <c r="H57" s="131">
        <f t="shared" si="0"/>
        <v>33064649.790000003</v>
      </c>
      <c r="I57" s="137">
        <f>D57-E57</f>
        <v>9318490.209999997</v>
      </c>
    </row>
    <row r="58" spans="1:9" s="119" customFormat="1" ht="37.5" customHeight="1" thickBot="1">
      <c r="A58" s="126" t="s">
        <v>101</v>
      </c>
      <c r="B58" s="36"/>
      <c r="C58" s="139" t="s">
        <v>176</v>
      </c>
      <c r="D58" s="117">
        <v>4175800</v>
      </c>
      <c r="E58" s="117">
        <v>3340050</v>
      </c>
      <c r="F58" s="118"/>
      <c r="G58" s="118"/>
      <c r="H58" s="29">
        <f t="shared" si="0"/>
        <v>3340050</v>
      </c>
      <c r="I58" s="57">
        <f t="shared" si="1"/>
        <v>835750</v>
      </c>
    </row>
    <row r="59" spans="1:9" s="119" customFormat="1" ht="41.25" customHeight="1" thickBot="1">
      <c r="A59" s="126" t="s">
        <v>158</v>
      </c>
      <c r="B59" s="140"/>
      <c r="C59" s="139" t="s">
        <v>177</v>
      </c>
      <c r="D59" s="117">
        <v>37134210</v>
      </c>
      <c r="E59" s="149">
        <v>28712489.87</v>
      </c>
      <c r="F59" s="118"/>
      <c r="G59" s="118"/>
      <c r="H59" s="29">
        <f t="shared" si="0"/>
        <v>28712489.87</v>
      </c>
      <c r="I59" s="57">
        <f t="shared" si="1"/>
        <v>8421720.129999999</v>
      </c>
    </row>
    <row r="60" spans="1:9" s="119" customFormat="1" ht="27" customHeight="1" thickBot="1">
      <c r="A60" s="141" t="s">
        <v>102</v>
      </c>
      <c r="B60" s="142"/>
      <c r="C60" s="143" t="s">
        <v>180</v>
      </c>
      <c r="D60" s="144">
        <v>210100</v>
      </c>
      <c r="E60" s="150">
        <v>210100</v>
      </c>
      <c r="F60" s="122"/>
      <c r="G60" s="122"/>
      <c r="H60" s="29">
        <f t="shared" si="0"/>
        <v>210100</v>
      </c>
      <c r="I60" s="57">
        <f t="shared" si="1"/>
        <v>0</v>
      </c>
    </row>
    <row r="61" spans="1:9" s="119" customFormat="1" ht="30.75" customHeight="1" thickBot="1">
      <c r="A61" s="126" t="s">
        <v>150</v>
      </c>
      <c r="B61" s="142"/>
      <c r="C61" s="145" t="s">
        <v>178</v>
      </c>
      <c r="D61" s="122">
        <v>13800</v>
      </c>
      <c r="E61" s="151">
        <v>13800</v>
      </c>
      <c r="F61" s="122"/>
      <c r="G61" s="122"/>
      <c r="H61" s="29">
        <f t="shared" si="0"/>
        <v>13800</v>
      </c>
      <c r="I61" s="57">
        <f t="shared" si="1"/>
        <v>0</v>
      </c>
    </row>
    <row r="62" spans="1:9" s="119" customFormat="1" ht="30.75" customHeight="1" thickBot="1">
      <c r="A62" s="126" t="s">
        <v>153</v>
      </c>
      <c r="B62" s="146"/>
      <c r="C62" s="145" t="s">
        <v>179</v>
      </c>
      <c r="D62" s="122">
        <v>849230</v>
      </c>
      <c r="E62" s="151">
        <v>794898.64</v>
      </c>
      <c r="F62" s="122"/>
      <c r="G62" s="122"/>
      <c r="H62" s="29">
        <f t="shared" si="0"/>
        <v>794898.64</v>
      </c>
      <c r="I62" s="57">
        <f t="shared" si="1"/>
        <v>54331.359999999986</v>
      </c>
    </row>
    <row r="63" spans="1:9" s="119" customFormat="1" ht="30.75" customHeight="1" thickBot="1">
      <c r="A63" s="126" t="s">
        <v>182</v>
      </c>
      <c r="B63" s="146"/>
      <c r="C63" s="145" t="s">
        <v>181</v>
      </c>
      <c r="D63" s="122">
        <v>0</v>
      </c>
      <c r="E63" s="151">
        <v>0</v>
      </c>
      <c r="F63" s="122"/>
      <c r="G63" s="122"/>
      <c r="H63" s="29">
        <f t="shared" si="0"/>
        <v>0</v>
      </c>
      <c r="I63" s="57">
        <f>D63-E63</f>
        <v>0</v>
      </c>
    </row>
    <row r="64" spans="1:9" s="119" customFormat="1" ht="93" customHeight="1" thickBot="1">
      <c r="A64" s="126" t="s">
        <v>183</v>
      </c>
      <c r="B64" s="146"/>
      <c r="C64" s="145" t="s">
        <v>184</v>
      </c>
      <c r="D64" s="122">
        <v>0</v>
      </c>
      <c r="E64" s="151"/>
      <c r="F64" s="122"/>
      <c r="G64" s="122"/>
      <c r="H64" s="29">
        <f t="shared" si="0"/>
        <v>0</v>
      </c>
      <c r="I64" s="57">
        <f>D64-E64</f>
        <v>0</v>
      </c>
    </row>
    <row r="65" spans="1:9" s="119" customFormat="1" ht="30.75" customHeight="1" thickBot="1">
      <c r="A65" s="126" t="s">
        <v>212</v>
      </c>
      <c r="B65" s="146"/>
      <c r="C65" s="145" t="s">
        <v>213</v>
      </c>
      <c r="D65" s="122">
        <v>0</v>
      </c>
      <c r="E65" s="151">
        <v>-6688.72</v>
      </c>
      <c r="F65" s="122"/>
      <c r="G65" s="122"/>
      <c r="H65" s="29">
        <f t="shared" si="0"/>
        <v>-6688.72</v>
      </c>
      <c r="I65" s="57">
        <f>D65-E65</f>
        <v>6688.72</v>
      </c>
    </row>
    <row r="66" spans="1:9" s="119" customFormat="1" ht="36.75" customHeight="1" thickBot="1">
      <c r="A66" s="126" t="s">
        <v>193</v>
      </c>
      <c r="B66" s="146"/>
      <c r="C66" s="145" t="s">
        <v>195</v>
      </c>
      <c r="D66" s="122">
        <v>0</v>
      </c>
      <c r="E66" s="152">
        <v>0</v>
      </c>
      <c r="F66" s="122"/>
      <c r="G66" s="122"/>
      <c r="H66" s="29"/>
      <c r="I66" s="57"/>
    </row>
    <row r="67" spans="1:9" s="119" customFormat="1" ht="47.25" customHeight="1">
      <c r="A67" s="126" t="s">
        <v>192</v>
      </c>
      <c r="B67" s="146"/>
      <c r="C67" s="145" t="s">
        <v>191</v>
      </c>
      <c r="D67" s="122">
        <v>0</v>
      </c>
      <c r="E67" s="153">
        <v>0</v>
      </c>
      <c r="F67" s="122"/>
      <c r="G67" s="122"/>
      <c r="H67" s="29">
        <f>E67</f>
        <v>0</v>
      </c>
      <c r="I67" s="57">
        <f>D67-E67</f>
        <v>0</v>
      </c>
    </row>
    <row r="68" spans="1:9" s="119" customFormat="1" ht="403.5" customHeight="1">
      <c r="A68" s="60"/>
      <c r="B68" s="121"/>
      <c r="C68" s="147"/>
      <c r="D68" s="123"/>
      <c r="E68" s="148"/>
      <c r="F68" s="123"/>
      <c r="G68" s="123"/>
      <c r="H68" s="124"/>
      <c r="I68" s="124"/>
    </row>
    <row r="69" spans="1:9" ht="33" customHeight="1" hidden="1">
      <c r="A69" s="62" t="s">
        <v>60</v>
      </c>
      <c r="B69" s="63"/>
      <c r="C69" s="64"/>
      <c r="D69" s="65"/>
      <c r="E69" s="65"/>
      <c r="F69" s="65"/>
      <c r="G69" s="65"/>
      <c r="H69" s="66"/>
      <c r="I69" s="65"/>
    </row>
    <row r="70" spans="1:9" ht="27" customHeight="1" hidden="1">
      <c r="A70" s="62"/>
      <c r="B70" s="63"/>
      <c r="C70" s="64"/>
      <c r="D70" s="65"/>
      <c r="E70" s="65"/>
      <c r="F70" s="65"/>
      <c r="G70" s="65"/>
      <c r="H70" s="66"/>
      <c r="I70" s="65"/>
    </row>
    <row r="71" spans="2:9" ht="210" customHeight="1">
      <c r="B71" s="2" t="s">
        <v>48</v>
      </c>
      <c r="C71" s="3"/>
      <c r="D71" s="4"/>
      <c r="E71" s="4"/>
      <c r="F71" s="4"/>
      <c r="G71" s="4"/>
      <c r="I71" s="66" t="s">
        <v>61</v>
      </c>
    </row>
    <row r="72" spans="1:9" ht="16.5" customHeight="1">
      <c r="A72" s="6"/>
      <c r="B72" s="68"/>
      <c r="C72" s="7"/>
      <c r="D72" s="8"/>
      <c r="E72" s="8"/>
      <c r="F72" s="8"/>
      <c r="G72" s="8"/>
      <c r="H72" s="8"/>
      <c r="I72" s="9"/>
    </row>
    <row r="73" spans="1:9" ht="10.5" customHeight="1">
      <c r="A73" s="10"/>
      <c r="B73" s="11"/>
      <c r="C73" s="15"/>
      <c r="D73" s="12"/>
      <c r="E73" s="53"/>
      <c r="F73" s="54" t="s">
        <v>12</v>
      </c>
      <c r="G73" s="55"/>
      <c r="H73" s="56"/>
      <c r="I73" s="13"/>
    </row>
    <row r="74" spans="1:9" ht="10.5" customHeight="1">
      <c r="A74" s="69"/>
      <c r="B74" s="11" t="s">
        <v>27</v>
      </c>
      <c r="C74" s="11" t="s">
        <v>23</v>
      </c>
      <c r="D74" s="12" t="s">
        <v>87</v>
      </c>
      <c r="E74" s="18" t="s">
        <v>71</v>
      </c>
      <c r="F74" s="19" t="s">
        <v>13</v>
      </c>
      <c r="G74" s="18" t="s">
        <v>16</v>
      </c>
      <c r="H74" s="14"/>
      <c r="I74" s="13" t="s">
        <v>6</v>
      </c>
    </row>
    <row r="75" spans="1:9" ht="9.75" customHeight="1">
      <c r="A75" s="11" t="s">
        <v>9</v>
      </c>
      <c r="B75" s="11" t="s">
        <v>28</v>
      </c>
      <c r="C75" s="15" t="s">
        <v>24</v>
      </c>
      <c r="D75" s="12" t="s">
        <v>88</v>
      </c>
      <c r="E75" s="20" t="s">
        <v>72</v>
      </c>
      <c r="F75" s="12" t="s">
        <v>14</v>
      </c>
      <c r="G75" s="12" t="s">
        <v>17</v>
      </c>
      <c r="H75" s="12" t="s">
        <v>18</v>
      </c>
      <c r="I75" s="13" t="s">
        <v>7</v>
      </c>
    </row>
    <row r="76" spans="1:9" ht="10.5" customHeight="1">
      <c r="A76" s="10"/>
      <c r="B76" s="11" t="s">
        <v>29</v>
      </c>
      <c r="C76" s="11" t="s">
        <v>25</v>
      </c>
      <c r="D76" s="12" t="s">
        <v>7</v>
      </c>
      <c r="E76" s="20" t="s">
        <v>62</v>
      </c>
      <c r="F76" s="12" t="s">
        <v>15</v>
      </c>
      <c r="G76" s="12"/>
      <c r="H76" s="12"/>
      <c r="I76" s="13"/>
    </row>
    <row r="77" spans="1:9" ht="9.75" customHeight="1">
      <c r="A77" s="10"/>
      <c r="B77" s="11"/>
      <c r="C77" s="11"/>
      <c r="D77" s="12"/>
      <c r="E77" s="20" t="s">
        <v>63</v>
      </c>
      <c r="F77" s="12"/>
      <c r="G77" s="12"/>
      <c r="H77" s="12"/>
      <c r="I77" s="13"/>
    </row>
    <row r="78" spans="1:9" s="30" customFormat="1" ht="34.5" customHeight="1" thickBot="1">
      <c r="A78" s="21">
        <v>1</v>
      </c>
      <c r="B78" s="22">
        <v>2</v>
      </c>
      <c r="C78" s="22">
        <v>3</v>
      </c>
      <c r="D78" s="23" t="s">
        <v>4</v>
      </c>
      <c r="E78" s="24" t="s">
        <v>5</v>
      </c>
      <c r="F78" s="23" t="s">
        <v>19</v>
      </c>
      <c r="G78" s="23" t="s">
        <v>20</v>
      </c>
      <c r="H78" s="23" t="s">
        <v>21</v>
      </c>
      <c r="I78" s="25" t="s">
        <v>22</v>
      </c>
    </row>
    <row r="79" spans="1:9" ht="27.75" customHeight="1">
      <c r="A79" s="70" t="s">
        <v>30</v>
      </c>
      <c r="B79" s="26" t="s">
        <v>39</v>
      </c>
      <c r="C79" s="27" t="s">
        <v>57</v>
      </c>
      <c r="D79" s="114"/>
      <c r="E79" s="28">
        <f>E81</f>
        <v>-33239954.400000006</v>
      </c>
      <c r="F79" s="71"/>
      <c r="G79" s="71"/>
      <c r="H79" s="71"/>
      <c r="I79" s="72"/>
    </row>
    <row r="80" spans="1:9" ht="30" customHeight="1">
      <c r="A80" s="60" t="s">
        <v>42</v>
      </c>
      <c r="B80" s="73"/>
      <c r="C80" s="74"/>
      <c r="D80" s="75"/>
      <c r="E80" s="111" t="s">
        <v>228</v>
      </c>
      <c r="F80" s="76"/>
      <c r="G80" s="76"/>
      <c r="H80" s="76"/>
      <c r="I80" s="77"/>
    </row>
    <row r="81" spans="1:9" ht="23.25" customHeight="1">
      <c r="A81" s="78" t="s">
        <v>64</v>
      </c>
      <c r="B81" s="79" t="s">
        <v>43</v>
      </c>
      <c r="C81" s="38" t="s">
        <v>57</v>
      </c>
      <c r="D81" s="38"/>
      <c r="E81" s="34">
        <f>E83+E84</f>
        <v>-33239954.400000006</v>
      </c>
      <c r="F81" s="81"/>
      <c r="G81" s="81"/>
      <c r="H81" s="81"/>
      <c r="I81" s="82"/>
    </row>
    <row r="82" spans="1:9" ht="10.5" customHeight="1">
      <c r="A82" s="60" t="s">
        <v>41</v>
      </c>
      <c r="B82" s="73"/>
      <c r="C82" s="75"/>
      <c r="D82" s="75"/>
      <c r="E82" s="111"/>
      <c r="F82" s="83"/>
      <c r="G82" s="83"/>
      <c r="H82" s="83"/>
      <c r="I82" s="84"/>
    </row>
    <row r="83" spans="1:9" ht="14.25" customHeight="1">
      <c r="A83" s="78" t="s">
        <v>133</v>
      </c>
      <c r="B83" s="85"/>
      <c r="C83" s="38" t="s">
        <v>172</v>
      </c>
      <c r="D83" s="38"/>
      <c r="E83" s="112">
        <f>-(E17)</f>
        <v>-35057769.050000004</v>
      </c>
      <c r="F83" s="38"/>
      <c r="G83" s="59"/>
      <c r="H83" s="59"/>
      <c r="I83" s="86"/>
    </row>
    <row r="84" spans="1:9" ht="18" customHeight="1">
      <c r="A84" s="78" t="s">
        <v>134</v>
      </c>
      <c r="B84" s="85"/>
      <c r="C84" s="38" t="s">
        <v>173</v>
      </c>
      <c r="D84" s="38"/>
      <c r="E84" s="34">
        <f>Лист2!E10</f>
        <v>1817814.65</v>
      </c>
      <c r="F84" s="59"/>
      <c r="G84" s="59"/>
      <c r="H84" s="59"/>
      <c r="I84" s="86"/>
    </row>
    <row r="85" spans="1:9" ht="15" customHeight="1">
      <c r="A85" s="78"/>
      <c r="B85" s="85"/>
      <c r="C85" s="38"/>
      <c r="D85" s="38"/>
      <c r="E85" s="34"/>
      <c r="F85" s="59"/>
      <c r="G85" s="59"/>
      <c r="H85" s="59"/>
      <c r="I85" s="86"/>
    </row>
    <row r="86" spans="1:9" ht="21" customHeight="1">
      <c r="A86" s="78"/>
      <c r="B86" s="36"/>
      <c r="C86" s="38"/>
      <c r="D86" s="38"/>
      <c r="E86" s="38"/>
      <c r="F86" s="59"/>
      <c r="G86" s="59"/>
      <c r="H86" s="59"/>
      <c r="I86" s="86"/>
    </row>
    <row r="87" spans="1:9" ht="21.75" customHeight="1">
      <c r="A87" s="78" t="s">
        <v>65</v>
      </c>
      <c r="B87" s="32" t="s">
        <v>44</v>
      </c>
      <c r="C87" s="38" t="s">
        <v>57</v>
      </c>
      <c r="D87" s="38"/>
      <c r="E87" s="38"/>
      <c r="F87" s="59"/>
      <c r="G87" s="59"/>
      <c r="H87" s="59"/>
      <c r="I87" s="86"/>
    </row>
    <row r="88" spans="1:9" ht="12.75" customHeight="1">
      <c r="A88" s="60" t="s">
        <v>41</v>
      </c>
      <c r="B88" s="73"/>
      <c r="C88" s="75"/>
      <c r="D88" s="75"/>
      <c r="E88" s="75"/>
      <c r="F88" s="83"/>
      <c r="G88" s="83"/>
      <c r="H88" s="83"/>
      <c r="I88" s="84"/>
    </row>
    <row r="89" spans="1:9" ht="18" customHeight="1">
      <c r="A89" s="78"/>
      <c r="B89" s="79"/>
      <c r="C89" s="38"/>
      <c r="D89" s="38"/>
      <c r="E89" s="38"/>
      <c r="F89" s="59"/>
      <c r="G89" s="59"/>
      <c r="H89" s="59"/>
      <c r="I89" s="86"/>
    </row>
    <row r="90" spans="1:9" ht="18.75" customHeight="1">
      <c r="A90" s="78"/>
      <c r="B90" s="79"/>
      <c r="C90" s="38"/>
      <c r="D90" s="38"/>
      <c r="E90" s="38"/>
      <c r="F90" s="59"/>
      <c r="G90" s="59"/>
      <c r="H90" s="59"/>
      <c r="I90" s="86"/>
    </row>
    <row r="91" spans="1:9" ht="20.25" customHeight="1">
      <c r="A91" s="78" t="s">
        <v>56</v>
      </c>
      <c r="B91" s="32" t="s">
        <v>40</v>
      </c>
      <c r="C91" s="38"/>
      <c r="D91" s="38"/>
      <c r="E91" s="38" t="s">
        <v>57</v>
      </c>
      <c r="F91" s="59"/>
      <c r="G91" s="38"/>
      <c r="H91" s="59"/>
      <c r="I91" s="87"/>
    </row>
    <row r="92" spans="1:9" ht="21.75" customHeight="1">
      <c r="A92" s="78" t="s">
        <v>58</v>
      </c>
      <c r="B92" s="32" t="s">
        <v>46</v>
      </c>
      <c r="C92" s="38"/>
      <c r="D92" s="38"/>
      <c r="E92" s="1"/>
      <c r="F92" s="59"/>
      <c r="G92" s="38"/>
      <c r="H92" s="59"/>
      <c r="I92" s="86" t="s">
        <v>57</v>
      </c>
    </row>
    <row r="93" spans="1:9" ht="28.5" customHeight="1">
      <c r="A93" s="78" t="s">
        <v>59</v>
      </c>
      <c r="B93" s="32" t="s">
        <v>47</v>
      </c>
      <c r="C93" s="38"/>
      <c r="D93" s="38"/>
      <c r="E93" s="38" t="s">
        <v>57</v>
      </c>
      <c r="F93" s="59"/>
      <c r="G93" s="38"/>
      <c r="H93" s="59"/>
      <c r="I93" s="86" t="s">
        <v>57</v>
      </c>
    </row>
    <row r="94" spans="1:9" ht="36" customHeight="1">
      <c r="A94" s="78" t="s">
        <v>74</v>
      </c>
      <c r="B94" s="73" t="s">
        <v>49</v>
      </c>
      <c r="C94" s="38" t="s">
        <v>57</v>
      </c>
      <c r="D94" s="75" t="s">
        <v>57</v>
      </c>
      <c r="E94" s="38" t="s">
        <v>57</v>
      </c>
      <c r="F94" s="83"/>
      <c r="G94" s="75"/>
      <c r="H94" s="76"/>
      <c r="I94" s="84" t="s">
        <v>57</v>
      </c>
    </row>
    <row r="95" spans="1:9" ht="14.25" customHeight="1">
      <c r="A95" s="78" t="s">
        <v>73</v>
      </c>
      <c r="B95" s="32" t="s">
        <v>50</v>
      </c>
      <c r="C95" s="89" t="s">
        <v>57</v>
      </c>
      <c r="D95" s="89" t="s">
        <v>57</v>
      </c>
      <c r="E95" s="90"/>
      <c r="F95" s="89"/>
      <c r="G95" s="89" t="s">
        <v>57</v>
      </c>
      <c r="H95" s="91"/>
      <c r="I95" s="87" t="s">
        <v>57</v>
      </c>
    </row>
    <row r="96" spans="1:9" ht="23.25" customHeight="1">
      <c r="A96" s="60" t="s">
        <v>41</v>
      </c>
      <c r="B96" s="73"/>
      <c r="C96" s="75"/>
      <c r="D96" s="75"/>
      <c r="E96" s="88"/>
      <c r="F96" s="83"/>
      <c r="G96" s="83"/>
      <c r="H96" s="76"/>
      <c r="I96" s="84"/>
    </row>
    <row r="97" spans="1:9" ht="26.25" customHeight="1">
      <c r="A97" s="78" t="s">
        <v>69</v>
      </c>
      <c r="B97" s="79" t="s">
        <v>51</v>
      </c>
      <c r="C97" s="59" t="s">
        <v>57</v>
      </c>
      <c r="D97" s="38" t="s">
        <v>57</v>
      </c>
      <c r="E97" s="80"/>
      <c r="F97" s="59" t="s">
        <v>57</v>
      </c>
      <c r="G97" s="38" t="s">
        <v>57</v>
      </c>
      <c r="H97" s="81"/>
      <c r="I97" s="86" t="s">
        <v>57</v>
      </c>
    </row>
    <row r="98" spans="1:9" ht="27.75" customHeight="1" thickBot="1">
      <c r="A98" s="92" t="s">
        <v>70</v>
      </c>
      <c r="B98" s="93" t="s">
        <v>52</v>
      </c>
      <c r="C98" s="94" t="s">
        <v>57</v>
      </c>
      <c r="D98" s="95" t="s">
        <v>57</v>
      </c>
      <c r="E98" s="96"/>
      <c r="F98" s="94"/>
      <c r="G98" s="95" t="s">
        <v>57</v>
      </c>
      <c r="H98" s="97"/>
      <c r="I98" s="98" t="s">
        <v>57</v>
      </c>
    </row>
    <row r="99" spans="1:9" ht="27.75" customHeight="1">
      <c r="A99" s="60"/>
      <c r="B99" s="99"/>
      <c r="C99" s="61"/>
      <c r="D99" s="61"/>
      <c r="E99" s="100"/>
      <c r="F99" s="61"/>
      <c r="G99" s="61"/>
      <c r="H99" s="100"/>
      <c r="I99" s="61"/>
    </row>
    <row r="100" spans="1:9" ht="18" customHeight="1">
      <c r="A100" s="60"/>
      <c r="B100" s="99"/>
      <c r="C100" s="61"/>
      <c r="D100" s="61"/>
      <c r="E100" s="61"/>
      <c r="F100" s="61"/>
      <c r="G100" s="61"/>
      <c r="H100" s="66" t="s">
        <v>67</v>
      </c>
      <c r="I100" s="61"/>
    </row>
    <row r="101" spans="1:9" ht="27" customHeight="1">
      <c r="A101" s="101"/>
      <c r="B101" s="102"/>
      <c r="C101" s="103"/>
      <c r="D101" s="103"/>
      <c r="E101" s="103"/>
      <c r="F101" s="103"/>
      <c r="G101" s="103"/>
      <c r="H101" s="66"/>
      <c r="I101" s="103"/>
    </row>
    <row r="102" spans="1:9" ht="10.5" customHeight="1">
      <c r="A102" s="10"/>
      <c r="B102" s="15"/>
      <c r="C102" s="15"/>
      <c r="D102" s="12"/>
      <c r="E102" s="16"/>
      <c r="F102" s="104" t="s">
        <v>12</v>
      </c>
      <c r="G102" s="17"/>
      <c r="H102" s="56"/>
      <c r="I102" s="13"/>
    </row>
    <row r="103" spans="1:9" ht="10.5" customHeight="1">
      <c r="A103" s="69"/>
      <c r="B103" s="11" t="s">
        <v>27</v>
      </c>
      <c r="C103" s="11" t="s">
        <v>23</v>
      </c>
      <c r="D103" s="12" t="s">
        <v>87</v>
      </c>
      <c r="E103" s="18" t="s">
        <v>71</v>
      </c>
      <c r="F103" s="19" t="s">
        <v>13</v>
      </c>
      <c r="G103" s="18" t="s">
        <v>16</v>
      </c>
      <c r="H103" s="14"/>
      <c r="I103" s="13" t="s">
        <v>6</v>
      </c>
    </row>
    <row r="104" spans="1:9" ht="10.5" customHeight="1">
      <c r="A104" s="11" t="s">
        <v>9</v>
      </c>
      <c r="B104" s="11" t="s">
        <v>28</v>
      </c>
      <c r="C104" s="15" t="s">
        <v>24</v>
      </c>
      <c r="D104" s="12" t="s">
        <v>88</v>
      </c>
      <c r="E104" s="20" t="s">
        <v>72</v>
      </c>
      <c r="F104" s="12" t="s">
        <v>14</v>
      </c>
      <c r="G104" s="12" t="s">
        <v>17</v>
      </c>
      <c r="H104" s="12" t="s">
        <v>18</v>
      </c>
      <c r="I104" s="13" t="s">
        <v>7</v>
      </c>
    </row>
    <row r="105" spans="1:9" ht="10.5" customHeight="1">
      <c r="A105" s="10"/>
      <c r="B105" s="11" t="s">
        <v>29</v>
      </c>
      <c r="C105" s="11" t="s">
        <v>25</v>
      </c>
      <c r="D105" s="12" t="s">
        <v>7</v>
      </c>
      <c r="E105" s="20" t="s">
        <v>62</v>
      </c>
      <c r="F105" s="12" t="s">
        <v>15</v>
      </c>
      <c r="G105" s="12"/>
      <c r="H105" s="12"/>
      <c r="I105" s="13"/>
    </row>
    <row r="106" spans="1:9" ht="12.75" customHeight="1">
      <c r="A106" s="10"/>
      <c r="B106" s="11"/>
      <c r="C106" s="11"/>
      <c r="D106" s="12"/>
      <c r="E106" s="20" t="s">
        <v>63</v>
      </c>
      <c r="F106" s="12"/>
      <c r="G106" s="12"/>
      <c r="H106" s="12"/>
      <c r="I106" s="13"/>
    </row>
    <row r="107" spans="1:9" ht="27.75" customHeight="1" thickBot="1">
      <c r="A107" s="21">
        <v>1</v>
      </c>
      <c r="B107" s="22">
        <v>2</v>
      </c>
      <c r="C107" s="22">
        <v>3</v>
      </c>
      <c r="D107" s="23" t="s">
        <v>4</v>
      </c>
      <c r="E107" s="24" t="s">
        <v>5</v>
      </c>
      <c r="F107" s="23" t="s">
        <v>19</v>
      </c>
      <c r="G107" s="23" t="s">
        <v>20</v>
      </c>
      <c r="H107" s="23" t="s">
        <v>21</v>
      </c>
      <c r="I107" s="25" t="s">
        <v>22</v>
      </c>
    </row>
    <row r="108" spans="1:9" ht="21" customHeight="1">
      <c r="A108" s="78" t="s">
        <v>75</v>
      </c>
      <c r="B108" s="73" t="s">
        <v>53</v>
      </c>
      <c r="C108" s="89" t="s">
        <v>57</v>
      </c>
      <c r="D108" s="38" t="s">
        <v>57</v>
      </c>
      <c r="E108" s="38" t="s">
        <v>57</v>
      </c>
      <c r="F108" s="89"/>
      <c r="G108" s="38"/>
      <c r="H108" s="89"/>
      <c r="I108" s="87" t="s">
        <v>57</v>
      </c>
    </row>
    <row r="109" spans="1:9" ht="12.75">
      <c r="A109" s="60" t="s">
        <v>42</v>
      </c>
      <c r="B109" s="73"/>
      <c r="C109" s="105"/>
      <c r="D109" s="75"/>
      <c r="E109" s="75"/>
      <c r="F109" s="19" t="s">
        <v>60</v>
      </c>
      <c r="G109" s="75"/>
      <c r="H109" s="19"/>
      <c r="I109" s="106"/>
    </row>
    <row r="110" spans="1:9" ht="25.5" customHeight="1">
      <c r="A110" s="78" t="s">
        <v>93</v>
      </c>
      <c r="B110" s="79" t="s">
        <v>54</v>
      </c>
      <c r="C110" s="75" t="s">
        <v>57</v>
      </c>
      <c r="D110" s="83" t="s">
        <v>57</v>
      </c>
      <c r="E110" s="83" t="s">
        <v>57</v>
      </c>
      <c r="F110" s="83"/>
      <c r="G110" s="83"/>
      <c r="H110" s="83"/>
      <c r="I110" s="84" t="s">
        <v>57</v>
      </c>
    </row>
    <row r="111" spans="1:9" ht="13.5" thickBot="1">
      <c r="A111" s="78" t="s">
        <v>94</v>
      </c>
      <c r="B111" s="93" t="s">
        <v>55</v>
      </c>
      <c r="C111" s="95" t="s">
        <v>57</v>
      </c>
      <c r="D111" s="94" t="s">
        <v>57</v>
      </c>
      <c r="E111" s="94" t="s">
        <v>57</v>
      </c>
      <c r="F111" s="94"/>
      <c r="G111" s="94"/>
      <c r="H111" s="94"/>
      <c r="I111" s="98" t="s">
        <v>57</v>
      </c>
    </row>
    <row r="112" spans="1:9" ht="7.5" customHeight="1">
      <c r="A112" s="60"/>
      <c r="B112" s="99"/>
      <c r="C112" s="61"/>
      <c r="D112" s="61"/>
      <c r="E112" s="61"/>
      <c r="F112" s="61"/>
      <c r="G112" s="61"/>
      <c r="H112" s="61"/>
      <c r="I112" s="61"/>
    </row>
    <row r="113" spans="1:9" ht="20.25" customHeight="1">
      <c r="A113" s="107" t="s">
        <v>188</v>
      </c>
      <c r="B113" s="107"/>
      <c r="C113" s="103" t="s">
        <v>189</v>
      </c>
      <c r="D113" s="63"/>
      <c r="E113" s="63" t="s">
        <v>34</v>
      </c>
      <c r="F113" s="61"/>
      <c r="G113" s="61"/>
      <c r="H113" s="61"/>
      <c r="I113" s="61"/>
    </row>
    <row r="114" spans="1:9" ht="9.75" customHeight="1">
      <c r="A114" s="3" t="s">
        <v>185</v>
      </c>
      <c r="B114" s="3"/>
      <c r="C114" s="4"/>
      <c r="D114" s="108"/>
      <c r="E114" s="108" t="s">
        <v>35</v>
      </c>
      <c r="F114" s="108"/>
      <c r="G114" s="108"/>
      <c r="H114" s="108"/>
      <c r="I114" s="108"/>
    </row>
    <row r="115" spans="4:9" ht="7.5" customHeight="1">
      <c r="D115" s="108"/>
      <c r="E115" s="108"/>
      <c r="F115" s="62" t="s">
        <v>37</v>
      </c>
      <c r="H115" s="108"/>
      <c r="I115" s="108"/>
    </row>
    <row r="116" spans="1:9" ht="9.75" customHeight="1">
      <c r="A116" s="3" t="s">
        <v>190</v>
      </c>
      <c r="B116" s="3"/>
      <c r="C116" s="4"/>
      <c r="D116" s="108"/>
      <c r="E116" s="108"/>
      <c r="F116" s="108"/>
      <c r="G116" s="108"/>
      <c r="H116" s="108"/>
      <c r="I116" s="108"/>
    </row>
    <row r="117" spans="1:9" ht="11.25" customHeight="1">
      <c r="A117" s="3" t="s">
        <v>187</v>
      </c>
      <c r="B117" s="3"/>
      <c r="C117" s="4"/>
      <c r="D117" s="108"/>
      <c r="E117" s="108"/>
      <c r="F117" s="108"/>
      <c r="G117" s="108"/>
      <c r="H117" s="108"/>
      <c r="I117" s="108"/>
    </row>
    <row r="118" spans="1:9" ht="23.25" customHeight="1">
      <c r="A118" s="3"/>
      <c r="B118" s="3"/>
      <c r="C118" s="62"/>
      <c r="D118" s="108"/>
      <c r="E118" s="109"/>
      <c r="F118" s="108"/>
      <c r="G118" s="108"/>
      <c r="H118" s="108"/>
      <c r="I118" s="110"/>
    </row>
    <row r="119" spans="1:9" ht="9.75" customHeight="1">
      <c r="A119" s="115" t="s">
        <v>219</v>
      </c>
      <c r="D119" s="108"/>
      <c r="E119" s="108"/>
      <c r="F119" s="108"/>
      <c r="G119" s="108"/>
      <c r="H119" s="108"/>
      <c r="I119" s="110"/>
    </row>
    <row r="120" spans="4:9" ht="12.75" customHeight="1">
      <c r="D120" s="108"/>
      <c r="E120" s="108"/>
      <c r="F120" s="108"/>
      <c r="G120" s="108"/>
      <c r="H120" s="108"/>
      <c r="I120" s="110"/>
    </row>
    <row r="121" spans="1:9" ht="12.75">
      <c r="A121" s="62"/>
      <c r="B121" s="62"/>
      <c r="C121" s="64"/>
      <c r="D121" s="65"/>
      <c r="E121" s="65"/>
      <c r="F121" s="65"/>
      <c r="G121" s="65"/>
      <c r="H121" s="65"/>
      <c r="I121" s="65"/>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J197"/>
  <sheetViews>
    <sheetView zoomScalePageLayoutView="0" workbookViewId="0" topLeftCell="A57">
      <selection activeCell="N66" sqref="N66"/>
    </sheetView>
  </sheetViews>
  <sheetFormatPr defaultColWidth="9.125" defaultRowHeight="12.75"/>
  <cols>
    <col min="1" max="1" width="41.375" style="52" customWidth="1"/>
    <col min="2" max="2" width="6.875" style="52" customWidth="1"/>
    <col min="3" max="3" width="26.50390625" style="52" customWidth="1"/>
    <col min="4" max="4" width="17.875" style="67" customWidth="1"/>
    <col min="5" max="5" width="18.625" style="156" customWidth="1"/>
    <col min="6" max="6" width="17.50390625" style="1" hidden="1" customWidth="1"/>
    <col min="7" max="7" width="16.50390625" style="1" hidden="1" customWidth="1"/>
    <col min="8" max="8" width="9.125" style="52" hidden="1" customWidth="1"/>
    <col min="9" max="9" width="2.50390625" style="1" hidden="1" customWidth="1"/>
    <col min="10" max="10" width="11.625" style="181" hidden="1" customWidth="1"/>
    <col min="11" max="11" width="15.00390625" style="1" hidden="1" customWidth="1"/>
    <col min="12" max="12" width="0" style="1" hidden="1" customWidth="1"/>
    <col min="13" max="13" width="12.375" style="1" bestFit="1" customWidth="1"/>
    <col min="14" max="14" width="13.50390625" style="1" customWidth="1"/>
    <col min="15" max="16384" width="9.125" style="1" customWidth="1"/>
  </cols>
  <sheetData>
    <row r="1" spans="1:12" ht="38.25" customHeight="1">
      <c r="A1" s="199"/>
      <c r="B1" s="200"/>
      <c r="C1" s="200"/>
      <c r="D1" s="200"/>
      <c r="E1" s="200"/>
      <c r="F1" s="200"/>
      <c r="G1" s="119"/>
      <c r="H1" s="179"/>
      <c r="I1" s="119"/>
      <c r="J1" s="177"/>
      <c r="K1" s="119"/>
      <c r="L1" s="119"/>
    </row>
    <row r="2" spans="1:12" ht="24" customHeight="1" thickBot="1">
      <c r="A2" s="1199" t="s">
        <v>230</v>
      </c>
      <c r="B2" s="1200"/>
      <c r="C2" s="1200"/>
      <c r="D2" s="1200"/>
      <c r="E2" s="201"/>
      <c r="F2" s="202" t="s">
        <v>8</v>
      </c>
      <c r="G2" s="175"/>
      <c r="H2" s="178"/>
      <c r="I2" s="175"/>
      <c r="J2" s="196"/>
      <c r="K2" s="175"/>
      <c r="L2" s="175"/>
    </row>
    <row r="3" spans="1:12" ht="13.5" customHeight="1">
      <c r="A3" s="199"/>
      <c r="B3" s="199"/>
      <c r="C3" s="199"/>
      <c r="D3" s="199"/>
      <c r="E3" s="203" t="s">
        <v>231</v>
      </c>
      <c r="F3" s="204" t="s">
        <v>232</v>
      </c>
      <c r="G3" s="119"/>
      <c r="H3" s="179"/>
      <c r="I3" s="119"/>
      <c r="J3" s="177"/>
      <c r="K3" s="119"/>
      <c r="L3" s="119"/>
    </row>
    <row r="4" spans="1:6" ht="13.5" customHeight="1">
      <c r="A4" s="199"/>
      <c r="B4" s="199"/>
      <c r="C4" s="205"/>
      <c r="D4" s="205"/>
      <c r="E4" s="206" t="s">
        <v>233</v>
      </c>
      <c r="F4" s="207" t="s">
        <v>495</v>
      </c>
    </row>
    <row r="5" spans="1:12" ht="13.5" customHeight="1">
      <c r="A5" s="199" t="s">
        <v>234</v>
      </c>
      <c r="B5" s="199"/>
      <c r="C5" s="199"/>
      <c r="D5" s="199"/>
      <c r="E5" s="206" t="s">
        <v>235</v>
      </c>
      <c r="F5" s="208" t="s">
        <v>97</v>
      </c>
      <c r="G5" s="175"/>
      <c r="H5" s="178"/>
      <c r="I5" s="175"/>
      <c r="J5" s="196"/>
      <c r="K5" s="175"/>
      <c r="L5" s="175"/>
    </row>
    <row r="6" spans="1:12" ht="13.5" customHeight="1">
      <c r="A6" s="199" t="s">
        <v>236</v>
      </c>
      <c r="B6" s="209"/>
      <c r="C6" s="209"/>
      <c r="D6" s="209"/>
      <c r="E6" s="206" t="s">
        <v>237</v>
      </c>
      <c r="F6" s="207"/>
      <c r="G6" s="119"/>
      <c r="H6" s="179"/>
      <c r="I6" s="119"/>
      <c r="J6" s="177"/>
      <c r="K6" s="119"/>
      <c r="L6" s="119"/>
    </row>
    <row r="7" spans="1:6" ht="13.5" customHeight="1">
      <c r="A7" s="199" t="s">
        <v>244</v>
      </c>
      <c r="B7" s="210"/>
      <c r="C7" s="210"/>
      <c r="D7" s="210"/>
      <c r="E7" s="206" t="s">
        <v>238</v>
      </c>
      <c r="F7" s="208" t="s">
        <v>96</v>
      </c>
    </row>
    <row r="8" spans="1:12" ht="13.5" customHeight="1">
      <c r="A8" s="199" t="s">
        <v>239</v>
      </c>
      <c r="B8" s="210"/>
      <c r="C8" s="199"/>
      <c r="D8" s="199"/>
      <c r="E8" s="199"/>
      <c r="F8" s="207"/>
      <c r="G8" s="175"/>
      <c r="H8" s="178"/>
      <c r="I8" s="175"/>
      <c r="J8" s="196"/>
      <c r="K8" s="175"/>
      <c r="L8" s="175"/>
    </row>
    <row r="9" spans="1:12" ht="13.5" customHeight="1" thickBot="1">
      <c r="A9" s="199" t="s">
        <v>240</v>
      </c>
      <c r="B9" s="199"/>
      <c r="C9" s="199"/>
      <c r="D9" s="199"/>
      <c r="E9" s="199"/>
      <c r="F9" s="211" t="s">
        <v>2</v>
      </c>
      <c r="G9" s="175"/>
      <c r="H9" s="178"/>
      <c r="I9" s="175"/>
      <c r="K9" s="181"/>
      <c r="L9" s="175"/>
    </row>
    <row r="10" spans="1:12" ht="13.5" customHeight="1">
      <c r="A10" s="313"/>
      <c r="B10" s="212"/>
      <c r="C10" s="212"/>
      <c r="D10" s="212"/>
      <c r="E10" s="212"/>
      <c r="F10" s="212"/>
      <c r="G10" s="175"/>
      <c r="H10" s="178"/>
      <c r="I10" s="175"/>
      <c r="J10" s="196"/>
      <c r="K10" s="181"/>
      <c r="L10" s="175"/>
    </row>
    <row r="11" spans="1:11" ht="14.25" customHeight="1">
      <c r="A11" s="213"/>
      <c r="B11" s="214"/>
      <c r="C11" s="214" t="s">
        <v>540</v>
      </c>
      <c r="D11" s="215"/>
      <c r="E11" s="216"/>
      <c r="F11" s="217"/>
      <c r="K11" s="181"/>
    </row>
    <row r="12" spans="1:6" ht="5.25" customHeight="1" thickBot="1">
      <c r="A12" s="218"/>
      <c r="B12" s="218"/>
      <c r="C12" s="219"/>
      <c r="D12" s="220"/>
      <c r="E12" s="221"/>
      <c r="F12" s="222"/>
    </row>
    <row r="13" spans="1:14" ht="12.75" customHeight="1">
      <c r="A13" s="223"/>
      <c r="B13" s="224"/>
      <c r="C13" s="224"/>
      <c r="D13" s="225"/>
      <c r="E13" s="225" t="s">
        <v>18</v>
      </c>
      <c r="F13" s="225"/>
      <c r="M13" s="1215" t="s">
        <v>537</v>
      </c>
      <c r="N13" s="1215" t="s">
        <v>539</v>
      </c>
    </row>
    <row r="14" spans="1:14" ht="9.75" customHeight="1">
      <c r="A14" s="228"/>
      <c r="B14" s="226" t="s">
        <v>27</v>
      </c>
      <c r="C14" s="226"/>
      <c r="D14" s="227" t="s">
        <v>87</v>
      </c>
      <c r="E14" s="227"/>
      <c r="F14" s="227" t="s">
        <v>6</v>
      </c>
      <c r="G14" s="175"/>
      <c r="H14" s="178"/>
      <c r="I14" s="175"/>
      <c r="J14" s="196"/>
      <c r="K14" s="175"/>
      <c r="L14" s="175"/>
      <c r="M14" s="1215"/>
      <c r="N14" s="1215"/>
    </row>
    <row r="15" spans="1:14" ht="9.75" customHeight="1">
      <c r="A15" s="228" t="s">
        <v>9</v>
      </c>
      <c r="B15" s="226" t="s">
        <v>28</v>
      </c>
      <c r="C15" s="226" t="s">
        <v>11</v>
      </c>
      <c r="D15" s="227" t="s">
        <v>88</v>
      </c>
      <c r="E15" s="227"/>
      <c r="F15" s="227" t="s">
        <v>7</v>
      </c>
      <c r="M15" s="1215"/>
      <c r="N15" s="1215"/>
    </row>
    <row r="16" spans="1:14" ht="9.75" customHeight="1">
      <c r="A16" s="228"/>
      <c r="B16" s="226" t="s">
        <v>29</v>
      </c>
      <c r="C16" s="226"/>
      <c r="D16" s="227" t="s">
        <v>538</v>
      </c>
      <c r="E16" s="227"/>
      <c r="F16" s="227"/>
      <c r="K16" s="181"/>
      <c r="M16" s="1215"/>
      <c r="N16" s="1215"/>
    </row>
    <row r="17" spans="1:14" ht="9.75" customHeight="1" thickBot="1">
      <c r="A17" s="229"/>
      <c r="B17" s="230"/>
      <c r="C17" s="230"/>
      <c r="D17" s="231"/>
      <c r="E17" s="231"/>
      <c r="F17" s="231"/>
      <c r="M17" s="1215"/>
      <c r="N17" s="1215"/>
    </row>
    <row r="18" spans="1:14" ht="9.75" customHeight="1" thickBot="1">
      <c r="A18" s="232">
        <v>1</v>
      </c>
      <c r="B18" s="232">
        <v>2</v>
      </c>
      <c r="C18" s="232">
        <v>3</v>
      </c>
      <c r="D18" s="233" t="s">
        <v>4</v>
      </c>
      <c r="E18" s="233" t="s">
        <v>5</v>
      </c>
      <c r="F18" s="233" t="s">
        <v>19</v>
      </c>
      <c r="M18" s="419"/>
      <c r="N18" s="419"/>
    </row>
    <row r="19" spans="1:88" s="172" customFormat="1" ht="33" customHeight="1" thickBot="1">
      <c r="A19" s="378" t="s">
        <v>26</v>
      </c>
      <c r="B19" s="323" t="s">
        <v>38</v>
      </c>
      <c r="C19" s="324" t="s">
        <v>57</v>
      </c>
      <c r="D19" s="325">
        <f>D21+D73</f>
        <v>26306020</v>
      </c>
      <c r="E19" s="325">
        <f>E21+E73</f>
        <v>3296926.2500000005</v>
      </c>
      <c r="F19" s="325">
        <f>F21+F73</f>
        <v>23009869.69</v>
      </c>
      <c r="G19" s="181">
        <v>79194711.19</v>
      </c>
      <c r="H19" s="52"/>
      <c r="I19" s="1"/>
      <c r="J19" s="181"/>
      <c r="K19" s="1"/>
      <c r="L19" s="1"/>
      <c r="M19" s="422"/>
      <c r="N19" s="422">
        <f>SUM(N21:N83)</f>
        <v>-3664000</v>
      </c>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row>
    <row r="20" spans="1:88" s="192" customFormat="1" ht="15.75" customHeight="1" thickBot="1">
      <c r="A20" s="234" t="s">
        <v>10</v>
      </c>
      <c r="B20" s="235"/>
      <c r="C20" s="289"/>
      <c r="D20" s="255"/>
      <c r="E20" s="255"/>
      <c r="F20" s="255"/>
      <c r="G20" s="196">
        <f>E19-G19</f>
        <v>-75897784.94</v>
      </c>
      <c r="H20" s="178"/>
      <c r="I20" s="175"/>
      <c r="J20" s="196"/>
      <c r="K20" s="175"/>
      <c r="L20" s="175"/>
      <c r="M20" s="423"/>
      <c r="N20" s="423"/>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row>
    <row r="21" spans="1:88" s="172" customFormat="1" ht="32.25" customHeight="1" thickBot="1">
      <c r="A21" s="273" t="s">
        <v>98</v>
      </c>
      <c r="B21" s="326"/>
      <c r="C21" s="379"/>
      <c r="D21" s="380">
        <f>D23+D35+D40+D45+D49+D53+D58+D61+D65</f>
        <v>8200000</v>
      </c>
      <c r="E21" s="327">
        <f>E23+E35+E40+E45+E49+E53+E58+E61+E65+E71</f>
        <v>746689.7400000001</v>
      </c>
      <c r="F21" s="327">
        <f>F23+F35+F40+F45+F49+F53+F58+F61+F70+F71+F65</f>
        <v>7454086.2</v>
      </c>
      <c r="G21" s="1"/>
      <c r="H21" s="52"/>
      <c r="I21" s="1"/>
      <c r="J21" s="181"/>
      <c r="K21" s="1"/>
      <c r="L21" s="1"/>
      <c r="M21" s="422"/>
      <c r="N21" s="422"/>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row>
    <row r="22" spans="1:14" ht="15" customHeight="1" hidden="1">
      <c r="A22" s="236" t="s">
        <v>279</v>
      </c>
      <c r="B22" s="237"/>
      <c r="C22" s="241" t="s">
        <v>280</v>
      </c>
      <c r="D22" s="255"/>
      <c r="E22" s="255"/>
      <c r="F22" s="278"/>
      <c r="M22" s="423"/>
      <c r="N22" s="423"/>
    </row>
    <row r="23" spans="1:88" s="193" customFormat="1" ht="15" customHeight="1" thickBot="1">
      <c r="A23" s="270" t="s">
        <v>160</v>
      </c>
      <c r="B23" s="238"/>
      <c r="C23" s="290" t="s">
        <v>276</v>
      </c>
      <c r="D23" s="288">
        <f>D24</f>
        <v>5500000</v>
      </c>
      <c r="E23" s="288">
        <f>SUM(E24:E34)</f>
        <v>489876.66000000003</v>
      </c>
      <c r="F23" s="288">
        <f>F24</f>
        <v>5010892.8</v>
      </c>
      <c r="G23" s="1"/>
      <c r="H23" s="52"/>
      <c r="I23" s="1"/>
      <c r="J23" s="181" t="s">
        <v>491</v>
      </c>
      <c r="K23" s="181">
        <f>E23+E40+E45+E49</f>
        <v>492845.9</v>
      </c>
      <c r="L23" s="1"/>
      <c r="M23" s="424">
        <v>7280000</v>
      </c>
      <c r="N23" s="424">
        <f>D23-M23</f>
        <v>-1780000</v>
      </c>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row>
    <row r="24" spans="1:14" ht="15" customHeight="1" thickBot="1">
      <c r="A24" s="375" t="s">
        <v>160</v>
      </c>
      <c r="B24" s="235"/>
      <c r="C24" s="248" t="s">
        <v>487</v>
      </c>
      <c r="D24" s="255">
        <v>5500000</v>
      </c>
      <c r="E24" s="257">
        <v>489107.2</v>
      </c>
      <c r="F24" s="252">
        <f>D24-E24</f>
        <v>5010892.8</v>
      </c>
      <c r="G24" s="416"/>
      <c r="K24" s="181"/>
      <c r="M24" s="423"/>
      <c r="N24" s="423"/>
    </row>
    <row r="25" spans="1:14" ht="15" customHeight="1" thickBot="1">
      <c r="A25" s="375" t="s">
        <v>160</v>
      </c>
      <c r="B25" s="235"/>
      <c r="C25" s="248" t="s">
        <v>489</v>
      </c>
      <c r="D25" s="255">
        <v>0</v>
      </c>
      <c r="E25" s="257">
        <v>685.46</v>
      </c>
      <c r="F25" s="252">
        <f>D25-E25</f>
        <v>-685.46</v>
      </c>
      <c r="K25" s="181"/>
      <c r="M25" s="423"/>
      <c r="N25" s="423"/>
    </row>
    <row r="26" spans="1:14" ht="15" customHeight="1" thickBot="1">
      <c r="A26" s="375" t="s">
        <v>160</v>
      </c>
      <c r="B26" s="235"/>
      <c r="C26" s="248" t="s">
        <v>488</v>
      </c>
      <c r="D26" s="255">
        <v>0</v>
      </c>
      <c r="E26" s="257">
        <v>84</v>
      </c>
      <c r="F26" s="252">
        <f aca="true" t="shared" si="0" ref="F26:F34">D26-E26</f>
        <v>-84</v>
      </c>
      <c r="M26" s="423"/>
      <c r="N26" s="423"/>
    </row>
    <row r="27" spans="1:14" ht="15" customHeight="1" thickBot="1">
      <c r="A27" s="375" t="s">
        <v>160</v>
      </c>
      <c r="B27" s="235"/>
      <c r="C27" s="248" t="s">
        <v>203</v>
      </c>
      <c r="D27" s="255">
        <v>0</v>
      </c>
      <c r="E27" s="257">
        <v>0</v>
      </c>
      <c r="F27" s="252">
        <f t="shared" si="0"/>
        <v>0</v>
      </c>
      <c r="G27" s="37"/>
      <c r="H27" s="328"/>
      <c r="I27" s="37"/>
      <c r="J27" s="197"/>
      <c r="K27" s="37"/>
      <c r="L27" s="37"/>
      <c r="M27" s="423"/>
      <c r="N27" s="423"/>
    </row>
    <row r="28" spans="1:14" ht="15" customHeight="1" thickBot="1">
      <c r="A28" s="375" t="s">
        <v>160</v>
      </c>
      <c r="B28" s="235"/>
      <c r="C28" s="248" t="s">
        <v>264</v>
      </c>
      <c r="D28" s="255">
        <v>0</v>
      </c>
      <c r="E28" s="257">
        <v>0</v>
      </c>
      <c r="F28" s="252">
        <f t="shared" si="0"/>
        <v>0</v>
      </c>
      <c r="G28" s="119"/>
      <c r="H28" s="179"/>
      <c r="I28" s="119"/>
      <c r="J28" s="177"/>
      <c r="K28" s="119"/>
      <c r="L28" s="119"/>
      <c r="M28" s="423"/>
      <c r="N28" s="423"/>
    </row>
    <row r="29" spans="1:14" ht="31.5" customHeight="1" hidden="1">
      <c r="A29" s="375" t="s">
        <v>160</v>
      </c>
      <c r="B29" s="235"/>
      <c r="C29" s="248" t="s">
        <v>197</v>
      </c>
      <c r="D29" s="255">
        <v>0</v>
      </c>
      <c r="E29" s="257">
        <v>0</v>
      </c>
      <c r="F29" s="252">
        <f t="shared" si="0"/>
        <v>0</v>
      </c>
      <c r="G29" s="119"/>
      <c r="H29" s="179"/>
      <c r="I29" s="119"/>
      <c r="J29" s="177"/>
      <c r="K29" s="119"/>
      <c r="L29" s="119"/>
      <c r="M29" s="423"/>
      <c r="N29" s="423"/>
    </row>
    <row r="30" spans="1:14" ht="15" customHeight="1" hidden="1">
      <c r="A30" s="375" t="s">
        <v>160</v>
      </c>
      <c r="B30" s="235"/>
      <c r="C30" s="248" t="s">
        <v>197</v>
      </c>
      <c r="D30" s="255">
        <v>0</v>
      </c>
      <c r="E30" s="257">
        <v>0</v>
      </c>
      <c r="F30" s="252">
        <f t="shared" si="0"/>
        <v>0</v>
      </c>
      <c r="G30" s="119"/>
      <c r="H30" s="179"/>
      <c r="I30" s="119"/>
      <c r="J30" s="177"/>
      <c r="K30" s="181"/>
      <c r="L30" s="119"/>
      <c r="M30" s="423"/>
      <c r="N30" s="423"/>
    </row>
    <row r="31" spans="1:14" ht="15" customHeight="1" hidden="1">
      <c r="A31" s="375" t="s">
        <v>160</v>
      </c>
      <c r="B31" s="235"/>
      <c r="C31" s="248" t="s">
        <v>197</v>
      </c>
      <c r="D31" s="255">
        <v>0</v>
      </c>
      <c r="E31" s="257">
        <v>0</v>
      </c>
      <c r="F31" s="252">
        <f t="shared" si="0"/>
        <v>0</v>
      </c>
      <c r="G31" s="119"/>
      <c r="H31" s="179"/>
      <c r="I31" s="119"/>
      <c r="J31" s="177"/>
      <c r="K31" s="119"/>
      <c r="L31" s="119"/>
      <c r="M31" s="423"/>
      <c r="N31" s="423"/>
    </row>
    <row r="32" spans="1:14" ht="15" customHeight="1" hidden="1">
      <c r="A32" s="375" t="s">
        <v>204</v>
      </c>
      <c r="B32" s="235"/>
      <c r="C32" s="248" t="s">
        <v>197</v>
      </c>
      <c r="D32" s="255">
        <v>0</v>
      </c>
      <c r="E32" s="257">
        <v>0</v>
      </c>
      <c r="F32" s="252">
        <f t="shared" si="0"/>
        <v>0</v>
      </c>
      <c r="G32" s="119"/>
      <c r="H32" s="179"/>
      <c r="I32" s="119"/>
      <c r="J32" s="177"/>
      <c r="K32" s="119"/>
      <c r="L32" s="119"/>
      <c r="M32" s="423"/>
      <c r="N32" s="423"/>
    </row>
    <row r="33" spans="1:14" ht="15" customHeight="1" hidden="1">
      <c r="A33" s="375" t="s">
        <v>204</v>
      </c>
      <c r="B33" s="235"/>
      <c r="C33" s="248" t="s">
        <v>197</v>
      </c>
      <c r="D33" s="255">
        <v>0</v>
      </c>
      <c r="E33" s="257">
        <v>0</v>
      </c>
      <c r="F33" s="252">
        <f t="shared" si="0"/>
        <v>0</v>
      </c>
      <c r="G33" s="119"/>
      <c r="H33" s="179"/>
      <c r="I33" s="119"/>
      <c r="J33" s="177"/>
      <c r="K33" s="119"/>
      <c r="L33" s="119"/>
      <c r="M33" s="423"/>
      <c r="N33" s="423"/>
    </row>
    <row r="34" spans="1:14" ht="15" customHeight="1" hidden="1">
      <c r="A34" s="375" t="s">
        <v>204</v>
      </c>
      <c r="B34" s="235"/>
      <c r="C34" s="248" t="s">
        <v>197</v>
      </c>
      <c r="D34" s="255">
        <v>0</v>
      </c>
      <c r="E34" s="257">
        <v>0</v>
      </c>
      <c r="F34" s="252">
        <f t="shared" si="0"/>
        <v>0</v>
      </c>
      <c r="G34" s="119"/>
      <c r="H34" s="179"/>
      <c r="I34" s="119"/>
      <c r="J34" s="177"/>
      <c r="K34" s="119"/>
      <c r="L34" s="119"/>
      <c r="M34" s="423"/>
      <c r="N34" s="423"/>
    </row>
    <row r="35" spans="1:14" ht="39" customHeight="1" thickBot="1">
      <c r="A35" s="271" t="s">
        <v>291</v>
      </c>
      <c r="B35" s="272"/>
      <c r="C35" s="276" t="s">
        <v>293</v>
      </c>
      <c r="D35" s="277">
        <f>D36+D37+D38+D39</f>
        <v>1084000</v>
      </c>
      <c r="E35" s="277">
        <f>E36+E37+E38+E39</f>
        <v>94704.37999999999</v>
      </c>
      <c r="F35" s="277">
        <f>F36+F37+F38+F39</f>
        <v>989295.62</v>
      </c>
      <c r="G35" s="119"/>
      <c r="H35" s="179"/>
      <c r="I35" s="119"/>
      <c r="J35" s="177"/>
      <c r="K35" s="119"/>
      <c r="L35" s="119"/>
      <c r="M35" s="423"/>
      <c r="N35" s="423"/>
    </row>
    <row r="36" spans="1:14" ht="36" customHeight="1" thickBot="1">
      <c r="A36" s="285" t="s">
        <v>292</v>
      </c>
      <c r="B36" s="237"/>
      <c r="C36" s="275" t="s">
        <v>294</v>
      </c>
      <c r="D36" s="255">
        <v>377000</v>
      </c>
      <c r="E36" s="407">
        <v>37848.45</v>
      </c>
      <c r="F36" s="308">
        <f>D36-E36</f>
        <v>339151.55</v>
      </c>
      <c r="G36" s="417"/>
      <c r="H36" s="179"/>
      <c r="I36" s="119"/>
      <c r="J36" s="177"/>
      <c r="K36" s="119"/>
      <c r="L36" s="119"/>
      <c r="M36" s="423">
        <v>486000</v>
      </c>
      <c r="N36" s="423">
        <f>D36-M36</f>
        <v>-109000</v>
      </c>
    </row>
    <row r="37" spans="1:14" ht="48.75" customHeight="1" thickBot="1">
      <c r="A37" s="285" t="s">
        <v>288</v>
      </c>
      <c r="B37" s="237"/>
      <c r="C37" s="274" t="s">
        <v>295</v>
      </c>
      <c r="D37" s="255">
        <v>3000</v>
      </c>
      <c r="E37" s="408">
        <v>242.87</v>
      </c>
      <c r="F37" s="308">
        <f>D37-E37</f>
        <v>2757.13</v>
      </c>
      <c r="G37" s="417"/>
      <c r="H37" s="179"/>
      <c r="I37" s="119"/>
      <c r="J37" s="177"/>
      <c r="K37" s="119"/>
      <c r="L37" s="119"/>
      <c r="M37" s="423"/>
      <c r="N37" s="423"/>
    </row>
    <row r="38" spans="1:14" ht="51" customHeight="1" thickBot="1">
      <c r="A38" s="285" t="s">
        <v>289</v>
      </c>
      <c r="B38" s="237"/>
      <c r="C38" s="274" t="s">
        <v>296</v>
      </c>
      <c r="D38" s="255">
        <v>704000</v>
      </c>
      <c r="E38" s="407">
        <v>65557.89</v>
      </c>
      <c r="F38" s="308">
        <f>D38-E38</f>
        <v>638442.11</v>
      </c>
      <c r="G38" s="417"/>
      <c r="H38" s="179"/>
      <c r="I38" s="119"/>
      <c r="J38" s="177"/>
      <c r="K38" s="119"/>
      <c r="L38" s="119"/>
      <c r="M38" s="423">
        <v>786000</v>
      </c>
      <c r="N38" s="423">
        <f>D38-M38</f>
        <v>-82000</v>
      </c>
    </row>
    <row r="39" spans="1:14" s="175" customFormat="1" ht="48.75" customHeight="1" thickBot="1">
      <c r="A39" s="285" t="s">
        <v>290</v>
      </c>
      <c r="B39" s="239"/>
      <c r="C39" s="274" t="s">
        <v>297</v>
      </c>
      <c r="D39" s="255">
        <f>'[1]З-Речка'!$D$20</f>
        <v>0</v>
      </c>
      <c r="E39" s="408">
        <v>-8944.83</v>
      </c>
      <c r="F39" s="308">
        <f>D39-E39</f>
        <v>8944.83</v>
      </c>
      <c r="G39" s="119"/>
      <c r="H39" s="179"/>
      <c r="I39" s="119"/>
      <c r="J39" s="177"/>
      <c r="K39" s="119"/>
      <c r="L39" s="119"/>
      <c r="M39" s="424"/>
      <c r="N39" s="423"/>
    </row>
    <row r="40" spans="1:14" ht="15" customHeight="1" thickBot="1">
      <c r="A40" s="281" t="s">
        <v>298</v>
      </c>
      <c r="B40" s="283"/>
      <c r="C40" s="291" t="s">
        <v>249</v>
      </c>
      <c r="D40" s="277">
        <f>D41+D43+D42</f>
        <v>4000</v>
      </c>
      <c r="E40" s="277">
        <f>E41+E43+E42+E44</f>
        <v>1486.48</v>
      </c>
      <c r="F40" s="277">
        <f>F41+F43</f>
        <v>2520</v>
      </c>
      <c r="G40" s="119"/>
      <c r="H40" s="179"/>
      <c r="I40" s="119"/>
      <c r="J40" s="177"/>
      <c r="K40" s="119"/>
      <c r="L40" s="119"/>
      <c r="M40" s="423"/>
      <c r="N40" s="423"/>
    </row>
    <row r="41" spans="1:14" ht="49.5" customHeight="1" thickBot="1">
      <c r="A41" s="286" t="s">
        <v>299</v>
      </c>
      <c r="B41" s="240"/>
      <c r="C41" s="241" t="s">
        <v>278</v>
      </c>
      <c r="D41" s="257">
        <v>4000</v>
      </c>
      <c r="E41" s="257">
        <v>618</v>
      </c>
      <c r="F41" s="308">
        <f>D41-E41</f>
        <v>3382</v>
      </c>
      <c r="G41" s="417"/>
      <c r="H41" s="179"/>
      <c r="I41" s="119"/>
      <c r="J41" s="177"/>
      <c r="K41" s="119"/>
      <c r="L41" s="119"/>
      <c r="M41" s="423">
        <v>2000</v>
      </c>
      <c r="N41" s="423">
        <f>D41-M41</f>
        <v>2000</v>
      </c>
    </row>
    <row r="42" spans="1:14" ht="49.5" customHeight="1" thickBot="1">
      <c r="A42" s="286" t="s">
        <v>299</v>
      </c>
      <c r="B42" s="240"/>
      <c r="C42" s="241" t="s">
        <v>322</v>
      </c>
      <c r="D42" s="257">
        <v>0</v>
      </c>
      <c r="E42" s="257">
        <v>0</v>
      </c>
      <c r="F42" s="308">
        <f>D42-E42</f>
        <v>0</v>
      </c>
      <c r="G42" s="119"/>
      <c r="H42" s="179"/>
      <c r="I42" s="119"/>
      <c r="J42" s="177"/>
      <c r="K42" s="119"/>
      <c r="L42" s="119"/>
      <c r="M42" s="423"/>
      <c r="N42" s="423"/>
    </row>
    <row r="43" spans="1:14" ht="60" customHeight="1" thickBot="1">
      <c r="A43" s="286" t="s">
        <v>300</v>
      </c>
      <c r="B43" s="240"/>
      <c r="C43" s="241" t="s">
        <v>433</v>
      </c>
      <c r="D43" s="257">
        <f>'[1]З-Речка'!$C$30</f>
        <v>0</v>
      </c>
      <c r="E43" s="257">
        <v>862</v>
      </c>
      <c r="F43" s="308">
        <f>D43-E43</f>
        <v>-862</v>
      </c>
      <c r="M43" s="423">
        <v>26000</v>
      </c>
      <c r="N43" s="423">
        <f>D43-M43</f>
        <v>-26000</v>
      </c>
    </row>
    <row r="44" spans="1:14" ht="60" customHeight="1" thickBot="1">
      <c r="A44" s="286" t="s">
        <v>300</v>
      </c>
      <c r="B44" s="240"/>
      <c r="C44" s="241" t="s">
        <v>323</v>
      </c>
      <c r="D44" s="257">
        <f>'[1]З-Речка'!$C$30</f>
        <v>0</v>
      </c>
      <c r="E44" s="257">
        <v>6.48</v>
      </c>
      <c r="F44" s="308">
        <f>D44-E44</f>
        <v>-6.48</v>
      </c>
      <c r="M44" s="423"/>
      <c r="N44" s="423"/>
    </row>
    <row r="45" spans="1:14" ht="15" customHeight="1" thickBot="1">
      <c r="A45" s="281" t="s">
        <v>144</v>
      </c>
      <c r="B45" s="282"/>
      <c r="C45" s="292" t="s">
        <v>259</v>
      </c>
      <c r="D45" s="293">
        <f>D46+D47+D48</f>
        <v>13000</v>
      </c>
      <c r="E45" s="293">
        <f>E46+E47+E48</f>
        <v>0</v>
      </c>
      <c r="F45" s="293">
        <f>F46+F47+F48</f>
        <v>13000</v>
      </c>
      <c r="M45" s="423"/>
      <c r="N45" s="423"/>
    </row>
    <row r="46" spans="1:14" ht="15" customHeight="1" thickBot="1">
      <c r="A46" s="236" t="s">
        <v>144</v>
      </c>
      <c r="B46" s="240"/>
      <c r="C46" s="241" t="s">
        <v>206</v>
      </c>
      <c r="D46" s="257">
        <v>13000</v>
      </c>
      <c r="E46" s="257">
        <v>0</v>
      </c>
      <c r="F46" s="257">
        <f>D46-E46</f>
        <v>13000</v>
      </c>
      <c r="G46" s="416"/>
      <c r="M46" s="423"/>
      <c r="N46" s="423"/>
    </row>
    <row r="47" spans="1:14" s="119" customFormat="1" ht="15" customHeight="1" thickBot="1">
      <c r="A47" s="236" t="s">
        <v>144</v>
      </c>
      <c r="B47" s="240"/>
      <c r="C47" s="241" t="s">
        <v>200</v>
      </c>
      <c r="D47" s="257">
        <v>0</v>
      </c>
      <c r="E47" s="257">
        <v>0</v>
      </c>
      <c r="F47" s="257">
        <f>D47-E47</f>
        <v>0</v>
      </c>
      <c r="G47" s="1"/>
      <c r="H47" s="52"/>
      <c r="I47" s="1"/>
      <c r="J47" s="181"/>
      <c r="K47" s="1"/>
      <c r="L47" s="1"/>
      <c r="M47" s="425"/>
      <c r="N47" s="423"/>
    </row>
    <row r="48" spans="1:14" s="175" customFormat="1" ht="15" customHeight="1" thickBot="1">
      <c r="A48" s="236" t="s">
        <v>144</v>
      </c>
      <c r="B48" s="240"/>
      <c r="C48" s="241" t="s">
        <v>201</v>
      </c>
      <c r="D48" s="257">
        <v>0</v>
      </c>
      <c r="E48" s="257">
        <v>0</v>
      </c>
      <c r="F48" s="257">
        <f>D48-E48</f>
        <v>0</v>
      </c>
      <c r="G48" s="1"/>
      <c r="H48" s="52"/>
      <c r="I48" s="1"/>
      <c r="J48" s="181"/>
      <c r="K48" s="1"/>
      <c r="L48" s="1"/>
      <c r="M48" s="424"/>
      <c r="N48" s="423"/>
    </row>
    <row r="49" spans="1:14" s="119" customFormat="1" ht="15" customHeight="1" thickBot="1">
      <c r="A49" s="281" t="s">
        <v>99</v>
      </c>
      <c r="B49" s="282"/>
      <c r="C49" s="292" t="s">
        <v>250</v>
      </c>
      <c r="D49" s="293">
        <f>D50+D51</f>
        <v>94000</v>
      </c>
      <c r="E49" s="293">
        <f>E50+E51+E52</f>
        <v>1482.76</v>
      </c>
      <c r="F49" s="293">
        <f>F50+F51</f>
        <v>92517.23999999999</v>
      </c>
      <c r="G49" s="1"/>
      <c r="H49" s="52"/>
      <c r="I49" s="1"/>
      <c r="J49" s="181"/>
      <c r="K49" s="1"/>
      <c r="L49" s="1"/>
      <c r="M49" s="425">
        <v>130000</v>
      </c>
      <c r="N49" s="423">
        <f>D49-M49</f>
        <v>-36000</v>
      </c>
    </row>
    <row r="50" spans="1:14" ht="15" customHeight="1" thickBot="1">
      <c r="A50" s="236" t="s">
        <v>99</v>
      </c>
      <c r="B50" s="240"/>
      <c r="C50" s="241" t="s">
        <v>141</v>
      </c>
      <c r="D50" s="257">
        <v>94000</v>
      </c>
      <c r="E50" s="405">
        <v>1454.49</v>
      </c>
      <c r="F50" s="308">
        <f>D50-E50</f>
        <v>92545.51</v>
      </c>
      <c r="G50" s="416"/>
      <c r="M50" s="423"/>
      <c r="N50" s="423"/>
    </row>
    <row r="51" spans="1:14" s="175" customFormat="1" ht="15" customHeight="1" thickBot="1">
      <c r="A51" s="236" t="s">
        <v>99</v>
      </c>
      <c r="B51" s="240"/>
      <c r="C51" s="241" t="s">
        <v>1</v>
      </c>
      <c r="D51" s="257">
        <v>0</v>
      </c>
      <c r="E51" s="405">
        <v>28.27</v>
      </c>
      <c r="F51" s="308">
        <f>D51-E51</f>
        <v>-28.27</v>
      </c>
      <c r="G51" s="30"/>
      <c r="H51" s="180"/>
      <c r="I51" s="30"/>
      <c r="J51" s="176"/>
      <c r="K51" s="30"/>
      <c r="L51" s="30"/>
      <c r="M51" s="424"/>
      <c r="N51" s="423"/>
    </row>
    <row r="52" spans="1:14" s="175" customFormat="1" ht="15" customHeight="1" thickBot="1">
      <c r="A52" s="236" t="s">
        <v>99</v>
      </c>
      <c r="B52" s="240"/>
      <c r="C52" s="241" t="s">
        <v>323</v>
      </c>
      <c r="D52" s="257">
        <v>0</v>
      </c>
      <c r="E52" s="257">
        <v>0</v>
      </c>
      <c r="F52" s="308">
        <f>D52-E52</f>
        <v>0</v>
      </c>
      <c r="G52" s="30"/>
      <c r="H52" s="180"/>
      <c r="I52" s="30"/>
      <c r="J52" s="176"/>
      <c r="K52" s="30"/>
      <c r="L52" s="30"/>
      <c r="M52" s="424"/>
      <c r="N52" s="423"/>
    </row>
    <row r="53" spans="1:14" s="119" customFormat="1" ht="39" customHeight="1" thickBot="1">
      <c r="A53" s="281" t="s">
        <v>303</v>
      </c>
      <c r="B53" s="280"/>
      <c r="C53" s="291" t="s">
        <v>317</v>
      </c>
      <c r="D53" s="277">
        <f>D55+D57</f>
        <v>440000</v>
      </c>
      <c r="E53" s="277">
        <f>E55+E57</f>
        <v>46620.66</v>
      </c>
      <c r="F53" s="277">
        <f>F55+F57</f>
        <v>393379.33999999997</v>
      </c>
      <c r="G53" s="1"/>
      <c r="H53" s="52"/>
      <c r="I53" s="1"/>
      <c r="J53" s="181"/>
      <c r="K53" s="1"/>
      <c r="L53" s="1"/>
      <c r="M53" s="425"/>
      <c r="N53" s="423"/>
    </row>
    <row r="54" spans="1:14" ht="96" customHeight="1" hidden="1">
      <c r="A54" s="312" t="s">
        <v>304</v>
      </c>
      <c r="B54" s="242"/>
      <c r="C54" s="251" t="s">
        <v>305</v>
      </c>
      <c r="D54" s="252"/>
      <c r="E54" s="252"/>
      <c r="F54" s="278"/>
      <c r="M54" s="423"/>
      <c r="N54" s="423">
        <f>D54-M54</f>
        <v>0</v>
      </c>
    </row>
    <row r="55" spans="1:14" s="175" customFormat="1" ht="42" customHeight="1" thickBot="1">
      <c r="A55" s="306" t="s">
        <v>324</v>
      </c>
      <c r="B55" s="240"/>
      <c r="C55" s="307" t="s">
        <v>168</v>
      </c>
      <c r="D55" s="255">
        <v>160000</v>
      </c>
      <c r="E55" s="257">
        <v>5777.66</v>
      </c>
      <c r="F55" s="257">
        <f>D55-E55</f>
        <v>154222.34</v>
      </c>
      <c r="G55" s="1"/>
      <c r="H55" s="52"/>
      <c r="I55" s="1"/>
      <c r="J55" s="181"/>
      <c r="K55" s="1"/>
      <c r="L55" s="1"/>
      <c r="M55" s="424">
        <f>160000+133000</f>
        <v>293000</v>
      </c>
      <c r="N55" s="423">
        <f>D55-M55</f>
        <v>-133000</v>
      </c>
    </row>
    <row r="56" spans="1:14" s="175" customFormat="1" ht="90" customHeight="1" hidden="1">
      <c r="A56" s="314" t="s">
        <v>306</v>
      </c>
      <c r="B56" s="310"/>
      <c r="C56" s="311" t="s">
        <v>307</v>
      </c>
      <c r="D56" s="308"/>
      <c r="E56" s="308"/>
      <c r="F56" s="257">
        <f>D56-E56</f>
        <v>0</v>
      </c>
      <c r="G56" s="1"/>
      <c r="H56" s="52"/>
      <c r="I56" s="1"/>
      <c r="J56" s="181"/>
      <c r="K56" s="1"/>
      <c r="L56" s="1"/>
      <c r="M56" s="424"/>
      <c r="N56" s="423"/>
    </row>
    <row r="57" spans="1:14" s="175" customFormat="1" ht="54.75" customHeight="1" thickBot="1">
      <c r="A57" s="240" t="s">
        <v>308</v>
      </c>
      <c r="B57" s="240"/>
      <c r="C57" s="241" t="s">
        <v>175</v>
      </c>
      <c r="D57" s="257">
        <v>280000</v>
      </c>
      <c r="E57" s="257">
        <v>40843</v>
      </c>
      <c r="F57" s="257">
        <f>D57-E57</f>
        <v>239157</v>
      </c>
      <c r="G57" s="416"/>
      <c r="H57" s="52"/>
      <c r="I57" s="1"/>
      <c r="J57" s="181"/>
      <c r="K57" s="1"/>
      <c r="L57" s="1"/>
      <c r="M57" s="424"/>
      <c r="N57" s="423"/>
    </row>
    <row r="58" spans="1:14" ht="26.25" customHeight="1" thickBot="1">
      <c r="A58" s="281" t="s">
        <v>311</v>
      </c>
      <c r="B58" s="280"/>
      <c r="C58" s="291" t="s">
        <v>318</v>
      </c>
      <c r="D58" s="277">
        <f>D59+D60</f>
        <v>60000</v>
      </c>
      <c r="E58" s="277">
        <f>E59+E60</f>
        <v>0</v>
      </c>
      <c r="F58" s="277">
        <f>F59</f>
        <v>60000</v>
      </c>
      <c r="M58" s="423"/>
      <c r="N58" s="423"/>
    </row>
    <row r="59" spans="1:14" ht="29.25" customHeight="1" thickBot="1">
      <c r="A59" s="236" t="s">
        <v>312</v>
      </c>
      <c r="B59" s="240"/>
      <c r="C59" s="241" t="s">
        <v>208</v>
      </c>
      <c r="D59" s="257">
        <v>60000</v>
      </c>
      <c r="E59" s="257">
        <v>0</v>
      </c>
      <c r="F59" s="257">
        <f>D59-E59</f>
        <v>60000</v>
      </c>
      <c r="G59" s="416"/>
      <c r="M59" s="423"/>
      <c r="N59" s="423"/>
    </row>
    <row r="60" spans="1:14" ht="29.25" customHeight="1" thickBot="1">
      <c r="A60" s="236" t="s">
        <v>490</v>
      </c>
      <c r="B60" s="240"/>
      <c r="C60" s="241" t="s">
        <v>227</v>
      </c>
      <c r="D60" s="257">
        <v>0</v>
      </c>
      <c r="E60" s="257">
        <v>0</v>
      </c>
      <c r="F60" s="257">
        <f>D60-E60</f>
        <v>0</v>
      </c>
      <c r="G60" s="416"/>
      <c r="M60" s="423"/>
      <c r="N60" s="423"/>
    </row>
    <row r="61" spans="1:15" ht="30" customHeight="1" thickBot="1">
      <c r="A61" s="281" t="s">
        <v>309</v>
      </c>
      <c r="B61" s="282"/>
      <c r="C61" s="292" t="s">
        <v>319</v>
      </c>
      <c r="D61" s="293">
        <f>D62+D63</f>
        <v>1000000</v>
      </c>
      <c r="E61" s="293">
        <f>E62+E63</f>
        <v>111718.8</v>
      </c>
      <c r="F61" s="293">
        <f>F62+F63</f>
        <v>888281.2</v>
      </c>
      <c r="M61" s="423">
        <v>2500000</v>
      </c>
      <c r="N61" s="423">
        <f>D61-M61</f>
        <v>-1500000</v>
      </c>
      <c r="O61" s="1" t="s">
        <v>988</v>
      </c>
    </row>
    <row r="62" spans="1:14" s="175" customFormat="1" ht="27.75" customHeight="1" thickBot="1">
      <c r="A62" s="236" t="s">
        <v>310</v>
      </c>
      <c r="B62" s="240"/>
      <c r="C62" s="241" t="s">
        <v>217</v>
      </c>
      <c r="D62" s="255">
        <v>1000000</v>
      </c>
      <c r="E62" s="257">
        <v>111718.8</v>
      </c>
      <c r="F62" s="308">
        <f>D62-E62</f>
        <v>888281.2</v>
      </c>
      <c r="G62" s="416"/>
      <c r="H62" s="52"/>
      <c r="I62" s="1"/>
      <c r="J62" s="181"/>
      <c r="K62" s="1"/>
      <c r="L62" s="1"/>
      <c r="M62" s="424"/>
      <c r="N62" s="424"/>
    </row>
    <row r="63" spans="1:14" s="37" customFormat="1" ht="15" customHeight="1" thickBot="1">
      <c r="A63" s="329" t="s">
        <v>162</v>
      </c>
      <c r="B63" s="330"/>
      <c r="C63" s="331" t="s">
        <v>325</v>
      </c>
      <c r="D63" s="332">
        <v>0</v>
      </c>
      <c r="E63" s="382">
        <v>0</v>
      </c>
      <c r="F63" s="382">
        <f>D63-E63</f>
        <v>0</v>
      </c>
      <c r="G63" s="418"/>
      <c r="H63" s="328"/>
      <c r="J63" s="197"/>
      <c r="M63" s="421"/>
      <c r="N63" s="421"/>
    </row>
    <row r="64" spans="1:14" ht="15" customHeight="1" thickBot="1">
      <c r="A64" s="236" t="s">
        <v>154</v>
      </c>
      <c r="B64" s="240"/>
      <c r="C64" s="241" t="s">
        <v>209</v>
      </c>
      <c r="D64" s="257">
        <v>0</v>
      </c>
      <c r="E64" s="257">
        <v>0</v>
      </c>
      <c r="F64" s="308">
        <f>D64-E64</f>
        <v>0</v>
      </c>
      <c r="M64" s="419"/>
      <c r="N64" s="419"/>
    </row>
    <row r="65" spans="1:88" s="287" customFormat="1" ht="15" customHeight="1" thickBot="1">
      <c r="A65" s="318" t="s">
        <v>302</v>
      </c>
      <c r="B65" s="283"/>
      <c r="C65" s="276" t="s">
        <v>320</v>
      </c>
      <c r="D65" s="277">
        <f>D66</f>
        <v>5000</v>
      </c>
      <c r="E65" s="277">
        <f>E66</f>
        <v>800</v>
      </c>
      <c r="F65" s="277">
        <f>F66</f>
        <v>4200</v>
      </c>
      <c r="G65" s="1"/>
      <c r="H65" s="52"/>
      <c r="I65" s="1"/>
      <c r="J65" s="181"/>
      <c r="K65" s="1"/>
      <c r="L65" s="1"/>
      <c r="M65" s="419"/>
      <c r="N65" s="419"/>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row>
    <row r="66" spans="1:14" ht="61.5" customHeight="1" thickBot="1">
      <c r="A66" s="320" t="s">
        <v>301</v>
      </c>
      <c r="B66" s="240"/>
      <c r="C66" s="319" t="s">
        <v>248</v>
      </c>
      <c r="D66" s="257">
        <v>5000</v>
      </c>
      <c r="E66" s="257">
        <v>800</v>
      </c>
      <c r="F66" s="257">
        <f>D66-E66</f>
        <v>4200</v>
      </c>
      <c r="G66" s="416"/>
      <c r="M66" s="419"/>
      <c r="N66" s="419"/>
    </row>
    <row r="67" spans="1:14" ht="15" customHeight="1" hidden="1">
      <c r="A67" s="236" t="s">
        <v>156</v>
      </c>
      <c r="B67" s="240"/>
      <c r="C67" s="241"/>
      <c r="D67" s="257"/>
      <c r="E67" s="257"/>
      <c r="F67" s="257"/>
      <c r="M67" s="419"/>
      <c r="N67" s="419"/>
    </row>
    <row r="68" spans="1:14" s="37" customFormat="1" ht="26.25" customHeight="1" hidden="1">
      <c r="A68" s="236" t="s">
        <v>221</v>
      </c>
      <c r="B68" s="240"/>
      <c r="C68" s="241" t="s">
        <v>222</v>
      </c>
      <c r="D68" s="257"/>
      <c r="E68" s="257"/>
      <c r="F68" s="257">
        <v>0</v>
      </c>
      <c r="G68" s="1"/>
      <c r="H68" s="52"/>
      <c r="I68" s="1"/>
      <c r="J68" s="181"/>
      <c r="K68" s="1"/>
      <c r="L68" s="1"/>
      <c r="M68" s="421"/>
      <c r="N68" s="421"/>
    </row>
    <row r="69" spans="1:14" s="119" customFormat="1" ht="24" customHeight="1" hidden="1">
      <c r="A69" s="236" t="s">
        <v>284</v>
      </c>
      <c r="B69" s="240"/>
      <c r="C69" s="241" t="s">
        <v>285</v>
      </c>
      <c r="D69" s="255"/>
      <c r="E69" s="255"/>
      <c r="F69" s="279">
        <v>0</v>
      </c>
      <c r="G69" s="1"/>
      <c r="H69" s="52"/>
      <c r="I69" s="1"/>
      <c r="J69" s="181"/>
      <c r="K69" s="1"/>
      <c r="L69" s="1"/>
      <c r="M69" s="420"/>
      <c r="N69" s="420"/>
    </row>
    <row r="70" spans="1:14" s="119" customFormat="1" ht="26.25" customHeight="1" thickBot="1">
      <c r="A70" s="281" t="s">
        <v>211</v>
      </c>
      <c r="B70" s="282"/>
      <c r="C70" s="292" t="s">
        <v>225</v>
      </c>
      <c r="D70" s="293">
        <v>0</v>
      </c>
      <c r="E70" s="293">
        <v>0</v>
      </c>
      <c r="F70" s="293">
        <v>0</v>
      </c>
      <c r="G70" s="1"/>
      <c r="H70" s="52"/>
      <c r="I70" s="1"/>
      <c r="J70" s="181"/>
      <c r="K70" s="1"/>
      <c r="L70" s="1"/>
      <c r="M70" s="420"/>
      <c r="N70" s="420"/>
    </row>
    <row r="71" spans="1:14" s="119" customFormat="1" ht="36" customHeight="1" thickBot="1">
      <c r="A71" s="281" t="s">
        <v>194</v>
      </c>
      <c r="B71" s="284"/>
      <c r="C71" s="292" t="s">
        <v>186</v>
      </c>
      <c r="D71" s="293">
        <v>0</v>
      </c>
      <c r="E71" s="409">
        <v>0</v>
      </c>
      <c r="F71" s="293">
        <v>0</v>
      </c>
      <c r="G71" s="1"/>
      <c r="H71" s="52"/>
      <c r="I71" s="1"/>
      <c r="J71" s="181"/>
      <c r="K71" s="1"/>
      <c r="L71" s="1"/>
      <c r="M71" s="420"/>
      <c r="N71" s="420"/>
    </row>
    <row r="72" spans="1:14" s="119" customFormat="1" ht="22.5" customHeight="1" thickBot="1">
      <c r="A72" s="316"/>
      <c r="B72" s="309"/>
      <c r="C72" s="321"/>
      <c r="D72" s="317"/>
      <c r="E72" s="317"/>
      <c r="F72" s="317"/>
      <c r="G72" s="1"/>
      <c r="H72" s="52"/>
      <c r="I72" s="1"/>
      <c r="J72" s="181"/>
      <c r="K72" s="1"/>
      <c r="L72" s="1"/>
      <c r="M72" s="420"/>
      <c r="N72" s="420"/>
    </row>
    <row r="73" spans="1:14" s="119" customFormat="1" ht="37.5" customHeight="1" thickBot="1">
      <c r="A73" s="281" t="s">
        <v>313</v>
      </c>
      <c r="B73" s="282"/>
      <c r="C73" s="292" t="s">
        <v>321</v>
      </c>
      <c r="D73" s="293">
        <f>D74+D75+D76+D77+D78+D79+D80+D81+D82+D83</f>
        <v>18106020</v>
      </c>
      <c r="E73" s="293">
        <f>E74+E75+E76+E77+E78+E79+E80+E81+E82+E83</f>
        <v>2550236.5100000002</v>
      </c>
      <c r="F73" s="293">
        <f>F74+F75+F76+F77+F78+F79+F80+F81+F82+F83</f>
        <v>15555783.49</v>
      </c>
      <c r="G73" s="416"/>
      <c r="H73" s="52"/>
      <c r="I73" s="1"/>
      <c r="J73" s="181"/>
      <c r="K73" s="1"/>
      <c r="L73" s="1"/>
      <c r="M73" s="420"/>
      <c r="N73" s="420"/>
    </row>
    <row r="74" spans="1:14" s="119" customFormat="1" ht="24.75" customHeight="1" thickBot="1">
      <c r="A74" s="375" t="s">
        <v>101</v>
      </c>
      <c r="B74" s="376"/>
      <c r="C74" s="248" t="s">
        <v>314</v>
      </c>
      <c r="D74" s="255">
        <v>4584400</v>
      </c>
      <c r="E74" s="257">
        <v>362063</v>
      </c>
      <c r="F74" s="252">
        <f>D74-E74</f>
        <v>4222337</v>
      </c>
      <c r="G74" s="416"/>
      <c r="H74" s="52"/>
      <c r="I74" s="1"/>
      <c r="J74" s="181"/>
      <c r="K74" s="1"/>
      <c r="L74" s="1"/>
      <c r="M74" s="420"/>
      <c r="N74" s="420"/>
    </row>
    <row r="75" spans="1:14" s="119" customFormat="1" ht="24" customHeight="1" thickBot="1">
      <c r="A75" s="375" t="s">
        <v>158</v>
      </c>
      <c r="B75" s="376"/>
      <c r="C75" s="377" t="s">
        <v>315</v>
      </c>
      <c r="D75" s="255">
        <v>13287180</v>
      </c>
      <c r="E75" s="257">
        <v>3066053.66</v>
      </c>
      <c r="F75" s="308">
        <f aca="true" t="shared" si="1" ref="F75:F83">D75-E75</f>
        <v>10221126.34</v>
      </c>
      <c r="G75" s="416"/>
      <c r="H75" s="52"/>
      <c r="I75" s="1"/>
      <c r="J75" s="181"/>
      <c r="K75" s="1"/>
      <c r="L75" s="1"/>
      <c r="M75" s="420"/>
      <c r="N75" s="420"/>
    </row>
    <row r="76" spans="1:14" s="119" customFormat="1" ht="24" customHeight="1" thickBot="1">
      <c r="A76" s="375" t="s">
        <v>102</v>
      </c>
      <c r="B76" s="376"/>
      <c r="C76" s="248" t="s">
        <v>316</v>
      </c>
      <c r="D76" s="255">
        <v>210100</v>
      </c>
      <c r="E76" s="257">
        <v>0</v>
      </c>
      <c r="F76" s="308">
        <f t="shared" si="1"/>
        <v>210100</v>
      </c>
      <c r="G76" s="416"/>
      <c r="H76" s="52"/>
      <c r="I76" s="1"/>
      <c r="J76" s="181"/>
      <c r="K76" s="1"/>
      <c r="L76" s="1"/>
      <c r="M76" s="420"/>
      <c r="N76" s="420"/>
    </row>
    <row r="77" spans="1:14" s="119" customFormat="1" ht="25.5" customHeight="1" thickBot="1">
      <c r="A77" s="236" t="s">
        <v>150</v>
      </c>
      <c r="B77" s="240"/>
      <c r="C77" s="241" t="s">
        <v>476</v>
      </c>
      <c r="D77" s="257">
        <v>12040</v>
      </c>
      <c r="E77" s="257">
        <v>0</v>
      </c>
      <c r="F77" s="308">
        <f t="shared" si="1"/>
        <v>12040</v>
      </c>
      <c r="G77" s="416"/>
      <c r="H77" s="52"/>
      <c r="I77" s="1"/>
      <c r="J77" s="181"/>
      <c r="K77" s="1"/>
      <c r="L77" s="1"/>
      <c r="M77" s="420"/>
      <c r="N77" s="420"/>
    </row>
    <row r="78" spans="1:14" s="119" customFormat="1" ht="25.5" customHeight="1" thickBot="1">
      <c r="A78" s="375" t="s">
        <v>153</v>
      </c>
      <c r="B78" s="240"/>
      <c r="C78" s="248" t="s">
        <v>475</v>
      </c>
      <c r="D78" s="257">
        <v>12300</v>
      </c>
      <c r="E78" s="257">
        <v>0</v>
      </c>
      <c r="F78" s="308">
        <f>D78-E78</f>
        <v>12300</v>
      </c>
      <c r="G78" s="416"/>
      <c r="H78" s="52"/>
      <c r="I78" s="1"/>
      <c r="J78" s="181"/>
      <c r="K78" s="1"/>
      <c r="L78" s="1"/>
      <c r="M78" s="420"/>
      <c r="N78" s="420"/>
    </row>
    <row r="79" spans="1:14" s="119" customFormat="1" ht="24.75" customHeight="1" thickBot="1">
      <c r="A79" s="375" t="s">
        <v>153</v>
      </c>
      <c r="B79" s="376"/>
      <c r="C79" s="248" t="s">
        <v>477</v>
      </c>
      <c r="D79" s="255">
        <v>0</v>
      </c>
      <c r="E79" s="257">
        <v>0</v>
      </c>
      <c r="F79" s="308">
        <f t="shared" si="1"/>
        <v>0</v>
      </c>
      <c r="G79" s="416"/>
      <c r="H79" s="52"/>
      <c r="I79" s="1"/>
      <c r="J79" s="181"/>
      <c r="K79" s="1"/>
      <c r="L79" s="1"/>
      <c r="M79" s="420"/>
      <c r="N79" s="420"/>
    </row>
    <row r="80" spans="1:14" s="119" customFormat="1" ht="66.75" customHeight="1" thickBot="1">
      <c r="A80" s="236" t="s">
        <v>479</v>
      </c>
      <c r="B80" s="240"/>
      <c r="C80" s="241" t="s">
        <v>480</v>
      </c>
      <c r="D80" s="255">
        <v>0</v>
      </c>
      <c r="E80" s="257">
        <v>0</v>
      </c>
      <c r="F80" s="308">
        <f t="shared" si="1"/>
        <v>0</v>
      </c>
      <c r="G80" s="1"/>
      <c r="H80" s="52"/>
      <c r="I80" s="1"/>
      <c r="J80" s="181"/>
      <c r="K80" s="1"/>
      <c r="L80" s="1"/>
      <c r="M80" s="420"/>
      <c r="N80" s="420"/>
    </row>
    <row r="81" spans="1:14" s="119" customFormat="1" ht="40.5" customHeight="1" thickBot="1">
      <c r="A81" s="236" t="s">
        <v>229</v>
      </c>
      <c r="B81" s="240"/>
      <c r="C81" s="322" t="s">
        <v>0</v>
      </c>
      <c r="D81" s="257">
        <v>0</v>
      </c>
      <c r="E81" s="381">
        <v>-877880.15</v>
      </c>
      <c r="F81" s="308">
        <f t="shared" si="1"/>
        <v>877880.15</v>
      </c>
      <c r="G81" s="1"/>
      <c r="H81" s="52"/>
      <c r="I81" s="1"/>
      <c r="J81" s="181"/>
      <c r="K81" s="1"/>
      <c r="L81" s="1"/>
      <c r="M81" s="420"/>
      <c r="N81" s="420"/>
    </row>
    <row r="82" spans="1:14" s="119" customFormat="1" ht="25.5" customHeight="1" thickBot="1">
      <c r="A82" s="236" t="s">
        <v>193</v>
      </c>
      <c r="B82" s="240"/>
      <c r="C82" s="241" t="s">
        <v>195</v>
      </c>
      <c r="D82" s="257">
        <v>0</v>
      </c>
      <c r="E82" s="255">
        <v>0</v>
      </c>
      <c r="F82" s="308">
        <f t="shared" si="1"/>
        <v>0</v>
      </c>
      <c r="G82" s="1"/>
      <c r="H82" s="52"/>
      <c r="I82" s="1"/>
      <c r="J82" s="181"/>
      <c r="K82" s="1"/>
      <c r="L82" s="1"/>
      <c r="M82" s="420"/>
      <c r="N82" s="420"/>
    </row>
    <row r="83" spans="1:14" ht="38.25" customHeight="1" thickBot="1">
      <c r="A83" s="236" t="s">
        <v>192</v>
      </c>
      <c r="B83" s="240"/>
      <c r="C83" s="241" t="s">
        <v>191</v>
      </c>
      <c r="D83" s="257">
        <v>0</v>
      </c>
      <c r="E83" s="255">
        <v>0</v>
      </c>
      <c r="F83" s="308">
        <f t="shared" si="1"/>
        <v>0</v>
      </c>
      <c r="M83" s="419"/>
      <c r="N83" s="419"/>
    </row>
    <row r="84" spans="1:6" ht="130.5" customHeight="1">
      <c r="A84" s="243"/>
      <c r="B84" s="244"/>
      <c r="C84" s="265"/>
      <c r="D84" s="294"/>
      <c r="E84" s="295"/>
      <c r="F84" s="296"/>
    </row>
    <row r="85" spans="1:6" ht="228" customHeight="1">
      <c r="A85" s="243"/>
      <c r="B85" s="244"/>
      <c r="C85" s="265"/>
      <c r="D85" s="294"/>
      <c r="E85" s="295"/>
      <c r="F85" s="296"/>
    </row>
    <row r="86" spans="1:6" ht="34.5" customHeight="1">
      <c r="A86" s="213"/>
      <c r="B86" s="214"/>
      <c r="C86" s="297"/>
      <c r="D86" s="298"/>
      <c r="E86" s="299"/>
      <c r="F86" s="265"/>
    </row>
    <row r="87" spans="1:6" ht="20.25" customHeight="1" thickBot="1">
      <c r="A87" s="218"/>
      <c r="B87" s="214"/>
      <c r="C87" s="300"/>
      <c r="D87" s="301"/>
      <c r="E87" s="302"/>
      <c r="F87" s="265" t="s">
        <v>61</v>
      </c>
    </row>
    <row r="88" spans="1:6" ht="10.5" customHeight="1">
      <c r="A88" s="223"/>
      <c r="B88" s="224" t="s">
        <v>243</v>
      </c>
      <c r="C88" s="303"/>
      <c r="D88" s="225"/>
      <c r="E88" s="225"/>
      <c r="F88" s="225"/>
    </row>
    <row r="89" spans="1:6" ht="10.5" customHeight="1">
      <c r="A89" s="246"/>
      <c r="B89" s="226"/>
      <c r="C89" s="304"/>
      <c r="D89" s="227"/>
      <c r="E89" s="227" t="s">
        <v>18</v>
      </c>
      <c r="F89" s="227"/>
    </row>
    <row r="90" spans="1:12" s="30" customFormat="1" ht="10.5" customHeight="1">
      <c r="A90" s="228"/>
      <c r="B90" s="226" t="s">
        <v>27</v>
      </c>
      <c r="C90" s="304" t="s">
        <v>23</v>
      </c>
      <c r="D90" s="227" t="s">
        <v>87</v>
      </c>
      <c r="E90" s="227"/>
      <c r="F90" s="227" t="s">
        <v>6</v>
      </c>
      <c r="G90" s="1"/>
      <c r="H90" s="52"/>
      <c r="I90" s="1"/>
      <c r="J90" s="181"/>
      <c r="K90" s="1"/>
      <c r="L90" s="1"/>
    </row>
    <row r="91" spans="1:6" ht="10.5" customHeight="1">
      <c r="A91" s="228" t="s">
        <v>9</v>
      </c>
      <c r="B91" s="226" t="s">
        <v>28</v>
      </c>
      <c r="C91" s="304" t="s">
        <v>24</v>
      </c>
      <c r="D91" s="227" t="s">
        <v>88</v>
      </c>
      <c r="E91" s="227"/>
      <c r="F91" s="227" t="s">
        <v>7</v>
      </c>
    </row>
    <row r="92" spans="1:6" ht="10.5" customHeight="1" thickBot="1">
      <c r="A92" s="229"/>
      <c r="B92" s="230" t="s">
        <v>29</v>
      </c>
      <c r="C92" s="305" t="s">
        <v>25</v>
      </c>
      <c r="D92" s="231" t="s">
        <v>7</v>
      </c>
      <c r="E92" s="231"/>
      <c r="F92" s="231"/>
    </row>
    <row r="93" spans="1:6" ht="23.25" customHeight="1" thickBot="1">
      <c r="A93" s="315"/>
      <c r="B93" s="247"/>
      <c r="C93" s="247"/>
      <c r="D93" s="241"/>
      <c r="E93" s="248"/>
      <c r="F93" s="241"/>
    </row>
    <row r="94" spans="1:6" ht="25.5" customHeight="1" thickBot="1">
      <c r="A94" s="249">
        <v>1</v>
      </c>
      <c r="B94" s="250" t="s">
        <v>286</v>
      </c>
      <c r="C94" s="250" t="s">
        <v>287</v>
      </c>
      <c r="D94" s="251" t="s">
        <v>4</v>
      </c>
      <c r="E94" s="251">
        <v>5</v>
      </c>
      <c r="F94" s="251">
        <v>6</v>
      </c>
    </row>
    <row r="95" spans="1:6" ht="27" customHeight="1" thickBot="1">
      <c r="A95" s="253" t="s">
        <v>30</v>
      </c>
      <c r="B95" s="254" t="s">
        <v>39</v>
      </c>
      <c r="C95" s="254" t="s">
        <v>57</v>
      </c>
      <c r="D95" s="241"/>
      <c r="E95" s="255">
        <f>Лист2!E209-Лист1!E19</f>
        <v>-1479111.6000000006</v>
      </c>
      <c r="F95" s="256"/>
    </row>
    <row r="96" spans="1:6" ht="23.25" customHeight="1" thickBot="1">
      <c r="A96" s="253" t="s">
        <v>42</v>
      </c>
      <c r="B96" s="254"/>
      <c r="C96" s="241"/>
      <c r="D96" s="241"/>
      <c r="E96" s="255"/>
      <c r="F96" s="256"/>
    </row>
    <row r="97" spans="1:6" ht="23.25" customHeight="1" thickBot="1">
      <c r="A97" s="253" t="s">
        <v>266</v>
      </c>
      <c r="B97" s="254" t="s">
        <v>43</v>
      </c>
      <c r="C97" s="241" t="s">
        <v>57</v>
      </c>
      <c r="D97" s="241"/>
      <c r="E97" s="255">
        <f>E95</f>
        <v>-1479111.6000000006</v>
      </c>
      <c r="F97" s="256"/>
    </row>
    <row r="98" spans="1:6" ht="23.25" customHeight="1" thickBot="1">
      <c r="A98" s="253" t="s">
        <v>265</v>
      </c>
      <c r="B98" s="254" t="s">
        <v>44</v>
      </c>
      <c r="C98" s="241" t="s">
        <v>57</v>
      </c>
      <c r="D98" s="241"/>
      <c r="E98" s="255" t="s">
        <v>57</v>
      </c>
      <c r="F98" s="241"/>
    </row>
    <row r="99" spans="1:6" ht="23.25" customHeight="1" thickBot="1">
      <c r="A99" s="253" t="s">
        <v>267</v>
      </c>
      <c r="B99" s="254" t="s">
        <v>40</v>
      </c>
      <c r="C99" s="241"/>
      <c r="D99" s="241"/>
      <c r="E99" s="255"/>
      <c r="F99" s="241"/>
    </row>
    <row r="100" spans="1:6" ht="23.25" customHeight="1" thickBot="1">
      <c r="A100" s="253" t="s">
        <v>269</v>
      </c>
      <c r="B100" s="254" t="s">
        <v>46</v>
      </c>
      <c r="C100" s="241"/>
      <c r="D100" s="241"/>
      <c r="E100" s="257">
        <f>-1*E19</f>
        <v>-3296926.2500000005</v>
      </c>
      <c r="F100" s="241"/>
    </row>
    <row r="101" spans="1:6" ht="23.25" customHeight="1" thickBot="1">
      <c r="A101" s="253" t="s">
        <v>268</v>
      </c>
      <c r="B101" s="254"/>
      <c r="C101" s="241" t="s">
        <v>172</v>
      </c>
      <c r="D101" s="241"/>
      <c r="E101" s="257">
        <f>E100</f>
        <v>-3296926.2500000005</v>
      </c>
      <c r="F101" s="241"/>
    </row>
    <row r="102" spans="1:6" ht="23.25" customHeight="1" thickBot="1">
      <c r="A102" s="253" t="s">
        <v>270</v>
      </c>
      <c r="B102" s="254" t="s">
        <v>47</v>
      </c>
      <c r="C102" s="241"/>
      <c r="D102" s="241"/>
      <c r="E102" s="255">
        <f>Лист2!E209</f>
        <v>1817814.65</v>
      </c>
      <c r="F102" s="241"/>
    </row>
    <row r="103" spans="1:6" ht="23.25" customHeight="1" thickBot="1">
      <c r="A103" s="253" t="s">
        <v>134</v>
      </c>
      <c r="B103" s="254"/>
      <c r="C103" s="241" t="s">
        <v>173</v>
      </c>
      <c r="D103" s="241"/>
      <c r="E103" s="255">
        <f>E102</f>
        <v>1817814.65</v>
      </c>
      <c r="F103" s="241"/>
    </row>
    <row r="104" spans="1:6" ht="23.25" customHeight="1" thickBot="1">
      <c r="A104" s="253" t="s">
        <v>271</v>
      </c>
      <c r="B104" s="254" t="s">
        <v>49</v>
      </c>
      <c r="C104" s="241" t="s">
        <v>57</v>
      </c>
      <c r="D104" s="241" t="s">
        <v>57</v>
      </c>
      <c r="E104" s="248" t="s">
        <v>57</v>
      </c>
      <c r="F104" s="241" t="s">
        <v>57</v>
      </c>
    </row>
    <row r="105" spans="1:6" ht="23.25" customHeight="1" thickBot="1">
      <c r="A105" s="253" t="s">
        <v>272</v>
      </c>
      <c r="B105" s="254" t="s">
        <v>274</v>
      </c>
      <c r="C105" s="241" t="s">
        <v>57</v>
      </c>
      <c r="D105" s="241" t="s">
        <v>57</v>
      </c>
      <c r="E105" s="248" t="s">
        <v>57</v>
      </c>
      <c r="F105" s="241" t="s">
        <v>57</v>
      </c>
    </row>
    <row r="106" spans="1:6" ht="9.75" customHeight="1">
      <c r="A106" s="243" t="s">
        <v>273</v>
      </c>
      <c r="B106" s="258" t="s">
        <v>275</v>
      </c>
      <c r="C106" s="265" t="s">
        <v>57</v>
      </c>
      <c r="D106" s="265" t="s">
        <v>57</v>
      </c>
      <c r="E106" s="266" t="s">
        <v>57</v>
      </c>
      <c r="F106" s="265" t="s">
        <v>57</v>
      </c>
    </row>
    <row r="107" spans="1:6" ht="28.5" customHeight="1">
      <c r="A107" s="243"/>
      <c r="B107" s="258"/>
      <c r="C107" s="265"/>
      <c r="D107" s="265"/>
      <c r="E107" s="266"/>
      <c r="F107" s="265"/>
    </row>
    <row r="108" spans="1:6" ht="13.5" thickBot="1">
      <c r="A108" s="245" t="s">
        <v>492</v>
      </c>
      <c r="B108" s="245"/>
      <c r="C108" s="215" t="s">
        <v>493</v>
      </c>
      <c r="D108" s="259"/>
      <c r="E108" s="260"/>
      <c r="F108" s="259"/>
    </row>
    <row r="109" spans="1:6" ht="12.75">
      <c r="A109" s="334" t="s">
        <v>399</v>
      </c>
      <c r="B109" s="245"/>
      <c r="C109" s="263"/>
      <c r="D109" s="259"/>
      <c r="E109" s="221"/>
      <c r="F109" s="222"/>
    </row>
    <row r="110" spans="1:6" ht="12.75">
      <c r="A110" s="261"/>
      <c r="B110" s="213"/>
      <c r="C110" s="213"/>
      <c r="D110" s="259"/>
      <c r="E110" s="260"/>
      <c r="F110" s="222"/>
    </row>
    <row r="111" spans="1:6" ht="13.5" customHeight="1">
      <c r="A111" s="261"/>
      <c r="B111" s="245"/>
      <c r="C111" s="262"/>
      <c r="D111" s="259"/>
      <c r="E111" s="260"/>
      <c r="F111" s="259"/>
    </row>
    <row r="112" spans="1:6" ht="13.5" thickBot="1">
      <c r="A112" s="335" t="s">
        <v>283</v>
      </c>
      <c r="B112" s="245"/>
      <c r="C112" s="215" t="s">
        <v>494</v>
      </c>
      <c r="D112" s="259"/>
      <c r="E112" s="260"/>
      <c r="F112" s="259"/>
    </row>
    <row r="113" spans="1:6" ht="12.75">
      <c r="A113" s="245" t="s">
        <v>398</v>
      </c>
      <c r="B113" s="245"/>
      <c r="C113" s="263"/>
      <c r="D113" s="259"/>
      <c r="E113" s="221"/>
      <c r="F113" s="222"/>
    </row>
    <row r="114" spans="1:6" ht="12.75">
      <c r="A114" s="261"/>
      <c r="B114" s="213"/>
      <c r="C114" s="213"/>
      <c r="D114" s="259"/>
      <c r="E114" s="260"/>
      <c r="F114" s="222"/>
    </row>
    <row r="115" spans="1:6" ht="12.75">
      <c r="A115" s="213" t="s">
        <v>536</v>
      </c>
      <c r="B115" s="213"/>
      <c r="C115" s="213"/>
      <c r="D115" s="259"/>
      <c r="E115" s="260"/>
      <c r="F115" s="222"/>
    </row>
    <row r="116" spans="1:6" ht="12.75">
      <c r="A116" s="263"/>
      <c r="B116" s="263"/>
      <c r="C116" s="264"/>
      <c r="D116" s="265"/>
      <c r="E116" s="266"/>
      <c r="F116" s="265"/>
    </row>
    <row r="117" spans="1:6" ht="12.75">
      <c r="A117" s="213"/>
      <c r="B117" s="213"/>
      <c r="C117" s="213"/>
      <c r="D117" s="267"/>
      <c r="E117" s="268"/>
      <c r="F117" s="269"/>
    </row>
    <row r="118" spans="1:6" ht="12.75">
      <c r="A118" s="213"/>
      <c r="B118" s="213"/>
      <c r="C118" s="213"/>
      <c r="D118" s="267"/>
      <c r="E118" s="268"/>
      <c r="F118" s="269"/>
    </row>
    <row r="119" spans="1:6" ht="12.75">
      <c r="A119" s="213"/>
      <c r="B119" s="213"/>
      <c r="C119" s="213"/>
      <c r="D119" s="267"/>
      <c r="E119" s="268"/>
      <c r="F119" s="269"/>
    </row>
    <row r="120" spans="1:6" ht="12.75">
      <c r="A120" s="213"/>
      <c r="B120" s="213"/>
      <c r="C120" s="213"/>
      <c r="D120" s="267"/>
      <c r="E120" s="268"/>
      <c r="F120" s="269"/>
    </row>
    <row r="121" spans="1:6" ht="12.75">
      <c r="A121" s="213"/>
      <c r="B121" s="213"/>
      <c r="C121" s="213"/>
      <c r="D121" s="267"/>
      <c r="E121" s="268"/>
      <c r="F121" s="269"/>
    </row>
    <row r="122" spans="1:6" ht="12.75">
      <c r="A122" s="213"/>
      <c r="B122" s="213"/>
      <c r="C122" s="213"/>
      <c r="D122" s="267"/>
      <c r="E122" s="268"/>
      <c r="F122" s="269"/>
    </row>
    <row r="123" spans="1:6" ht="12.75">
      <c r="A123" s="213"/>
      <c r="B123" s="213"/>
      <c r="C123" s="213"/>
      <c r="D123" s="267"/>
      <c r="E123" s="268"/>
      <c r="F123" s="269"/>
    </row>
    <row r="124" spans="1:6" ht="12.75">
      <c r="A124" s="213"/>
      <c r="B124" s="213"/>
      <c r="C124" s="213"/>
      <c r="D124" s="267"/>
      <c r="E124" s="268"/>
      <c r="F124" s="269"/>
    </row>
    <row r="125" spans="1:6" ht="12.75">
      <c r="A125" s="213"/>
      <c r="B125" s="213"/>
      <c r="C125" s="213"/>
      <c r="D125" s="267"/>
      <c r="E125" s="268"/>
      <c r="F125" s="269"/>
    </row>
    <row r="126" spans="1:6" ht="12.75">
      <c r="A126" s="213"/>
      <c r="B126" s="213"/>
      <c r="C126" s="213"/>
      <c r="D126" s="267"/>
      <c r="E126" s="268"/>
      <c r="F126" s="269"/>
    </row>
    <row r="127" spans="1:6" ht="12.75">
      <c r="A127" s="213"/>
      <c r="B127" s="213"/>
      <c r="C127" s="213"/>
      <c r="D127" s="267"/>
      <c r="E127" s="268"/>
      <c r="F127" s="269"/>
    </row>
    <row r="128" spans="1:6" ht="12.75">
      <c r="A128" s="213"/>
      <c r="B128" s="213"/>
      <c r="C128" s="213"/>
      <c r="D128" s="267"/>
      <c r="E128" s="268"/>
      <c r="F128" s="269"/>
    </row>
    <row r="129" spans="1:6" ht="12.75">
      <c r="A129" s="213"/>
      <c r="B129" s="213"/>
      <c r="C129" s="213"/>
      <c r="D129" s="267"/>
      <c r="E129" s="268"/>
      <c r="F129" s="269"/>
    </row>
    <row r="130" spans="1:6" ht="12.75">
      <c r="A130" s="213"/>
      <c r="B130" s="213"/>
      <c r="C130" s="213"/>
      <c r="D130" s="267"/>
      <c r="E130" s="268"/>
      <c r="F130" s="269"/>
    </row>
    <row r="131" spans="1:6" ht="12.75">
      <c r="A131" s="213"/>
      <c r="B131" s="213"/>
      <c r="C131" s="213"/>
      <c r="D131" s="267"/>
      <c r="E131" s="268"/>
      <c r="F131" s="269"/>
    </row>
    <row r="132" spans="1:6" ht="12.75">
      <c r="A132" s="213"/>
      <c r="B132" s="213"/>
      <c r="C132" s="213"/>
      <c r="D132" s="267"/>
      <c r="E132" s="268"/>
      <c r="F132" s="269"/>
    </row>
    <row r="133" spans="1:6" ht="12.75">
      <c r="A133" s="213"/>
      <c r="B133" s="213"/>
      <c r="C133" s="213"/>
      <c r="D133" s="267"/>
      <c r="E133" s="268"/>
      <c r="F133" s="269"/>
    </row>
    <row r="134" spans="1:6" ht="12.75">
      <c r="A134" s="213"/>
      <c r="B134" s="213"/>
      <c r="C134" s="213"/>
      <c r="D134" s="267"/>
      <c r="E134" s="268"/>
      <c r="F134" s="269"/>
    </row>
    <row r="135" spans="1:6" ht="12.75">
      <c r="A135" s="213"/>
      <c r="B135" s="213"/>
      <c r="C135" s="213"/>
      <c r="D135" s="267"/>
      <c r="E135" s="268"/>
      <c r="F135" s="269"/>
    </row>
    <row r="136" spans="1:6" ht="12.75">
      <c r="A136" s="213"/>
      <c r="B136" s="213"/>
      <c r="C136" s="213"/>
      <c r="D136" s="267"/>
      <c r="E136" s="268"/>
      <c r="F136" s="269"/>
    </row>
    <row r="137" spans="1:6" ht="12.75">
      <c r="A137" s="213"/>
      <c r="B137" s="213"/>
      <c r="C137" s="213"/>
      <c r="D137" s="267"/>
      <c r="E137" s="268"/>
      <c r="F137" s="269"/>
    </row>
    <row r="138" spans="1:6" ht="12.75">
      <c r="A138" s="213"/>
      <c r="B138" s="213"/>
      <c r="C138" s="213"/>
      <c r="D138" s="267"/>
      <c r="E138" s="268"/>
      <c r="F138" s="269"/>
    </row>
    <row r="139" spans="1:6" ht="12.75">
      <c r="A139" s="213"/>
      <c r="B139" s="213"/>
      <c r="C139" s="213"/>
      <c r="D139" s="267"/>
      <c r="E139" s="268"/>
      <c r="F139" s="269"/>
    </row>
    <row r="140" spans="1:6" ht="12.75">
      <c r="A140" s="213"/>
      <c r="B140" s="213"/>
      <c r="C140" s="213"/>
      <c r="D140" s="267"/>
      <c r="E140" s="268"/>
      <c r="F140" s="269"/>
    </row>
    <row r="141" spans="1:6" ht="12.75">
      <c r="A141" s="213"/>
      <c r="B141" s="213"/>
      <c r="C141" s="213"/>
      <c r="D141" s="267"/>
      <c r="E141" s="268"/>
      <c r="F141" s="269"/>
    </row>
    <row r="142" spans="1:6" ht="12.75">
      <c r="A142" s="213"/>
      <c r="B142" s="213"/>
      <c r="C142" s="213"/>
      <c r="D142" s="267"/>
      <c r="E142" s="268"/>
      <c r="F142" s="269"/>
    </row>
    <row r="143" spans="1:6" ht="12.75">
      <c r="A143" s="213"/>
      <c r="B143" s="213"/>
      <c r="C143" s="213"/>
      <c r="D143" s="267"/>
      <c r="E143" s="268"/>
      <c r="F143" s="269"/>
    </row>
    <row r="144" spans="1:6" ht="12.75">
      <c r="A144" s="213"/>
      <c r="B144" s="213"/>
      <c r="C144" s="213"/>
      <c r="D144" s="267"/>
      <c r="E144" s="268"/>
      <c r="F144" s="269"/>
    </row>
    <row r="145" spans="1:6" ht="12.75">
      <c r="A145" s="213"/>
      <c r="B145" s="213"/>
      <c r="C145" s="213"/>
      <c r="D145" s="267"/>
      <c r="E145" s="268"/>
      <c r="F145" s="269"/>
    </row>
    <row r="146" spans="1:6" ht="12.75">
      <c r="A146" s="213"/>
      <c r="B146" s="213"/>
      <c r="C146" s="213"/>
      <c r="D146" s="267"/>
      <c r="E146" s="268"/>
      <c r="F146" s="269"/>
    </row>
    <row r="147" spans="1:6" ht="12.75">
      <c r="A147" s="213"/>
      <c r="B147" s="213"/>
      <c r="C147" s="213"/>
      <c r="D147" s="267"/>
      <c r="E147" s="268"/>
      <c r="F147" s="269"/>
    </row>
    <row r="148" spans="1:6" ht="12.75">
      <c r="A148" s="213"/>
      <c r="B148" s="213"/>
      <c r="C148" s="213"/>
      <c r="D148" s="267"/>
      <c r="E148" s="268"/>
      <c r="F148" s="269"/>
    </row>
    <row r="149" spans="1:6" ht="12.75">
      <c r="A149" s="213"/>
      <c r="B149" s="213"/>
      <c r="C149" s="213"/>
      <c r="D149" s="267"/>
      <c r="E149" s="268"/>
      <c r="F149" s="269"/>
    </row>
    <row r="150" spans="1:6" ht="12.75">
      <c r="A150" s="213"/>
      <c r="B150" s="213"/>
      <c r="C150" s="213"/>
      <c r="D150" s="267"/>
      <c r="E150" s="268"/>
      <c r="F150" s="269"/>
    </row>
    <row r="151" spans="1:6" ht="12.75">
      <c r="A151" s="213"/>
      <c r="B151" s="213"/>
      <c r="C151" s="213"/>
      <c r="D151" s="267"/>
      <c r="E151" s="268"/>
      <c r="F151" s="269"/>
    </row>
    <row r="152" spans="1:6" ht="12.75">
      <c r="A152" s="213"/>
      <c r="B152" s="213"/>
      <c r="C152" s="213"/>
      <c r="D152" s="267"/>
      <c r="E152" s="268"/>
      <c r="F152" s="269"/>
    </row>
    <row r="153" spans="1:6" ht="12.75">
      <c r="A153" s="213"/>
      <c r="B153" s="213"/>
      <c r="C153" s="213"/>
      <c r="D153" s="267"/>
      <c r="E153" s="268"/>
      <c r="F153" s="269"/>
    </row>
    <row r="154" spans="1:6" ht="12.75">
      <c r="A154" s="213"/>
      <c r="B154" s="213"/>
      <c r="C154" s="213"/>
      <c r="D154" s="267"/>
      <c r="E154" s="268"/>
      <c r="F154" s="269"/>
    </row>
    <row r="155" spans="1:6" ht="12.75">
      <c r="A155" s="213"/>
      <c r="B155" s="213"/>
      <c r="C155" s="213"/>
      <c r="D155" s="267"/>
      <c r="E155" s="268"/>
      <c r="F155" s="269"/>
    </row>
    <row r="156" spans="1:6" ht="12.75">
      <c r="A156" s="213"/>
      <c r="B156" s="213"/>
      <c r="C156" s="213"/>
      <c r="D156" s="267"/>
      <c r="E156" s="268"/>
      <c r="F156" s="269"/>
    </row>
    <row r="157" spans="1:6" ht="12.75">
      <c r="A157" s="213"/>
      <c r="B157" s="213"/>
      <c r="C157" s="213"/>
      <c r="D157" s="267"/>
      <c r="E157" s="268"/>
      <c r="F157" s="269"/>
    </row>
    <row r="158" spans="1:6" ht="12.75">
      <c r="A158" s="213"/>
      <c r="B158" s="213"/>
      <c r="C158" s="213"/>
      <c r="D158" s="267"/>
      <c r="E158" s="268"/>
      <c r="F158" s="269"/>
    </row>
    <row r="159" spans="1:6" ht="12.75">
      <c r="A159" s="213"/>
      <c r="B159" s="213"/>
      <c r="C159" s="213"/>
      <c r="D159" s="267"/>
      <c r="E159" s="268"/>
      <c r="F159" s="269"/>
    </row>
    <row r="160" spans="1:6" ht="12.75">
      <c r="A160" s="213"/>
      <c r="B160" s="213"/>
      <c r="C160" s="213"/>
      <c r="D160" s="267"/>
      <c r="E160" s="268"/>
      <c r="F160" s="269"/>
    </row>
    <row r="161" spans="1:6" ht="12.75">
      <c r="A161" s="213"/>
      <c r="B161" s="213"/>
      <c r="C161" s="213"/>
      <c r="D161" s="267"/>
      <c r="E161" s="268"/>
      <c r="F161" s="269"/>
    </row>
    <row r="162" spans="1:6" ht="12.75">
      <c r="A162" s="213"/>
      <c r="B162" s="213"/>
      <c r="C162" s="213"/>
      <c r="D162" s="267"/>
      <c r="E162" s="268"/>
      <c r="F162" s="269"/>
    </row>
    <row r="163" spans="1:6" ht="12.75">
      <c r="A163" s="213"/>
      <c r="B163" s="213"/>
      <c r="C163" s="213"/>
      <c r="D163" s="267"/>
      <c r="E163" s="268"/>
      <c r="F163" s="269"/>
    </row>
    <row r="164" spans="1:6" ht="12.75">
      <c r="A164" s="213"/>
      <c r="B164" s="213"/>
      <c r="C164" s="213"/>
      <c r="D164" s="267"/>
      <c r="E164" s="268"/>
      <c r="F164" s="269"/>
    </row>
    <row r="165" spans="1:6" ht="12.75">
      <c r="A165" s="213"/>
      <c r="B165" s="213"/>
      <c r="C165" s="213"/>
      <c r="D165" s="267"/>
      <c r="E165" s="268"/>
      <c r="F165" s="269"/>
    </row>
    <row r="166" spans="1:6" ht="12.75">
      <c r="A166" s="213"/>
      <c r="B166" s="213"/>
      <c r="C166" s="213"/>
      <c r="D166" s="267"/>
      <c r="E166" s="268"/>
      <c r="F166" s="269"/>
    </row>
    <row r="167" spans="1:6" ht="12.75">
      <c r="A167" s="213"/>
      <c r="B167" s="213"/>
      <c r="C167" s="213"/>
      <c r="D167" s="267"/>
      <c r="E167" s="268"/>
      <c r="F167" s="269"/>
    </row>
    <row r="168" spans="1:6" ht="12.75">
      <c r="A168" s="213"/>
      <c r="B168" s="213"/>
      <c r="C168" s="213"/>
      <c r="D168" s="267"/>
      <c r="E168" s="268"/>
      <c r="F168" s="269"/>
    </row>
    <row r="169" spans="1:6" ht="12.75">
      <c r="A169" s="213"/>
      <c r="B169" s="213"/>
      <c r="C169" s="213"/>
      <c r="D169" s="267"/>
      <c r="E169" s="268"/>
      <c r="F169" s="269"/>
    </row>
    <row r="170" spans="1:6" ht="12.75">
      <c r="A170" s="213"/>
      <c r="B170" s="213"/>
      <c r="C170" s="213"/>
      <c r="D170" s="267"/>
      <c r="E170" s="268"/>
      <c r="F170" s="269"/>
    </row>
    <row r="171" spans="1:6" ht="12.75">
      <c r="A171" s="213"/>
      <c r="B171" s="213"/>
      <c r="C171" s="213"/>
      <c r="D171" s="267"/>
      <c r="E171" s="268"/>
      <c r="F171" s="269"/>
    </row>
    <row r="172" spans="1:6" ht="12.75">
      <c r="A172" s="213"/>
      <c r="B172" s="213"/>
      <c r="C172" s="213"/>
      <c r="D172" s="267"/>
      <c r="E172" s="268"/>
      <c r="F172" s="269"/>
    </row>
    <row r="173" spans="1:6" ht="12.75">
      <c r="A173" s="213"/>
      <c r="B173" s="213"/>
      <c r="C173" s="213"/>
      <c r="D173" s="267"/>
      <c r="E173" s="268"/>
      <c r="F173" s="269"/>
    </row>
    <row r="174" spans="1:6" ht="12.75">
      <c r="A174" s="213"/>
      <c r="B174" s="213"/>
      <c r="C174" s="213"/>
      <c r="D174" s="267"/>
      <c r="E174" s="268"/>
      <c r="F174" s="269"/>
    </row>
    <row r="175" spans="1:6" ht="12.75">
      <c r="A175" s="213"/>
      <c r="B175" s="213"/>
      <c r="C175" s="213"/>
      <c r="D175" s="267"/>
      <c r="E175" s="268"/>
      <c r="F175" s="269"/>
    </row>
    <row r="176" spans="1:6" ht="12.75">
      <c r="A176" s="213"/>
      <c r="B176" s="213"/>
      <c r="C176" s="213"/>
      <c r="D176" s="267"/>
      <c r="E176" s="268"/>
      <c r="F176" s="269"/>
    </row>
    <row r="177" spans="1:6" ht="12.75">
      <c r="A177" s="213"/>
      <c r="B177" s="213"/>
      <c r="C177" s="213"/>
      <c r="D177" s="267"/>
      <c r="E177" s="268"/>
      <c r="F177" s="269"/>
    </row>
    <row r="178" spans="1:6" ht="12.75">
      <c r="A178" s="213"/>
      <c r="B178" s="213"/>
      <c r="C178" s="213"/>
      <c r="D178" s="267"/>
      <c r="E178" s="268"/>
      <c r="F178" s="269"/>
    </row>
    <row r="179" spans="1:6" ht="12.75">
      <c r="A179" s="213"/>
      <c r="B179" s="213"/>
      <c r="C179" s="213"/>
      <c r="D179" s="267"/>
      <c r="E179" s="268"/>
      <c r="F179" s="269"/>
    </row>
    <row r="180" spans="1:6" ht="12.75">
      <c r="A180" s="213"/>
      <c r="B180" s="213"/>
      <c r="C180" s="213"/>
      <c r="D180" s="267"/>
      <c r="E180" s="268"/>
      <c r="F180" s="269"/>
    </row>
    <row r="181" spans="1:6" ht="12.75">
      <c r="A181" s="213"/>
      <c r="B181" s="213"/>
      <c r="C181" s="213"/>
      <c r="D181" s="267"/>
      <c r="E181" s="268"/>
      <c r="F181" s="269"/>
    </row>
    <row r="182" spans="1:6" ht="12.75">
      <c r="A182" s="213"/>
      <c r="B182" s="213"/>
      <c r="C182" s="213"/>
      <c r="D182" s="267"/>
      <c r="E182" s="268"/>
      <c r="F182" s="269"/>
    </row>
    <row r="183" spans="1:6" ht="12.75">
      <c r="A183" s="213"/>
      <c r="B183" s="213"/>
      <c r="C183" s="213"/>
      <c r="D183" s="267"/>
      <c r="E183" s="268"/>
      <c r="F183" s="269"/>
    </row>
    <row r="184" spans="1:6" ht="12.75">
      <c r="A184" s="213"/>
      <c r="B184" s="213"/>
      <c r="C184" s="213"/>
      <c r="D184" s="267"/>
      <c r="E184" s="268"/>
      <c r="F184" s="269"/>
    </row>
    <row r="185" spans="1:6" ht="12.75">
      <c r="A185" s="213"/>
      <c r="B185" s="213"/>
      <c r="C185" s="213"/>
      <c r="D185" s="267"/>
      <c r="E185" s="268"/>
      <c r="F185" s="269"/>
    </row>
    <row r="186" spans="1:6" ht="12.75">
      <c r="A186" s="213"/>
      <c r="B186" s="213"/>
      <c r="C186" s="213"/>
      <c r="D186" s="267"/>
      <c r="E186" s="268"/>
      <c r="F186" s="269"/>
    </row>
    <row r="187" spans="1:6" ht="12.75">
      <c r="A187" s="213"/>
      <c r="B187" s="213"/>
      <c r="C187" s="213"/>
      <c r="D187" s="267"/>
      <c r="E187" s="268"/>
      <c r="F187" s="269"/>
    </row>
    <row r="188" spans="1:6" ht="12.75">
      <c r="A188" s="213"/>
      <c r="B188" s="213"/>
      <c r="C188" s="213"/>
      <c r="D188" s="267"/>
      <c r="E188" s="268"/>
      <c r="F188" s="269"/>
    </row>
    <row r="189" spans="1:6" ht="12.75">
      <c r="A189" s="213"/>
      <c r="B189" s="213"/>
      <c r="C189" s="213"/>
      <c r="D189" s="267"/>
      <c r="E189" s="268"/>
      <c r="F189" s="269"/>
    </row>
    <row r="190" spans="1:6" ht="12.75">
      <c r="A190" s="213"/>
      <c r="B190" s="213"/>
      <c r="C190" s="213"/>
      <c r="D190" s="267"/>
      <c r="E190" s="268"/>
      <c r="F190" s="269"/>
    </row>
    <row r="191" spans="1:6" ht="12.75">
      <c r="A191" s="213"/>
      <c r="B191" s="213"/>
      <c r="C191" s="213"/>
      <c r="D191" s="267"/>
      <c r="E191" s="268"/>
      <c r="F191" s="269"/>
    </row>
    <row r="192" spans="1:6" ht="12.75">
      <c r="A192" s="213"/>
      <c r="B192" s="213"/>
      <c r="C192" s="213"/>
      <c r="D192" s="267"/>
      <c r="E192" s="268"/>
      <c r="F192" s="269"/>
    </row>
    <row r="193" spans="1:6" ht="12.75">
      <c r="A193" s="213"/>
      <c r="B193" s="213"/>
      <c r="C193" s="213"/>
      <c r="D193" s="267"/>
      <c r="E193" s="268"/>
      <c r="F193" s="269"/>
    </row>
    <row r="194" spans="1:6" ht="12.75">
      <c r="A194" s="213"/>
      <c r="B194" s="213"/>
      <c r="C194" s="213"/>
      <c r="D194" s="267"/>
      <c r="E194" s="268"/>
      <c r="F194" s="269"/>
    </row>
    <row r="195" spans="1:6" ht="12.75">
      <c r="A195" s="213"/>
      <c r="B195" s="213"/>
      <c r="C195" s="213"/>
      <c r="D195" s="267"/>
      <c r="E195" s="268"/>
      <c r="F195" s="269"/>
    </row>
    <row r="196" spans="1:6" ht="12.75">
      <c r="A196" s="213"/>
      <c r="B196" s="213"/>
      <c r="C196" s="213"/>
      <c r="D196" s="267"/>
      <c r="E196" s="268"/>
      <c r="F196" s="269"/>
    </row>
    <row r="197" spans="1:6" ht="12.75">
      <c r="A197" s="213"/>
      <c r="B197" s="213"/>
      <c r="C197" s="213"/>
      <c r="D197" s="267"/>
      <c r="E197" s="268"/>
      <c r="F197" s="269"/>
    </row>
  </sheetData>
  <sheetProtection/>
  <mergeCells count="3">
    <mergeCell ref="A2:D2"/>
    <mergeCell ref="M13:M17"/>
    <mergeCell ref="N13:N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Q841"/>
  <sheetViews>
    <sheetView zoomScalePageLayoutView="0" workbookViewId="0" topLeftCell="A24">
      <selection activeCell="V30" sqref="V30"/>
    </sheetView>
  </sheetViews>
  <sheetFormatPr defaultColWidth="9.00390625" defaultRowHeight="12.75"/>
  <cols>
    <col min="1" max="1" width="0.5" style="435" customWidth="1"/>
    <col min="2" max="3" width="0" style="435" hidden="1" customWidth="1"/>
    <col min="4" max="4" width="14.125" style="435" customWidth="1"/>
    <col min="5" max="5" width="14.50390625" style="435" customWidth="1"/>
    <col min="6" max="6" width="0.37109375" style="435" hidden="1" customWidth="1"/>
    <col min="7" max="7" width="12.625" style="435" customWidth="1"/>
    <col min="8" max="8" width="9.625" style="435" customWidth="1"/>
    <col min="9" max="9" width="3.625" style="435" customWidth="1"/>
    <col min="10" max="10" width="13.50390625" style="839" customWidth="1"/>
    <col min="11" max="11" width="0.37109375" style="435" customWidth="1"/>
    <col min="12" max="12" width="0.5" style="840" hidden="1" customWidth="1"/>
    <col min="13" max="13" width="8.50390625" style="840" hidden="1" customWidth="1"/>
    <col min="14" max="14" width="14.00390625" style="840" hidden="1" customWidth="1"/>
    <col min="15" max="15" width="11.00390625" style="840" hidden="1" customWidth="1"/>
    <col min="16" max="16" width="10.875" style="840" hidden="1" customWidth="1"/>
    <col min="17" max="17" width="25.00390625" style="841" hidden="1" customWidth="1"/>
    <col min="18" max="18" width="14.50390625" style="842" hidden="1" customWidth="1"/>
    <col min="19" max="20" width="12.125" style="842" hidden="1" customWidth="1"/>
    <col min="21" max="21" width="11.50390625" style="842" hidden="1" customWidth="1"/>
    <col min="22" max="22" width="13.50390625" style="435" customWidth="1"/>
    <col min="23" max="23" width="21.375" style="754" customWidth="1"/>
    <col min="24" max="24" width="13.375" style="843" customWidth="1"/>
    <col min="25" max="25" width="13.375" style="844" customWidth="1"/>
    <col min="26" max="26" width="14.50390625" style="754" customWidth="1"/>
    <col min="27" max="27" width="15.50390625" style="435" customWidth="1"/>
    <col min="28" max="35" width="0" style="435" hidden="1" customWidth="1"/>
    <col min="36" max="38" width="1.4921875" style="435" customWidth="1"/>
    <col min="39" max="40" width="13.625" style="434" bestFit="1" customWidth="1"/>
    <col min="41" max="41" width="12.00390625" style="434" customWidth="1"/>
    <col min="42" max="58" width="8.875" style="434" customWidth="1"/>
    <col min="59" max="16384" width="8.875" style="435" customWidth="1"/>
  </cols>
  <sheetData>
    <row r="1" spans="1:38" ht="409.5" customHeight="1" hidden="1">
      <c r="A1" s="426"/>
      <c r="B1" s="426">
        <v>10</v>
      </c>
      <c r="C1" s="426"/>
      <c r="D1" s="426"/>
      <c r="E1" s="426"/>
      <c r="F1" s="426">
        <v>4</v>
      </c>
      <c r="G1" s="426"/>
      <c r="H1" s="426"/>
      <c r="I1" s="426"/>
      <c r="J1" s="427"/>
      <c r="K1" s="426"/>
      <c r="L1" s="428"/>
      <c r="M1" s="428"/>
      <c r="N1" s="428"/>
      <c r="O1" s="428"/>
      <c r="P1" s="428"/>
      <c r="Q1" s="429"/>
      <c r="R1" s="430"/>
      <c r="S1" s="430"/>
      <c r="T1" s="430"/>
      <c r="U1" s="430"/>
      <c r="V1" s="426"/>
      <c r="W1" s="431"/>
      <c r="X1" s="432"/>
      <c r="Y1" s="433"/>
      <c r="Z1" s="431"/>
      <c r="AA1" s="426"/>
      <c r="AB1" s="426"/>
      <c r="AC1" s="426"/>
      <c r="AD1" s="426"/>
      <c r="AE1" s="426"/>
      <c r="AF1" s="426"/>
      <c r="AG1" s="426"/>
      <c r="AH1" s="426"/>
      <c r="AI1" s="426"/>
      <c r="AJ1" s="426"/>
      <c r="AK1" s="426"/>
      <c r="AL1" s="426"/>
    </row>
    <row r="2" spans="1:36" ht="12.75" customHeight="1">
      <c r="A2" s="436"/>
      <c r="B2" s="436"/>
      <c r="C2" s="436"/>
      <c r="D2" s="1368" t="s">
        <v>541</v>
      </c>
      <c r="E2" s="1369"/>
      <c r="F2" s="1369"/>
      <c r="G2" s="437"/>
      <c r="H2" s="436"/>
      <c r="I2" s="436"/>
      <c r="J2" s="438" t="s">
        <v>542</v>
      </c>
      <c r="K2" s="426"/>
      <c r="L2" s="428"/>
      <c r="M2" s="428"/>
      <c r="N2" s="428"/>
      <c r="O2" s="428"/>
      <c r="P2" s="428"/>
      <c r="Q2" s="439" t="s">
        <v>541</v>
      </c>
      <c r="R2" s="439"/>
      <c r="S2" s="439"/>
      <c r="T2" s="430"/>
      <c r="U2" s="430"/>
      <c r="V2" s="426"/>
      <c r="W2" s="1370" t="s">
        <v>543</v>
      </c>
      <c r="X2" s="1370"/>
      <c r="Y2" s="1370"/>
      <c r="Z2" s="1370"/>
      <c r="AA2" s="1370"/>
      <c r="AB2" s="426"/>
      <c r="AC2" s="426"/>
      <c r="AD2" s="426"/>
      <c r="AE2" s="426"/>
      <c r="AF2" s="426"/>
      <c r="AG2" s="426"/>
      <c r="AH2" s="426"/>
      <c r="AI2" s="426"/>
      <c r="AJ2" s="426"/>
    </row>
    <row r="3" spans="1:43" ht="18.75" customHeight="1">
      <c r="A3" s="440" t="s">
        <v>544</v>
      </c>
      <c r="B3" s="436"/>
      <c r="C3" s="436"/>
      <c r="D3" s="1371" t="s">
        <v>545</v>
      </c>
      <c r="E3" s="441"/>
      <c r="F3" s="442"/>
      <c r="G3" s="1371" t="s">
        <v>546</v>
      </c>
      <c r="H3" s="1371" t="s">
        <v>547</v>
      </c>
      <c r="I3" s="436"/>
      <c r="J3" s="443"/>
      <c r="K3" s="444"/>
      <c r="L3" s="445"/>
      <c r="M3" s="428"/>
      <c r="N3" s="428"/>
      <c r="O3" s="428"/>
      <c r="P3" s="428"/>
      <c r="Q3" s="446" t="s">
        <v>548</v>
      </c>
      <c r="R3" s="447" t="s">
        <v>549</v>
      </c>
      <c r="S3" s="448"/>
      <c r="T3" s="430"/>
      <c r="U3" s="430"/>
      <c r="V3" s="426"/>
      <c r="W3" s="449"/>
      <c r="X3" s="432"/>
      <c r="Y3" s="450"/>
      <c r="Z3" s="449" t="s">
        <v>550</v>
      </c>
      <c r="AA3" s="449" t="s">
        <v>551</v>
      </c>
      <c r="AB3" s="426"/>
      <c r="AC3" s="426"/>
      <c r="AD3" s="426"/>
      <c r="AE3" s="426"/>
      <c r="AF3" s="426"/>
      <c r="AG3" s="426"/>
      <c r="AH3" s="426"/>
      <c r="AI3" s="426"/>
      <c r="AJ3" s="426"/>
      <c r="AK3" s="426"/>
      <c r="AL3" s="426"/>
      <c r="AM3" s="451" t="s">
        <v>552</v>
      </c>
      <c r="AN3" s="451"/>
      <c r="AO3" s="451"/>
      <c r="AP3" s="451"/>
      <c r="AQ3" s="451"/>
    </row>
    <row r="4" spans="1:43" ht="21.75" customHeight="1">
      <c r="A4" s="452"/>
      <c r="B4" s="453"/>
      <c r="C4" s="453"/>
      <c r="D4" s="1371"/>
      <c r="E4" s="454"/>
      <c r="F4" s="455"/>
      <c r="G4" s="1371"/>
      <c r="H4" s="1371"/>
      <c r="I4" s="453"/>
      <c r="J4" s="456"/>
      <c r="K4" s="457"/>
      <c r="L4" s="457"/>
      <c r="M4" s="458"/>
      <c r="N4" s="458"/>
      <c r="O4" s="459" t="s">
        <v>553</v>
      </c>
      <c r="P4" s="460"/>
      <c r="Q4" s="461"/>
      <c r="R4" s="462" t="s">
        <v>554</v>
      </c>
      <c r="S4" s="462"/>
      <c r="T4" s="460"/>
      <c r="U4" s="460"/>
      <c r="V4" s="459" t="s">
        <v>555</v>
      </c>
      <c r="W4" s="449" t="s">
        <v>556</v>
      </c>
      <c r="X4" s="432"/>
      <c r="Y4" s="450"/>
      <c r="Z4" s="449"/>
      <c r="AA4" s="449"/>
      <c r="AB4" s="426"/>
      <c r="AC4" s="426"/>
      <c r="AD4" s="426"/>
      <c r="AE4" s="426"/>
      <c r="AF4" s="426"/>
      <c r="AG4" s="426"/>
      <c r="AH4" s="426"/>
      <c r="AI4" s="426"/>
      <c r="AJ4" s="426"/>
      <c r="AK4" s="426"/>
      <c r="AL4" s="434"/>
      <c r="AM4" s="451" t="s">
        <v>557</v>
      </c>
      <c r="AN4" s="451"/>
      <c r="AO4" s="451"/>
      <c r="AP4" s="451"/>
      <c r="AQ4" s="451"/>
    </row>
    <row r="5" spans="1:43" ht="23.25" customHeight="1">
      <c r="A5" s="452"/>
      <c r="B5" s="453"/>
      <c r="C5" s="453"/>
      <c r="D5" s="463">
        <v>4174000</v>
      </c>
      <c r="E5" s="464" t="s">
        <v>558</v>
      </c>
      <c r="F5" s="465"/>
      <c r="G5" s="463">
        <v>5170000</v>
      </c>
      <c r="H5" s="463">
        <v>8200000</v>
      </c>
      <c r="I5" s="453"/>
      <c r="J5" s="456" t="s">
        <v>559</v>
      </c>
      <c r="K5" s="457"/>
      <c r="L5" s="458" t="s">
        <v>560</v>
      </c>
      <c r="M5" s="1372">
        <v>38851803</v>
      </c>
      <c r="N5" s="1372"/>
      <c r="O5" s="1373">
        <v>17121403</v>
      </c>
      <c r="P5" s="1361"/>
      <c r="Q5" s="461">
        <f>Q9-Q6</f>
        <v>3755000</v>
      </c>
      <c r="R5" s="466" t="s">
        <v>561</v>
      </c>
      <c r="S5" s="461">
        <v>4174000</v>
      </c>
      <c r="T5" s="460"/>
      <c r="U5" s="460"/>
      <c r="V5" s="467">
        <v>8359600</v>
      </c>
      <c r="W5" s="449" t="s">
        <v>562</v>
      </c>
      <c r="X5" s="432"/>
      <c r="Y5" s="450"/>
      <c r="Z5" s="468">
        <v>8041000</v>
      </c>
      <c r="AA5" s="468">
        <v>7841000</v>
      </c>
      <c r="AB5" s="426"/>
      <c r="AC5" s="426"/>
      <c r="AD5" s="426"/>
      <c r="AE5" s="426"/>
      <c r="AF5" s="426"/>
      <c r="AG5" s="426"/>
      <c r="AH5" s="426"/>
      <c r="AI5" s="426"/>
      <c r="AJ5" s="426"/>
      <c r="AK5" s="426"/>
      <c r="AL5" s="426"/>
      <c r="AM5" s="451" t="s">
        <v>563</v>
      </c>
      <c r="AN5" s="451"/>
      <c r="AO5" s="451"/>
      <c r="AP5" s="451"/>
      <c r="AQ5" s="451"/>
    </row>
    <row r="6" spans="1:38" ht="12.75" customHeight="1">
      <c r="A6" s="452"/>
      <c r="B6" s="469"/>
      <c r="C6" s="469"/>
      <c r="D6" s="463">
        <v>24973300</v>
      </c>
      <c r="E6" s="464" t="s">
        <v>564</v>
      </c>
      <c r="F6" s="470"/>
      <c r="G6" s="463">
        <f>27361840-G8</f>
        <v>27172640</v>
      </c>
      <c r="H6" s="463">
        <v>17895920</v>
      </c>
      <c r="I6" s="469"/>
      <c r="J6" s="471"/>
      <c r="K6" s="458"/>
      <c r="L6" s="458" t="s">
        <v>565</v>
      </c>
      <c r="M6" s="472">
        <v>2905000</v>
      </c>
      <c r="N6" s="472"/>
      <c r="O6" s="1361"/>
      <c r="P6" s="1362"/>
      <c r="Q6" s="473">
        <v>38851803</v>
      </c>
      <c r="R6" s="466" t="s">
        <v>566</v>
      </c>
      <c r="S6" s="461">
        <f>23193600</f>
        <v>23193600</v>
      </c>
      <c r="T6" s="460"/>
      <c r="U6" s="460"/>
      <c r="V6" s="474"/>
      <c r="W6" s="449" t="s">
        <v>567</v>
      </c>
      <c r="X6" s="432"/>
      <c r="Y6" s="450"/>
      <c r="Z6" s="468">
        <v>17943100</v>
      </c>
      <c r="AA6" s="468">
        <v>18676920</v>
      </c>
      <c r="AB6" s="426"/>
      <c r="AC6" s="426"/>
      <c r="AD6" s="426"/>
      <c r="AE6" s="426"/>
      <c r="AF6" s="426"/>
      <c r="AG6" s="426"/>
      <c r="AH6" s="426"/>
      <c r="AI6" s="426"/>
      <c r="AJ6" s="426"/>
      <c r="AK6" s="426"/>
      <c r="AL6" s="426"/>
    </row>
    <row r="7" spans="1:39" ht="12.75" customHeight="1">
      <c r="A7" s="452"/>
      <c r="B7" s="469"/>
      <c r="C7" s="469"/>
      <c r="D7" s="463">
        <v>208700</v>
      </c>
      <c r="E7" s="464" t="s">
        <v>568</v>
      </c>
      <c r="F7" s="470"/>
      <c r="G7" s="463">
        <v>258000</v>
      </c>
      <c r="H7" s="463">
        <v>0</v>
      </c>
      <c r="I7" s="469"/>
      <c r="J7" s="471"/>
      <c r="K7" s="458"/>
      <c r="L7" s="458"/>
      <c r="M7" s="475"/>
      <c r="N7" s="476"/>
      <c r="O7" s="477"/>
      <c r="P7" s="478"/>
      <c r="Q7" s="473"/>
      <c r="R7" s="466"/>
      <c r="S7" s="461"/>
      <c r="T7" s="460"/>
      <c r="U7" s="460"/>
      <c r="V7" s="474"/>
      <c r="W7" s="449"/>
      <c r="X7" s="432"/>
      <c r="Y7" s="450">
        <f>Z6+Z8</f>
        <v>17943100</v>
      </c>
      <c r="Z7" s="468"/>
      <c r="AA7" s="468"/>
      <c r="AB7" s="426"/>
      <c r="AC7" s="426"/>
      <c r="AD7" s="426"/>
      <c r="AE7" s="426"/>
      <c r="AF7" s="426"/>
      <c r="AG7" s="426"/>
      <c r="AH7" s="426"/>
      <c r="AI7" s="426"/>
      <c r="AJ7" s="426"/>
      <c r="AK7" s="426"/>
      <c r="AL7" s="426"/>
      <c r="AM7" s="479">
        <f>AA6+AA8</f>
        <v>18676920</v>
      </c>
    </row>
    <row r="8" spans="1:38" ht="12.75" customHeight="1">
      <c r="A8" s="452"/>
      <c r="B8" s="469"/>
      <c r="C8" s="469"/>
      <c r="D8" s="463">
        <v>156000</v>
      </c>
      <c r="E8" s="464" t="s">
        <v>569</v>
      </c>
      <c r="F8" s="470"/>
      <c r="G8" s="463">
        <v>189200</v>
      </c>
      <c r="H8" s="463">
        <v>210100</v>
      </c>
      <c r="I8" s="469"/>
      <c r="J8" s="471"/>
      <c r="K8" s="458"/>
      <c r="L8" s="458"/>
      <c r="M8" s="475"/>
      <c r="N8" s="476"/>
      <c r="O8" s="477"/>
      <c r="P8" s="478"/>
      <c r="Q8" s="473"/>
      <c r="R8" s="466"/>
      <c r="S8" s="461"/>
      <c r="T8" s="460"/>
      <c r="U8" s="460"/>
      <c r="V8" s="474"/>
      <c r="W8" s="449"/>
      <c r="X8" s="432"/>
      <c r="Y8" s="450"/>
      <c r="Z8" s="468"/>
      <c r="AA8" s="468"/>
      <c r="AB8" s="426"/>
      <c r="AC8" s="426"/>
      <c r="AD8" s="426"/>
      <c r="AE8" s="426"/>
      <c r="AF8" s="426"/>
      <c r="AG8" s="426"/>
      <c r="AH8" s="426"/>
      <c r="AI8" s="426"/>
      <c r="AJ8" s="426"/>
      <c r="AK8" s="426"/>
      <c r="AL8" s="426"/>
    </row>
    <row r="9" spans="1:38" ht="12.75" customHeight="1">
      <c r="A9" s="436"/>
      <c r="B9" s="436"/>
      <c r="C9" s="436"/>
      <c r="D9" s="463">
        <f>D5+D6+D7+D8</f>
        <v>29512000</v>
      </c>
      <c r="E9" s="464" t="s">
        <v>570</v>
      </c>
      <c r="F9" s="480">
        <f>F5+F6</f>
        <v>0</v>
      </c>
      <c r="G9" s="463">
        <f>G5+G6+G7+G8</f>
        <v>32789840</v>
      </c>
      <c r="H9" s="463">
        <f>H5+H6+H7+H8</f>
        <v>26306020</v>
      </c>
      <c r="I9" s="436"/>
      <c r="J9" s="471"/>
      <c r="K9" s="460"/>
      <c r="L9" s="459" t="s">
        <v>18</v>
      </c>
      <c r="M9" s="1361">
        <f>M5+M6</f>
        <v>41756803</v>
      </c>
      <c r="N9" s="1363"/>
      <c r="O9" s="1361">
        <f>O5+P6</f>
        <v>17121403</v>
      </c>
      <c r="P9" s="1362"/>
      <c r="Q9" s="481">
        <v>42606803</v>
      </c>
      <c r="R9" s="466" t="s">
        <v>570</v>
      </c>
      <c r="S9" s="461">
        <f>S5+S6</f>
        <v>27367600</v>
      </c>
      <c r="T9" s="1364"/>
      <c r="U9" s="1364"/>
      <c r="V9" s="474"/>
      <c r="W9" s="449" t="s">
        <v>571</v>
      </c>
      <c r="X9" s="432"/>
      <c r="Y9" s="450"/>
      <c r="Z9" s="463">
        <f>Z5+Z6+Z7+Z8</f>
        <v>25984100</v>
      </c>
      <c r="AA9" s="463">
        <f>AA5+AA6+AA7+AA8</f>
        <v>26517920</v>
      </c>
      <c r="AB9" s="426"/>
      <c r="AC9" s="426"/>
      <c r="AD9" s="426"/>
      <c r="AE9" s="426"/>
      <c r="AF9" s="426"/>
      <c r="AG9" s="426"/>
      <c r="AH9" s="426"/>
      <c r="AI9" s="426"/>
      <c r="AJ9" s="426"/>
      <c r="AK9" s="426"/>
      <c r="AL9" s="426"/>
    </row>
    <row r="10" spans="1:38" ht="409.5" customHeight="1" hidden="1">
      <c r="A10" s="436"/>
      <c r="B10" s="436"/>
      <c r="C10" s="436"/>
      <c r="D10" s="436"/>
      <c r="E10" s="436"/>
      <c r="F10" s="436"/>
      <c r="G10" s="436"/>
      <c r="H10" s="436"/>
      <c r="I10" s="436"/>
      <c r="J10" s="471"/>
      <c r="K10" s="460"/>
      <c r="L10" s="460"/>
      <c r="M10" s="482"/>
      <c r="N10" s="482"/>
      <c r="O10" s="482"/>
      <c r="P10" s="460"/>
      <c r="Q10" s="483"/>
      <c r="R10" s="460"/>
      <c r="S10" s="482"/>
      <c r="T10" s="460"/>
      <c r="U10" s="460"/>
      <c r="V10" s="474"/>
      <c r="W10" s="449"/>
      <c r="X10" s="432"/>
      <c r="Y10" s="450"/>
      <c r="Z10" s="449"/>
      <c r="AA10" s="449"/>
      <c r="AB10" s="426"/>
      <c r="AC10" s="426"/>
      <c r="AD10" s="426"/>
      <c r="AE10" s="426"/>
      <c r="AF10" s="426"/>
      <c r="AG10" s="426"/>
      <c r="AH10" s="426"/>
      <c r="AI10" s="426"/>
      <c r="AJ10" s="426"/>
      <c r="AK10" s="426"/>
      <c r="AL10" s="426"/>
    </row>
    <row r="11" spans="1:38" ht="409.5" customHeight="1" hidden="1">
      <c r="A11" s="436"/>
      <c r="B11" s="436"/>
      <c r="C11" s="436"/>
      <c r="D11" s="436"/>
      <c r="E11" s="436"/>
      <c r="F11" s="436"/>
      <c r="G11" s="436"/>
      <c r="H11" s="436"/>
      <c r="I11" s="436"/>
      <c r="J11" s="471"/>
      <c r="K11" s="460"/>
      <c r="L11" s="460"/>
      <c r="M11" s="482"/>
      <c r="N11" s="482"/>
      <c r="O11" s="482"/>
      <c r="P11" s="460"/>
      <c r="Q11" s="483"/>
      <c r="R11" s="460"/>
      <c r="S11" s="482"/>
      <c r="T11" s="460"/>
      <c r="U11" s="460"/>
      <c r="V11" s="474"/>
      <c r="W11" s="449"/>
      <c r="X11" s="432"/>
      <c r="Y11" s="450"/>
      <c r="Z11" s="449"/>
      <c r="AA11" s="449"/>
      <c r="AB11" s="426"/>
      <c r="AC11" s="426"/>
      <c r="AD11" s="426"/>
      <c r="AE11" s="426"/>
      <c r="AF11" s="426"/>
      <c r="AG11" s="426"/>
      <c r="AH11" s="426"/>
      <c r="AI11" s="426"/>
      <c r="AJ11" s="426"/>
      <c r="AK11" s="426"/>
      <c r="AL11" s="426"/>
    </row>
    <row r="12" spans="1:38" ht="409.5" customHeight="1" hidden="1">
      <c r="A12" s="436"/>
      <c r="B12" s="436"/>
      <c r="C12" s="436"/>
      <c r="D12" s="436"/>
      <c r="E12" s="436"/>
      <c r="F12" s="436"/>
      <c r="G12" s="436"/>
      <c r="H12" s="436"/>
      <c r="I12" s="436"/>
      <c r="J12" s="471"/>
      <c r="K12" s="460"/>
      <c r="L12" s="460"/>
      <c r="M12" s="482"/>
      <c r="N12" s="482"/>
      <c r="O12" s="482"/>
      <c r="P12" s="460"/>
      <c r="Q12" s="483"/>
      <c r="R12" s="460"/>
      <c r="S12" s="482"/>
      <c r="T12" s="460"/>
      <c r="U12" s="460"/>
      <c r="V12" s="474"/>
      <c r="W12" s="449"/>
      <c r="X12" s="432"/>
      <c r="Y12" s="450"/>
      <c r="Z12" s="449"/>
      <c r="AA12" s="449"/>
      <c r="AB12" s="426"/>
      <c r="AC12" s="426"/>
      <c r="AD12" s="426"/>
      <c r="AE12" s="426"/>
      <c r="AF12" s="426"/>
      <c r="AG12" s="426"/>
      <c r="AH12" s="426"/>
      <c r="AI12" s="426"/>
      <c r="AJ12" s="426"/>
      <c r="AK12" s="426"/>
      <c r="AL12" s="426"/>
    </row>
    <row r="13" spans="1:38" ht="12.75" customHeight="1">
      <c r="A13" s="436"/>
      <c r="B13" s="436"/>
      <c r="C13" s="436"/>
      <c r="D13" s="436"/>
      <c r="E13" s="436"/>
      <c r="F13" s="436"/>
      <c r="G13" s="436"/>
      <c r="H13" s="484">
        <f>H6+H8</f>
        <v>18106020</v>
      </c>
      <c r="I13" s="436"/>
      <c r="J13" s="471"/>
      <c r="K13" s="460"/>
      <c r="L13" s="460"/>
      <c r="M13" s="482"/>
      <c r="N13" s="482"/>
      <c r="O13" s="482"/>
      <c r="P13" s="460"/>
      <c r="Q13" s="483"/>
      <c r="R13" s="460"/>
      <c r="S13" s="482"/>
      <c r="T13" s="460"/>
      <c r="U13" s="460"/>
      <c r="V13" s="485"/>
      <c r="W13" s="449"/>
      <c r="X13" s="432"/>
      <c r="Y13" s="450"/>
      <c r="Z13" s="449">
        <v>25984100</v>
      </c>
      <c r="AA13" s="449">
        <v>26517920</v>
      </c>
      <c r="AB13" s="426"/>
      <c r="AC13" s="426"/>
      <c r="AD13" s="426"/>
      <c r="AE13" s="426"/>
      <c r="AF13" s="426"/>
      <c r="AG13" s="426"/>
      <c r="AH13" s="426"/>
      <c r="AI13" s="426"/>
      <c r="AJ13" s="426"/>
      <c r="AK13" s="426"/>
      <c r="AL13" s="426"/>
    </row>
    <row r="14" spans="1:38" ht="13.5" customHeight="1">
      <c r="A14" s="436"/>
      <c r="B14" s="436"/>
      <c r="C14" s="436"/>
      <c r="D14" s="436"/>
      <c r="E14" s="436"/>
      <c r="F14" s="436"/>
      <c r="G14" s="436"/>
      <c r="H14" s="436">
        <v>26306020</v>
      </c>
      <c r="I14" s="436"/>
      <c r="J14" s="471" t="s">
        <v>572</v>
      </c>
      <c r="K14" s="460"/>
      <c r="L14" s="460"/>
      <c r="M14" s="460"/>
      <c r="N14" s="460"/>
      <c r="O14" s="460"/>
      <c r="P14" s="460"/>
      <c r="Q14" s="482"/>
      <c r="R14" s="460"/>
      <c r="S14" s="460"/>
      <c r="T14" s="460"/>
      <c r="U14" s="460"/>
      <c r="V14" s="473">
        <f>V24+V32+V41+V44+X41+V28+V60</f>
        <v>5460246.45</v>
      </c>
      <c r="W14" s="450">
        <f>X24+X32+X60</f>
        <v>3464956.21928</v>
      </c>
      <c r="X14" s="432"/>
      <c r="Y14" s="450"/>
      <c r="Z14" s="449"/>
      <c r="AA14" s="449"/>
      <c r="AB14" s="426"/>
      <c r="AC14" s="426"/>
      <c r="AD14" s="426"/>
      <c r="AE14" s="426"/>
      <c r="AF14" s="426"/>
      <c r="AG14" s="426"/>
      <c r="AH14" s="426"/>
      <c r="AI14" s="426"/>
      <c r="AJ14" s="426"/>
      <c r="AK14" s="426"/>
      <c r="AL14" s="426"/>
    </row>
    <row r="15" spans="1:38" ht="13.5" customHeight="1" thickBot="1">
      <c r="A15" s="436"/>
      <c r="B15" s="436"/>
      <c r="C15" s="436"/>
      <c r="D15" s="436"/>
      <c r="E15" s="436"/>
      <c r="F15" s="436"/>
      <c r="G15" s="436"/>
      <c r="H15" s="436"/>
      <c r="I15" s="436"/>
      <c r="J15" s="471" t="s">
        <v>573</v>
      </c>
      <c r="K15" s="460"/>
      <c r="L15" s="460"/>
      <c r="M15" s="460"/>
      <c r="N15" s="460"/>
      <c r="O15" s="460"/>
      <c r="P15" s="460"/>
      <c r="Q15" s="482"/>
      <c r="R15" s="460"/>
      <c r="S15" s="460"/>
      <c r="T15" s="460"/>
      <c r="U15" s="460"/>
      <c r="V15" s="473">
        <f>V5-V14</f>
        <v>2899353.55</v>
      </c>
      <c r="W15" s="450"/>
      <c r="X15" s="432"/>
      <c r="Y15" s="450"/>
      <c r="Z15" s="449"/>
      <c r="AA15" s="449" t="s">
        <v>574</v>
      </c>
      <c r="AB15" s="426"/>
      <c r="AC15" s="426"/>
      <c r="AD15" s="426"/>
      <c r="AE15" s="426"/>
      <c r="AF15" s="426"/>
      <c r="AG15" s="426"/>
      <c r="AH15" s="426"/>
      <c r="AI15" s="426"/>
      <c r="AJ15" s="426"/>
      <c r="AK15" s="426"/>
      <c r="AL15" s="426"/>
    </row>
    <row r="16" spans="1:38" ht="12.75" customHeight="1" thickBot="1">
      <c r="A16" s="426"/>
      <c r="B16" s="486"/>
      <c r="C16" s="486"/>
      <c r="D16" s="487" t="s">
        <v>575</v>
      </c>
      <c r="E16" s="488" t="s">
        <v>576</v>
      </c>
      <c r="F16" s="489"/>
      <c r="G16" s="489"/>
      <c r="H16" s="489"/>
      <c r="I16" s="490"/>
      <c r="J16" s="491"/>
      <c r="K16" s="492" t="s">
        <v>577</v>
      </c>
      <c r="L16" s="493" t="s">
        <v>578</v>
      </c>
      <c r="M16" s="493" t="s">
        <v>579</v>
      </c>
      <c r="N16" s="493" t="s">
        <v>580</v>
      </c>
      <c r="O16" s="494" t="s">
        <v>581</v>
      </c>
      <c r="P16" s="1365">
        <v>2013</v>
      </c>
      <c r="Q16" s="495"/>
      <c r="R16" s="496" t="s">
        <v>582</v>
      </c>
      <c r="S16" s="497" t="s">
        <v>583</v>
      </c>
      <c r="T16" s="497" t="s">
        <v>584</v>
      </c>
      <c r="U16" s="497" t="s">
        <v>585</v>
      </c>
      <c r="V16" s="1367">
        <v>2018</v>
      </c>
      <c r="W16" s="1353" t="s">
        <v>586</v>
      </c>
      <c r="X16" s="499" t="s">
        <v>587</v>
      </c>
      <c r="Y16" s="500"/>
      <c r="Z16" s="498">
        <v>2019</v>
      </c>
      <c r="AA16" s="498">
        <v>2020</v>
      </c>
      <c r="AB16" s="501" t="s">
        <v>588</v>
      </c>
      <c r="AC16" s="501" t="s">
        <v>589</v>
      </c>
      <c r="AD16" s="501" t="s">
        <v>590</v>
      </c>
      <c r="AE16" s="501" t="s">
        <v>590</v>
      </c>
      <c r="AF16" s="501" t="s">
        <v>591</v>
      </c>
      <c r="AG16" s="501" t="s">
        <v>592</v>
      </c>
      <c r="AH16" s="502"/>
      <c r="AI16" s="501" t="s">
        <v>593</v>
      </c>
      <c r="AJ16" s="503" t="s">
        <v>594</v>
      </c>
      <c r="AK16" s="426"/>
      <c r="AL16" s="426"/>
    </row>
    <row r="17" spans="1:38" ht="12.75" customHeight="1" thickBot="1">
      <c r="A17" s="426"/>
      <c r="B17" s="504"/>
      <c r="C17" s="504"/>
      <c r="D17" s="505" t="s">
        <v>594</v>
      </c>
      <c r="E17" s="506" t="s">
        <v>595</v>
      </c>
      <c r="F17" s="506" t="s">
        <v>596</v>
      </c>
      <c r="G17" s="506" t="s">
        <v>597</v>
      </c>
      <c r="H17" s="506" t="s">
        <v>598</v>
      </c>
      <c r="I17" s="507" t="s">
        <v>599</v>
      </c>
      <c r="J17" s="508" t="s">
        <v>600</v>
      </c>
      <c r="K17" s="509" t="s">
        <v>601</v>
      </c>
      <c r="L17" s="510">
        <v>2013</v>
      </c>
      <c r="M17" s="510">
        <v>2013</v>
      </c>
      <c r="N17" s="510">
        <v>2013</v>
      </c>
      <c r="O17" s="511">
        <v>2013</v>
      </c>
      <c r="P17" s="1366"/>
      <c r="Q17" s="512"/>
      <c r="R17" s="513"/>
      <c r="S17" s="514"/>
      <c r="T17" s="514"/>
      <c r="U17" s="514"/>
      <c r="V17" s="1354"/>
      <c r="W17" s="1354"/>
      <c r="X17" s="516" t="s">
        <v>602</v>
      </c>
      <c r="Y17" s="517"/>
      <c r="Z17" s="515"/>
      <c r="AA17" s="515"/>
      <c r="AB17" s="518" t="s">
        <v>603</v>
      </c>
      <c r="AC17" s="518" t="s">
        <v>603</v>
      </c>
      <c r="AD17" s="518" t="s">
        <v>604</v>
      </c>
      <c r="AE17" s="518" t="s">
        <v>603</v>
      </c>
      <c r="AF17" s="518" t="s">
        <v>603</v>
      </c>
      <c r="AG17" s="518" t="s">
        <v>605</v>
      </c>
      <c r="AH17" s="518"/>
      <c r="AI17" s="518" t="s">
        <v>606</v>
      </c>
      <c r="AJ17" s="503" t="s">
        <v>594</v>
      </c>
      <c r="AK17" s="426"/>
      <c r="AL17" s="426"/>
    </row>
    <row r="18" spans="1:38" ht="13.5" customHeight="1">
      <c r="A18" s="426"/>
      <c r="B18" s="519"/>
      <c r="C18" s="519"/>
      <c r="D18" s="520">
        <v>1</v>
      </c>
      <c r="E18" s="521">
        <v>2</v>
      </c>
      <c r="F18" s="521">
        <v>3</v>
      </c>
      <c r="G18" s="521">
        <v>4</v>
      </c>
      <c r="H18" s="521">
        <v>5</v>
      </c>
      <c r="I18" s="522">
        <v>6</v>
      </c>
      <c r="J18" s="523" t="s">
        <v>594</v>
      </c>
      <c r="K18" s="524">
        <v>7</v>
      </c>
      <c r="L18" s="525"/>
      <c r="M18" s="525"/>
      <c r="N18" s="525"/>
      <c r="O18" s="525"/>
      <c r="P18" s="525"/>
      <c r="Q18" s="526"/>
      <c r="R18" s="527">
        <v>7</v>
      </c>
      <c r="S18" s="528">
        <v>8</v>
      </c>
      <c r="T18" s="521">
        <v>9</v>
      </c>
      <c r="U18" s="529">
        <f>R129+S129+T129+U129</f>
        <v>797983.39</v>
      </c>
      <c r="V18" s="521">
        <v>11</v>
      </c>
      <c r="W18" s="522">
        <v>12</v>
      </c>
      <c r="X18" s="530"/>
      <c r="Y18" s="531"/>
      <c r="Z18" s="522">
        <v>13</v>
      </c>
      <c r="AA18" s="522">
        <v>14</v>
      </c>
      <c r="AB18" s="532"/>
      <c r="AC18" s="532"/>
      <c r="AD18" s="532"/>
      <c r="AE18" s="532"/>
      <c r="AF18" s="532"/>
      <c r="AG18" s="532"/>
      <c r="AH18" s="533"/>
      <c r="AI18" s="524">
        <v>14</v>
      </c>
      <c r="AJ18" s="503" t="s">
        <v>594</v>
      </c>
      <c r="AK18" s="426"/>
      <c r="AL18" s="426"/>
    </row>
    <row r="19" spans="1:38" ht="13.5" customHeight="1">
      <c r="A19" s="426"/>
      <c r="B19" s="534"/>
      <c r="C19" s="534"/>
      <c r="D19" s="535" t="s">
        <v>607</v>
      </c>
      <c r="E19" s="536"/>
      <c r="F19" s="536"/>
      <c r="G19" s="536"/>
      <c r="H19" s="536"/>
      <c r="I19" s="536"/>
      <c r="J19" s="537"/>
      <c r="K19" s="538"/>
      <c r="L19" s="539"/>
      <c r="M19" s="539"/>
      <c r="N19" s="539"/>
      <c r="O19" s="539"/>
      <c r="P19" s="539"/>
      <c r="Q19" s="540"/>
      <c r="R19" s="538"/>
      <c r="S19" s="541"/>
      <c r="T19" s="536"/>
      <c r="U19" s="542"/>
      <c r="V19" s="536"/>
      <c r="W19" s="536"/>
      <c r="X19" s="543"/>
      <c r="Y19" s="544"/>
      <c r="Z19" s="536"/>
      <c r="AA19" s="536"/>
      <c r="AB19" s="545"/>
      <c r="AC19" s="545"/>
      <c r="AD19" s="545"/>
      <c r="AE19" s="545"/>
      <c r="AF19" s="545"/>
      <c r="AG19" s="545"/>
      <c r="AH19" s="545"/>
      <c r="AI19" s="546"/>
      <c r="AJ19" s="503"/>
      <c r="AK19" s="426"/>
      <c r="AL19" s="426"/>
    </row>
    <row r="20" spans="1:38" ht="15" customHeight="1">
      <c r="A20" s="426"/>
      <c r="B20" s="547"/>
      <c r="C20" s="547"/>
      <c r="D20" s="1355" t="s">
        <v>608</v>
      </c>
      <c r="E20" s="1356"/>
      <c r="F20" s="1356"/>
      <c r="G20" s="1356"/>
      <c r="H20" s="1356"/>
      <c r="I20" s="1356"/>
      <c r="J20" s="1357"/>
      <c r="K20" s="548"/>
      <c r="L20" s="549"/>
      <c r="M20" s="549"/>
      <c r="N20" s="549"/>
      <c r="O20" s="549"/>
      <c r="P20" s="549"/>
      <c r="Q20" s="550"/>
      <c r="R20" s="548"/>
      <c r="S20" s="551"/>
      <c r="T20" s="552"/>
      <c r="U20" s="553"/>
      <c r="V20" s="552"/>
      <c r="W20" s="552"/>
      <c r="X20" s="543"/>
      <c r="Y20" s="554"/>
      <c r="Z20" s="552"/>
      <c r="AA20" s="552"/>
      <c r="AB20" s="555"/>
      <c r="AC20" s="555"/>
      <c r="AD20" s="555"/>
      <c r="AE20" s="555"/>
      <c r="AF20" s="555"/>
      <c r="AG20" s="555"/>
      <c r="AH20" s="555"/>
      <c r="AI20" s="556"/>
      <c r="AJ20" s="503"/>
      <c r="AK20" s="426"/>
      <c r="AL20" s="426"/>
    </row>
    <row r="21" spans="1:38" ht="15" customHeight="1">
      <c r="A21" s="557"/>
      <c r="B21" s="1358" t="s">
        <v>609</v>
      </c>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59"/>
      <c r="AA21" s="1359"/>
      <c r="AB21" s="1359"/>
      <c r="AC21" s="1359"/>
      <c r="AD21" s="1359"/>
      <c r="AE21" s="1359"/>
      <c r="AF21" s="1359"/>
      <c r="AG21" s="1359"/>
      <c r="AH21" s="1359"/>
      <c r="AI21" s="1360"/>
      <c r="AJ21" s="558" t="s">
        <v>594</v>
      </c>
      <c r="AK21" s="426"/>
      <c r="AL21" s="426"/>
    </row>
    <row r="22" spans="1:58" s="578" customFormat="1" ht="39.75" customHeight="1">
      <c r="A22" s="559"/>
      <c r="B22" s="560" t="s">
        <v>610</v>
      </c>
      <c r="C22" s="561" t="s">
        <v>610</v>
      </c>
      <c r="D22" s="562">
        <v>656500011</v>
      </c>
      <c r="E22" s="563">
        <v>102</v>
      </c>
      <c r="F22" s="564">
        <v>656</v>
      </c>
      <c r="G22" s="565">
        <v>5000002030</v>
      </c>
      <c r="H22" s="566" t="s">
        <v>611</v>
      </c>
      <c r="I22" s="566">
        <v>211</v>
      </c>
      <c r="J22" s="567">
        <v>0</v>
      </c>
      <c r="K22" s="568"/>
      <c r="L22" s="569">
        <v>470000</v>
      </c>
      <c r="M22" s="569">
        <v>150000</v>
      </c>
      <c r="N22" s="569">
        <v>267525.2</v>
      </c>
      <c r="O22" s="569">
        <v>75916.8</v>
      </c>
      <c r="P22" s="569">
        <v>963442</v>
      </c>
      <c r="Q22" s="570">
        <f>R22+S22+T22+U22</f>
        <v>963442</v>
      </c>
      <c r="R22" s="569">
        <f>470000+60000</f>
        <v>530000</v>
      </c>
      <c r="S22" s="569">
        <v>150000</v>
      </c>
      <c r="T22" s="569">
        <f>267525.2-60000</f>
        <v>207525.2</v>
      </c>
      <c r="U22" s="569">
        <v>75916.8</v>
      </c>
      <c r="V22" s="569">
        <v>1001980</v>
      </c>
      <c r="W22" s="569" t="s">
        <v>612</v>
      </c>
      <c r="X22" s="571">
        <f>255752.64</f>
        <v>255752.64</v>
      </c>
      <c r="Y22" s="572"/>
      <c r="Z22" s="569">
        <v>963442</v>
      </c>
      <c r="AA22" s="569">
        <v>963442</v>
      </c>
      <c r="AB22" s="573"/>
      <c r="AC22" s="573"/>
      <c r="AD22" s="573"/>
      <c r="AE22" s="573">
        <v>928511.2</v>
      </c>
      <c r="AF22" s="573">
        <v>0</v>
      </c>
      <c r="AG22" s="573"/>
      <c r="AH22" s="574"/>
      <c r="AI22" s="575">
        <v>0.963743743785303</v>
      </c>
      <c r="AJ22" s="558" t="s">
        <v>594</v>
      </c>
      <c r="AK22" s="576"/>
      <c r="AL22" s="576"/>
      <c r="AM22" s="577">
        <f>V22+V30+V140</f>
        <v>3291457</v>
      </c>
      <c r="AN22" s="434"/>
      <c r="AO22" s="434"/>
      <c r="AP22" s="434"/>
      <c r="AQ22" s="434"/>
      <c r="AR22" s="434"/>
      <c r="AS22" s="434"/>
      <c r="AT22" s="434"/>
      <c r="AU22" s="434"/>
      <c r="AV22" s="434"/>
      <c r="AW22" s="434"/>
      <c r="AX22" s="434"/>
      <c r="AY22" s="434"/>
      <c r="AZ22" s="434"/>
      <c r="BA22" s="434"/>
      <c r="BB22" s="434"/>
      <c r="BC22" s="434"/>
      <c r="BD22" s="434"/>
      <c r="BE22" s="434"/>
      <c r="BF22" s="434"/>
    </row>
    <row r="23" spans="1:58" s="578" customFormat="1" ht="12.75" customHeight="1">
      <c r="A23" s="559"/>
      <c r="B23" s="560" t="s">
        <v>610</v>
      </c>
      <c r="C23" s="561" t="s">
        <v>610</v>
      </c>
      <c r="D23" s="562">
        <v>656500011</v>
      </c>
      <c r="E23" s="563"/>
      <c r="F23" s="564">
        <v>656</v>
      </c>
      <c r="G23" s="565">
        <v>5000002030</v>
      </c>
      <c r="H23" s="566">
        <v>129</v>
      </c>
      <c r="I23" s="566">
        <v>213</v>
      </c>
      <c r="J23" s="567">
        <v>0</v>
      </c>
      <c r="K23" s="568"/>
      <c r="L23" s="569">
        <v>136000</v>
      </c>
      <c r="M23" s="569">
        <v>52000</v>
      </c>
      <c r="N23" s="569">
        <v>55000</v>
      </c>
      <c r="O23" s="569">
        <v>47959</v>
      </c>
      <c r="P23" s="569">
        <v>290959</v>
      </c>
      <c r="Q23" s="570">
        <f>R23+S23+T23+U23</f>
        <v>302598</v>
      </c>
      <c r="R23" s="569">
        <f>R22*30.2%</f>
        <v>160060</v>
      </c>
      <c r="S23" s="569">
        <f>S22*30.2%</f>
        <v>45300</v>
      </c>
      <c r="T23" s="569">
        <f>T22*30.2%</f>
        <v>62672.610400000005</v>
      </c>
      <c r="U23" s="569">
        <f>V23-R23-S23-T23</f>
        <v>34565.389599999995</v>
      </c>
      <c r="V23" s="569">
        <v>302598</v>
      </c>
      <c r="W23" s="569"/>
      <c r="X23" s="571">
        <f>(V22+X22)*30.2%-V23-0.08</f>
        <v>77237.17728000002</v>
      </c>
      <c r="Y23" s="572"/>
      <c r="Z23" s="569">
        <v>290959</v>
      </c>
      <c r="AA23" s="569">
        <v>290959</v>
      </c>
      <c r="AB23" s="573"/>
      <c r="AC23" s="573"/>
      <c r="AD23" s="573"/>
      <c r="AE23" s="573">
        <v>188854.59</v>
      </c>
      <c r="AF23" s="573">
        <v>0</v>
      </c>
      <c r="AG23" s="573"/>
      <c r="AH23" s="574"/>
      <c r="AI23" s="575">
        <v>0.6490762959729721</v>
      </c>
      <c r="AJ23" s="558" t="s">
        <v>594</v>
      </c>
      <c r="AK23" s="576"/>
      <c r="AL23" s="576"/>
      <c r="AM23" s="577">
        <f>V23+V31+V141</f>
        <v>983923</v>
      </c>
      <c r="AN23" s="434"/>
      <c r="AO23" s="434"/>
      <c r="AP23" s="434"/>
      <c r="AQ23" s="434"/>
      <c r="AR23" s="434"/>
      <c r="AS23" s="434"/>
      <c r="AT23" s="434"/>
      <c r="AU23" s="434"/>
      <c r="AV23" s="434"/>
      <c r="AW23" s="434"/>
      <c r="AX23" s="434"/>
      <c r="AY23" s="434"/>
      <c r="AZ23" s="434"/>
      <c r="BA23" s="434"/>
      <c r="BB23" s="434"/>
      <c r="BC23" s="434"/>
      <c r="BD23" s="434"/>
      <c r="BE23" s="434"/>
      <c r="BF23" s="434"/>
    </row>
    <row r="24" spans="1:58" s="578" customFormat="1" ht="13.5" customHeight="1">
      <c r="A24" s="559"/>
      <c r="B24" s="1274" t="s">
        <v>613</v>
      </c>
      <c r="C24" s="1279"/>
      <c r="D24" s="1279"/>
      <c r="E24" s="1279"/>
      <c r="F24" s="1279"/>
      <c r="G24" s="1279"/>
      <c r="H24" s="1279"/>
      <c r="I24" s="1279"/>
      <c r="J24" s="1279"/>
      <c r="K24" s="1280"/>
      <c r="L24" s="582">
        <v>606000</v>
      </c>
      <c r="M24" s="583">
        <v>202000</v>
      </c>
      <c r="N24" s="583">
        <v>322525.2</v>
      </c>
      <c r="O24" s="582">
        <v>123875.8</v>
      </c>
      <c r="P24" s="583">
        <v>1254401</v>
      </c>
      <c r="Q24" s="584">
        <f>R24+S24+T24+U24</f>
        <v>1254401</v>
      </c>
      <c r="R24" s="582">
        <v>606000</v>
      </c>
      <c r="S24" s="583">
        <v>202000</v>
      </c>
      <c r="T24" s="583">
        <v>322525.2</v>
      </c>
      <c r="U24" s="582">
        <v>123875.8</v>
      </c>
      <c r="V24" s="583">
        <f>V22+V23</f>
        <v>1304578</v>
      </c>
      <c r="W24" s="582"/>
      <c r="X24" s="585">
        <f>X22+X23</f>
        <v>332989.81728</v>
      </c>
      <c r="Y24" s="586"/>
      <c r="Z24" s="583">
        <f>Z22+Z23</f>
        <v>1254401</v>
      </c>
      <c r="AA24" s="583">
        <f>AA22+AA23</f>
        <v>1254401</v>
      </c>
      <c r="AB24" s="1281"/>
      <c r="AC24" s="1282"/>
      <c r="AD24" s="1283"/>
      <c r="AE24" s="588">
        <v>1117365.79</v>
      </c>
      <c r="AF24" s="589">
        <v>0</v>
      </c>
      <c r="AG24" s="1281"/>
      <c r="AH24" s="1283"/>
      <c r="AI24" s="590">
        <v>0.8907564566673656</v>
      </c>
      <c r="AJ24" s="558" t="s">
        <v>594</v>
      </c>
      <c r="AK24" s="576"/>
      <c r="AL24" s="576"/>
      <c r="AM24" s="434"/>
      <c r="AN24" s="434"/>
      <c r="AO24" s="434"/>
      <c r="AP24" s="434"/>
      <c r="AQ24" s="434"/>
      <c r="AR24" s="434"/>
      <c r="AS24" s="434"/>
      <c r="AT24" s="434"/>
      <c r="AU24" s="434"/>
      <c r="AV24" s="434"/>
      <c r="AW24" s="434"/>
      <c r="AX24" s="434"/>
      <c r="AY24" s="434"/>
      <c r="AZ24" s="434"/>
      <c r="BA24" s="434"/>
      <c r="BB24" s="434"/>
      <c r="BC24" s="434"/>
      <c r="BD24" s="434"/>
      <c r="BE24" s="434"/>
      <c r="BF24" s="434"/>
    </row>
    <row r="25" spans="1:38" ht="15" customHeight="1">
      <c r="A25" s="557"/>
      <c r="B25" s="1344" t="s">
        <v>614</v>
      </c>
      <c r="C25" s="1345"/>
      <c r="D25" s="1345"/>
      <c r="E25" s="1345"/>
      <c r="F25" s="1345"/>
      <c r="G25" s="1345"/>
      <c r="H25" s="1345"/>
      <c r="I25" s="1345"/>
      <c r="J25" s="1345"/>
      <c r="K25" s="1345"/>
      <c r="L25" s="1345"/>
      <c r="M25" s="1345"/>
      <c r="N25" s="1345"/>
      <c r="O25" s="1345"/>
      <c r="P25" s="1345"/>
      <c r="Q25" s="1345"/>
      <c r="R25" s="1345"/>
      <c r="S25" s="1345"/>
      <c r="T25" s="1345"/>
      <c r="U25" s="1345"/>
      <c r="V25" s="1345"/>
      <c r="W25" s="1345"/>
      <c r="X25" s="1345"/>
      <c r="Y25" s="1345"/>
      <c r="Z25" s="1345"/>
      <c r="AA25" s="1345"/>
      <c r="AB25" s="1345"/>
      <c r="AC25" s="1345"/>
      <c r="AD25" s="1345"/>
      <c r="AE25" s="1345"/>
      <c r="AF25" s="1345"/>
      <c r="AG25" s="1345"/>
      <c r="AH25" s="1345"/>
      <c r="AI25" s="1346"/>
      <c r="AJ25" s="558" t="s">
        <v>594</v>
      </c>
      <c r="AK25" s="426"/>
      <c r="AL25" s="426"/>
    </row>
    <row r="26" spans="1:58" s="578" customFormat="1" ht="25.5" customHeight="1">
      <c r="A26" s="559"/>
      <c r="B26" s="591" t="s">
        <v>610</v>
      </c>
      <c r="C26" s="592" t="s">
        <v>610</v>
      </c>
      <c r="D26" s="593">
        <v>656500021</v>
      </c>
      <c r="E26" s="594">
        <v>103</v>
      </c>
      <c r="F26" s="595">
        <v>656</v>
      </c>
      <c r="G26" s="596">
        <v>5000002030</v>
      </c>
      <c r="H26" s="597"/>
      <c r="I26" s="597">
        <v>226</v>
      </c>
      <c r="J26" s="598">
        <v>0</v>
      </c>
      <c r="K26" s="599"/>
      <c r="L26" s="600">
        <v>470000</v>
      </c>
      <c r="M26" s="600">
        <v>150000</v>
      </c>
      <c r="N26" s="600">
        <v>267525.2</v>
      </c>
      <c r="O26" s="600">
        <v>75916.8</v>
      </c>
      <c r="P26" s="600">
        <v>963442</v>
      </c>
      <c r="Q26" s="601">
        <f>R26+S26+T26+U26</f>
        <v>963442</v>
      </c>
      <c r="R26" s="600">
        <f>470000+60000</f>
        <v>530000</v>
      </c>
      <c r="S26" s="600">
        <v>150000</v>
      </c>
      <c r="T26" s="600">
        <f>267525.2-60000</f>
        <v>207525.2</v>
      </c>
      <c r="U26" s="600">
        <v>75916.8</v>
      </c>
      <c r="V26" s="600">
        <v>770019</v>
      </c>
      <c r="W26" s="600" t="s">
        <v>615</v>
      </c>
      <c r="X26" s="602"/>
      <c r="Y26" s="602"/>
      <c r="Z26" s="600"/>
      <c r="AA26" s="600"/>
      <c r="AB26" s="603"/>
      <c r="AC26" s="603"/>
      <c r="AD26" s="603"/>
      <c r="AE26" s="603">
        <v>928511.2</v>
      </c>
      <c r="AF26" s="603">
        <v>0</v>
      </c>
      <c r="AG26" s="603"/>
      <c r="AH26" s="604"/>
      <c r="AI26" s="605">
        <v>0.963743743785303</v>
      </c>
      <c r="AJ26" s="558" t="s">
        <v>594</v>
      </c>
      <c r="AK26" s="576"/>
      <c r="AL26" s="576"/>
      <c r="AM26" s="577">
        <f>V26+V34+V145</f>
        <v>770019</v>
      </c>
      <c r="AN26" s="434"/>
      <c r="AO26" s="434"/>
      <c r="AP26" s="434"/>
      <c r="AQ26" s="434"/>
      <c r="AR26" s="434"/>
      <c r="AS26" s="434"/>
      <c r="AT26" s="434"/>
      <c r="AU26" s="434"/>
      <c r="AV26" s="434"/>
      <c r="AW26" s="434"/>
      <c r="AX26" s="434"/>
      <c r="AY26" s="434"/>
      <c r="AZ26" s="434"/>
      <c r="BA26" s="434"/>
      <c r="BB26" s="434"/>
      <c r="BC26" s="434"/>
      <c r="BD26" s="434"/>
      <c r="BE26" s="434"/>
      <c r="BF26" s="434"/>
    </row>
    <row r="27" spans="1:58" s="578" customFormat="1" ht="12.75" customHeight="1">
      <c r="A27" s="559"/>
      <c r="B27" s="591" t="s">
        <v>610</v>
      </c>
      <c r="C27" s="592" t="s">
        <v>610</v>
      </c>
      <c r="D27" s="593">
        <v>656500021</v>
      </c>
      <c r="E27" s="594"/>
      <c r="F27" s="595">
        <v>656</v>
      </c>
      <c r="G27" s="596">
        <v>5000002030</v>
      </c>
      <c r="H27" s="597"/>
      <c r="I27" s="597"/>
      <c r="J27" s="598">
        <v>0</v>
      </c>
      <c r="K27" s="599"/>
      <c r="L27" s="600">
        <v>136000</v>
      </c>
      <c r="M27" s="600">
        <v>52000</v>
      </c>
      <c r="N27" s="600">
        <v>55000</v>
      </c>
      <c r="O27" s="600">
        <v>47959</v>
      </c>
      <c r="P27" s="600">
        <v>290959</v>
      </c>
      <c r="Q27" s="601">
        <f>R27+S27+T27+U27</f>
        <v>0</v>
      </c>
      <c r="R27" s="600">
        <f>R26*30.2%</f>
        <v>160060</v>
      </c>
      <c r="S27" s="600">
        <f>S26*30.2%</f>
        <v>45300</v>
      </c>
      <c r="T27" s="600">
        <f>T26*30.2%</f>
        <v>62672.610400000005</v>
      </c>
      <c r="U27" s="600">
        <f>V27-R27-S27-T27</f>
        <v>-268032.6104</v>
      </c>
      <c r="V27" s="600"/>
      <c r="W27" s="600"/>
      <c r="X27" s="602"/>
      <c r="Y27" s="602"/>
      <c r="Z27" s="600"/>
      <c r="AA27" s="600"/>
      <c r="AB27" s="603"/>
      <c r="AC27" s="603"/>
      <c r="AD27" s="603"/>
      <c r="AE27" s="603">
        <v>188854.59</v>
      </c>
      <c r="AF27" s="603">
        <v>0</v>
      </c>
      <c r="AG27" s="603"/>
      <c r="AH27" s="604"/>
      <c r="AI27" s="605">
        <v>0.6490762959729721</v>
      </c>
      <c r="AJ27" s="558" t="s">
        <v>594</v>
      </c>
      <c r="AK27" s="576"/>
      <c r="AL27" s="576"/>
      <c r="AM27" s="577">
        <f>V27+V35+V146</f>
        <v>42900</v>
      </c>
      <c r="AN27" s="434"/>
      <c r="AO27" s="434"/>
      <c r="AP27" s="434"/>
      <c r="AQ27" s="434"/>
      <c r="AR27" s="434"/>
      <c r="AS27" s="434"/>
      <c r="AT27" s="434"/>
      <c r="AU27" s="434"/>
      <c r="AV27" s="434"/>
      <c r="AW27" s="434"/>
      <c r="AX27" s="434"/>
      <c r="AY27" s="434"/>
      <c r="AZ27" s="434"/>
      <c r="BA27" s="434"/>
      <c r="BB27" s="434"/>
      <c r="BC27" s="434"/>
      <c r="BD27" s="434"/>
      <c r="BE27" s="434"/>
      <c r="BF27" s="434"/>
    </row>
    <row r="28" spans="1:58" s="578" customFormat="1" ht="13.5" customHeight="1">
      <c r="A28" s="559"/>
      <c r="B28" s="1274" t="s">
        <v>613</v>
      </c>
      <c r="C28" s="1279"/>
      <c r="D28" s="1279"/>
      <c r="E28" s="1279"/>
      <c r="F28" s="1279"/>
      <c r="G28" s="1279"/>
      <c r="H28" s="1279"/>
      <c r="I28" s="1279"/>
      <c r="J28" s="1279"/>
      <c r="K28" s="1280"/>
      <c r="L28" s="582">
        <v>606000</v>
      </c>
      <c r="M28" s="583">
        <v>202000</v>
      </c>
      <c r="N28" s="583">
        <v>322525.2</v>
      </c>
      <c r="O28" s="582">
        <v>123875.8</v>
      </c>
      <c r="P28" s="583">
        <v>1254401</v>
      </c>
      <c r="Q28" s="584">
        <f>R28+S28+T28+U28</f>
        <v>1254401</v>
      </c>
      <c r="R28" s="582">
        <v>606000</v>
      </c>
      <c r="S28" s="583">
        <v>202000</v>
      </c>
      <c r="T28" s="583">
        <v>322525.2</v>
      </c>
      <c r="U28" s="582">
        <v>123875.8</v>
      </c>
      <c r="V28" s="583">
        <f>V26+V27</f>
        <v>770019</v>
      </c>
      <c r="W28" s="582"/>
      <c r="X28" s="606"/>
      <c r="Y28" s="586"/>
      <c r="Z28" s="583">
        <f>Z26+Z27</f>
        <v>0</v>
      </c>
      <c r="AA28" s="583">
        <f>AA26+AA27</f>
        <v>0</v>
      </c>
      <c r="AB28" s="1281"/>
      <c r="AC28" s="1282"/>
      <c r="AD28" s="1283"/>
      <c r="AE28" s="588">
        <v>1117365.79</v>
      </c>
      <c r="AF28" s="589">
        <v>0</v>
      </c>
      <c r="AG28" s="1281"/>
      <c r="AH28" s="1283"/>
      <c r="AI28" s="590">
        <v>0.8907564566673656</v>
      </c>
      <c r="AJ28" s="558" t="s">
        <v>594</v>
      </c>
      <c r="AK28" s="576"/>
      <c r="AL28" s="576"/>
      <c r="AM28" s="434"/>
      <c r="AN28" s="434"/>
      <c r="AO28" s="434"/>
      <c r="AP28" s="434"/>
      <c r="AQ28" s="434"/>
      <c r="AR28" s="434"/>
      <c r="AS28" s="434"/>
      <c r="AT28" s="434"/>
      <c r="AU28" s="434"/>
      <c r="AV28" s="434"/>
      <c r="AW28" s="434"/>
      <c r="AX28" s="434"/>
      <c r="AY28" s="434"/>
      <c r="AZ28" s="434"/>
      <c r="BA28" s="434"/>
      <c r="BB28" s="434"/>
      <c r="BC28" s="434"/>
      <c r="BD28" s="434"/>
      <c r="BE28" s="434"/>
      <c r="BF28" s="434"/>
    </row>
    <row r="29" spans="1:58" s="578" customFormat="1" ht="12.75" customHeight="1">
      <c r="A29" s="559"/>
      <c r="B29" s="1347" t="s">
        <v>616</v>
      </c>
      <c r="C29" s="1348"/>
      <c r="D29" s="1348"/>
      <c r="E29" s="1348"/>
      <c r="F29" s="1348"/>
      <c r="G29" s="1348"/>
      <c r="H29" s="1348"/>
      <c r="I29" s="1348"/>
      <c r="J29" s="1348"/>
      <c r="K29" s="1348"/>
      <c r="L29" s="1348"/>
      <c r="M29" s="1348"/>
      <c r="N29" s="1348"/>
      <c r="O29" s="1348"/>
      <c r="P29" s="1348"/>
      <c r="Q29" s="1348"/>
      <c r="R29" s="1348"/>
      <c r="S29" s="1348"/>
      <c r="T29" s="1348"/>
      <c r="U29" s="1348"/>
      <c r="V29" s="1348"/>
      <c r="W29" s="1348"/>
      <c r="X29" s="1348"/>
      <c r="Y29" s="1348"/>
      <c r="Z29" s="1348"/>
      <c r="AA29" s="1348"/>
      <c r="AB29" s="1348"/>
      <c r="AC29" s="1348"/>
      <c r="AD29" s="1348"/>
      <c r="AE29" s="1348"/>
      <c r="AF29" s="1348"/>
      <c r="AG29" s="1348"/>
      <c r="AH29" s="1348"/>
      <c r="AI29" s="1349"/>
      <c r="AJ29" s="558" t="s">
        <v>594</v>
      </c>
      <c r="AK29" s="576"/>
      <c r="AL29" s="576"/>
      <c r="AM29" s="434"/>
      <c r="AN29" s="434"/>
      <c r="AO29" s="434"/>
      <c r="AP29" s="434"/>
      <c r="AQ29" s="434"/>
      <c r="AR29" s="434"/>
      <c r="AS29" s="434"/>
      <c r="AT29" s="434"/>
      <c r="AU29" s="434"/>
      <c r="AV29" s="434"/>
      <c r="AW29" s="434"/>
      <c r="AX29" s="434"/>
      <c r="AY29" s="434"/>
      <c r="AZ29" s="434"/>
      <c r="BA29" s="434"/>
      <c r="BB29" s="434"/>
      <c r="BC29" s="434"/>
      <c r="BD29" s="434"/>
      <c r="BE29" s="434"/>
      <c r="BF29" s="434"/>
    </row>
    <row r="30" spans="1:58" s="578" customFormat="1" ht="12.75" customHeight="1">
      <c r="A30" s="559"/>
      <c r="B30" s="560" t="s">
        <v>617</v>
      </c>
      <c r="C30" s="561" t="s">
        <v>617</v>
      </c>
      <c r="D30" s="562">
        <v>656500032</v>
      </c>
      <c r="E30" s="563">
        <v>104</v>
      </c>
      <c r="F30" s="564">
        <v>656</v>
      </c>
      <c r="G30" s="565">
        <v>5000002040</v>
      </c>
      <c r="H30" s="566" t="s">
        <v>611</v>
      </c>
      <c r="I30" s="566">
        <v>211</v>
      </c>
      <c r="J30" s="569"/>
      <c r="K30" s="568"/>
      <c r="L30" s="569">
        <v>1115358</v>
      </c>
      <c r="M30" s="569">
        <v>979000</v>
      </c>
      <c r="N30" s="569">
        <v>860000</v>
      </c>
      <c r="O30" s="569">
        <v>772000</v>
      </c>
      <c r="P30" s="569">
        <v>3726358</v>
      </c>
      <c r="Q30" s="570">
        <f>R30+S30+T30+U30</f>
        <v>3353211</v>
      </c>
      <c r="R30" s="569">
        <f>1400000+173147</f>
        <v>1573147</v>
      </c>
      <c r="S30" s="569">
        <v>705853</v>
      </c>
      <c r="T30" s="569">
        <v>586853</v>
      </c>
      <c r="U30" s="569">
        <f>472000+15358</f>
        <v>487358</v>
      </c>
      <c r="V30" s="607">
        <v>2160977</v>
      </c>
      <c r="W30" s="569" t="s">
        <v>618</v>
      </c>
      <c r="X30" s="571">
        <f>3141622+1301979-V30</f>
        <v>2282624</v>
      </c>
      <c r="Y30" s="572">
        <f>V30+X30</f>
        <v>4443601</v>
      </c>
      <c r="Z30" s="569">
        <v>3942550</v>
      </c>
      <c r="AA30" s="569">
        <v>3942550</v>
      </c>
      <c r="AB30" s="573"/>
      <c r="AC30" s="573"/>
      <c r="AD30" s="573"/>
      <c r="AE30" s="573">
        <v>3047003.25</v>
      </c>
      <c r="AF30" s="573">
        <v>0</v>
      </c>
      <c r="AG30" s="573"/>
      <c r="AH30" s="574"/>
      <c r="AI30" s="575">
        <v>0.8176893497618855</v>
      </c>
      <c r="AJ30" s="558" t="s">
        <v>594</v>
      </c>
      <c r="AK30" s="576"/>
      <c r="AL30" s="576"/>
      <c r="AM30" s="434"/>
      <c r="AN30" s="434"/>
      <c r="AO30" s="434"/>
      <c r="AP30" s="434"/>
      <c r="AQ30" s="434"/>
      <c r="AR30" s="434"/>
      <c r="AS30" s="434"/>
      <c r="AT30" s="434"/>
      <c r="AU30" s="434"/>
      <c r="AV30" s="434"/>
      <c r="AW30" s="434"/>
      <c r="AX30" s="434"/>
      <c r="AY30" s="434"/>
      <c r="AZ30" s="434"/>
      <c r="BA30" s="434"/>
      <c r="BB30" s="434"/>
      <c r="BC30" s="434"/>
      <c r="BD30" s="434"/>
      <c r="BE30" s="434"/>
      <c r="BF30" s="434"/>
    </row>
    <row r="31" spans="1:58" s="578" customFormat="1" ht="12.75" customHeight="1">
      <c r="A31" s="559"/>
      <c r="B31" s="560" t="s">
        <v>617</v>
      </c>
      <c r="C31" s="561" t="s">
        <v>617</v>
      </c>
      <c r="D31" s="562">
        <v>656500032</v>
      </c>
      <c r="E31" s="563">
        <v>104</v>
      </c>
      <c r="F31" s="564">
        <v>656</v>
      </c>
      <c r="G31" s="565">
        <v>5000002040</v>
      </c>
      <c r="H31" s="566">
        <v>129</v>
      </c>
      <c r="I31" s="566">
        <v>213</v>
      </c>
      <c r="J31" s="569"/>
      <c r="K31" s="568"/>
      <c r="L31" s="569">
        <v>340000</v>
      </c>
      <c r="M31" s="569">
        <v>296000</v>
      </c>
      <c r="N31" s="569">
        <v>294860</v>
      </c>
      <c r="O31" s="569">
        <v>194500</v>
      </c>
      <c r="P31" s="569">
        <v>1125360</v>
      </c>
      <c r="Q31" s="570">
        <f>R31+S31+T31+U31</f>
        <v>642625</v>
      </c>
      <c r="R31" s="569">
        <f>V31-S31-T31-U31</f>
        <v>105045.67199999996</v>
      </c>
      <c r="S31" s="569">
        <f>S30*30.2%</f>
        <v>213167.606</v>
      </c>
      <c r="T31" s="569">
        <f>T30*30.2%</f>
        <v>177229.606</v>
      </c>
      <c r="U31" s="569">
        <f>U30*30.2%</f>
        <v>147182.116</v>
      </c>
      <c r="V31" s="607">
        <v>642625</v>
      </c>
      <c r="W31" s="569"/>
      <c r="X31" s="571">
        <f>(V30+X30)*30.2%-642625-0.1</f>
        <v>699342.4019999999</v>
      </c>
      <c r="Y31" s="572"/>
      <c r="Z31" s="569">
        <f>1190650-150000</f>
        <v>1040650</v>
      </c>
      <c r="AA31" s="569">
        <f>1190650-150000</f>
        <v>1040650</v>
      </c>
      <c r="AB31" s="573"/>
      <c r="AC31" s="573"/>
      <c r="AD31" s="573"/>
      <c r="AE31" s="573">
        <v>999356.66</v>
      </c>
      <c r="AF31" s="573">
        <v>0</v>
      </c>
      <c r="AG31" s="573"/>
      <c r="AH31" s="574"/>
      <c r="AI31" s="575">
        <v>0.8880328605957201</v>
      </c>
      <c r="AJ31" s="558" t="s">
        <v>594</v>
      </c>
      <c r="AK31" s="576"/>
      <c r="AL31" s="576"/>
      <c r="AM31" s="569" t="s">
        <v>619</v>
      </c>
      <c r="AN31" s="434">
        <f>22400+21700</f>
        <v>44100</v>
      </c>
      <c r="AO31" s="434"/>
      <c r="AP31" s="434"/>
      <c r="AQ31" s="434"/>
      <c r="AR31" s="434"/>
      <c r="AS31" s="434"/>
      <c r="AT31" s="434"/>
      <c r="AU31" s="434"/>
      <c r="AV31" s="434"/>
      <c r="AW31" s="434"/>
      <c r="AX31" s="434"/>
      <c r="AY31" s="434"/>
      <c r="AZ31" s="434"/>
      <c r="BA31" s="434"/>
      <c r="BB31" s="434"/>
      <c r="BC31" s="434"/>
      <c r="BD31" s="434"/>
      <c r="BE31" s="434"/>
      <c r="BF31" s="434"/>
    </row>
    <row r="32" spans="1:58" s="578" customFormat="1" ht="12.75" customHeight="1">
      <c r="A32" s="559"/>
      <c r="B32" s="1350">
        <f>J30+J31</f>
        <v>0</v>
      </c>
      <c r="C32" s="1351"/>
      <c r="D32" s="1351"/>
      <c r="E32" s="1351"/>
      <c r="F32" s="1351"/>
      <c r="G32" s="1351"/>
      <c r="H32" s="1351"/>
      <c r="I32" s="1351"/>
      <c r="J32" s="1351"/>
      <c r="K32" s="1352"/>
      <c r="L32" s="582">
        <v>1455358</v>
      </c>
      <c r="M32" s="583">
        <v>1275000</v>
      </c>
      <c r="N32" s="583">
        <v>1154860</v>
      </c>
      <c r="O32" s="582">
        <v>966500</v>
      </c>
      <c r="P32" s="583">
        <v>4851718</v>
      </c>
      <c r="Q32" s="584">
        <f>R32+S32+T32+U32</f>
        <v>3995836</v>
      </c>
      <c r="R32" s="582">
        <f>R30+R31</f>
        <v>1678192.672</v>
      </c>
      <c r="S32" s="582">
        <f>S30+S31</f>
        <v>919020.606</v>
      </c>
      <c r="T32" s="582">
        <f>T30+T31</f>
        <v>764082.606</v>
      </c>
      <c r="U32" s="582">
        <f>U30+U31</f>
        <v>634540.116</v>
      </c>
      <c r="V32" s="608">
        <f>V30+V31</f>
        <v>2803602</v>
      </c>
      <c r="W32" s="582"/>
      <c r="X32" s="609">
        <f>X30+X31</f>
        <v>2981966.402</v>
      </c>
      <c r="Y32" s="586"/>
      <c r="Z32" s="583">
        <f>Z30+Z31</f>
        <v>4983200</v>
      </c>
      <c r="AA32" s="583">
        <f>AA30+AA31</f>
        <v>4983200</v>
      </c>
      <c r="AB32" s="1281"/>
      <c r="AC32" s="1282"/>
      <c r="AD32" s="1283"/>
      <c r="AE32" s="588">
        <v>4052111.45</v>
      </c>
      <c r="AF32" s="589">
        <v>0</v>
      </c>
      <c r="AG32" s="1281"/>
      <c r="AH32" s="1283"/>
      <c r="AI32" s="590">
        <v>0.8351910498507951</v>
      </c>
      <c r="AJ32" s="558" t="s">
        <v>594</v>
      </c>
      <c r="AK32" s="576"/>
      <c r="AL32" s="576"/>
      <c r="AM32" s="434"/>
      <c r="AN32" s="434"/>
      <c r="AO32" s="434"/>
      <c r="AP32" s="434"/>
      <c r="AQ32" s="434"/>
      <c r="AR32" s="434"/>
      <c r="AS32" s="434"/>
      <c r="AT32" s="434"/>
      <c r="AU32" s="434"/>
      <c r="AV32" s="434"/>
      <c r="AW32" s="434"/>
      <c r="AX32" s="434"/>
      <c r="AY32" s="434"/>
      <c r="AZ32" s="434"/>
      <c r="BA32" s="434"/>
      <c r="BB32" s="434"/>
      <c r="BC32" s="434"/>
      <c r="BD32" s="434"/>
      <c r="BE32" s="434"/>
      <c r="BF32" s="434"/>
    </row>
    <row r="33" spans="1:58" s="578" customFormat="1" ht="1.5" customHeight="1">
      <c r="A33" s="559"/>
      <c r="B33" s="1274" t="s">
        <v>620</v>
      </c>
      <c r="C33" s="1279"/>
      <c r="D33" s="1279"/>
      <c r="E33" s="1279"/>
      <c r="F33" s="1279"/>
      <c r="G33" s="1279"/>
      <c r="H33" s="1279"/>
      <c r="I33" s="1279"/>
      <c r="J33" s="1279"/>
      <c r="K33" s="1279"/>
      <c r="L33" s="1279"/>
      <c r="M33" s="1279"/>
      <c r="N33" s="1279"/>
      <c r="O33" s="1279"/>
      <c r="P33" s="1279"/>
      <c r="Q33" s="1279"/>
      <c r="R33" s="1279"/>
      <c r="S33" s="1279"/>
      <c r="T33" s="1279"/>
      <c r="U33" s="1279"/>
      <c r="V33" s="1279"/>
      <c r="W33" s="1279"/>
      <c r="X33" s="1279"/>
      <c r="Y33" s="1279"/>
      <c r="Z33" s="1279"/>
      <c r="AA33" s="1279"/>
      <c r="AB33" s="1279"/>
      <c r="AC33" s="1279"/>
      <c r="AD33" s="1279"/>
      <c r="AE33" s="1279"/>
      <c r="AF33" s="1279"/>
      <c r="AG33" s="1279"/>
      <c r="AH33" s="1279"/>
      <c r="AI33" s="1301"/>
      <c r="AJ33" s="558" t="s">
        <v>594</v>
      </c>
      <c r="AK33" s="576"/>
      <c r="AL33" s="576"/>
      <c r="AM33" s="434"/>
      <c r="AN33" s="434"/>
      <c r="AO33" s="434"/>
      <c r="AP33" s="434"/>
      <c r="AQ33" s="434"/>
      <c r="AR33" s="434"/>
      <c r="AS33" s="434"/>
      <c r="AT33" s="434"/>
      <c r="AU33" s="434"/>
      <c r="AV33" s="434"/>
      <c r="AW33" s="434"/>
      <c r="AX33" s="434"/>
      <c r="AY33" s="434"/>
      <c r="AZ33" s="434"/>
      <c r="BA33" s="434"/>
      <c r="BB33" s="434"/>
      <c r="BC33" s="434"/>
      <c r="BD33" s="434"/>
      <c r="BE33" s="434"/>
      <c r="BF33" s="434"/>
    </row>
    <row r="34" spans="1:58" s="578" customFormat="1" ht="12.75" customHeight="1">
      <c r="A34" s="559"/>
      <c r="B34" s="560" t="s">
        <v>621</v>
      </c>
      <c r="C34" s="561" t="s">
        <v>621</v>
      </c>
      <c r="D34" s="562">
        <v>656500032</v>
      </c>
      <c r="E34" s="563">
        <v>104</v>
      </c>
      <c r="F34" s="564">
        <v>656</v>
      </c>
      <c r="G34" s="565">
        <v>50000002040</v>
      </c>
      <c r="H34" s="566" t="s">
        <v>622</v>
      </c>
      <c r="I34" s="566">
        <v>212</v>
      </c>
      <c r="J34" s="567">
        <v>0</v>
      </c>
      <c r="K34" s="568"/>
      <c r="L34" s="569">
        <v>0</v>
      </c>
      <c r="M34" s="569">
        <v>3000</v>
      </c>
      <c r="N34" s="569">
        <v>33000</v>
      </c>
      <c r="O34" s="569">
        <v>0</v>
      </c>
      <c r="P34" s="569">
        <v>36000</v>
      </c>
      <c r="Q34" s="572">
        <f>R34+S34+T34+U34</f>
        <v>10000</v>
      </c>
      <c r="R34" s="568">
        <v>5000</v>
      </c>
      <c r="S34" s="568">
        <v>5000</v>
      </c>
      <c r="T34" s="568"/>
      <c r="U34" s="568"/>
      <c r="V34" s="611">
        <v>0</v>
      </c>
      <c r="W34" s="568" t="s">
        <v>623</v>
      </c>
      <c r="X34" s="612" t="s">
        <v>624</v>
      </c>
      <c r="Y34" s="613"/>
      <c r="Z34" s="611">
        <v>0</v>
      </c>
      <c r="AA34" s="611">
        <v>0</v>
      </c>
      <c r="AB34" s="573"/>
      <c r="AC34" s="573"/>
      <c r="AD34" s="573"/>
      <c r="AE34" s="573">
        <v>23500</v>
      </c>
      <c r="AF34" s="573">
        <v>0</v>
      </c>
      <c r="AG34" s="573"/>
      <c r="AH34" s="574"/>
      <c r="AI34" s="575">
        <v>0.6527777777777778</v>
      </c>
      <c r="AJ34" s="558" t="s">
        <v>594</v>
      </c>
      <c r="AK34" s="576"/>
      <c r="AL34" s="576"/>
      <c r="AM34" s="434"/>
      <c r="AN34" s="434"/>
      <c r="AO34" s="434"/>
      <c r="AP34" s="434"/>
      <c r="AQ34" s="434"/>
      <c r="AR34" s="434"/>
      <c r="AS34" s="434"/>
      <c r="AT34" s="434"/>
      <c r="AU34" s="434"/>
      <c r="AV34" s="434"/>
      <c r="AW34" s="434"/>
      <c r="AX34" s="434"/>
      <c r="AY34" s="434"/>
      <c r="AZ34" s="434"/>
      <c r="BA34" s="434"/>
      <c r="BB34" s="434"/>
      <c r="BC34" s="434"/>
      <c r="BD34" s="434"/>
      <c r="BE34" s="434"/>
      <c r="BF34" s="434"/>
    </row>
    <row r="35" spans="1:58" s="578" customFormat="1" ht="9" customHeight="1">
      <c r="A35" s="559"/>
      <c r="B35" s="560" t="s">
        <v>620</v>
      </c>
      <c r="C35" s="561" t="s">
        <v>620</v>
      </c>
      <c r="D35" s="562">
        <v>656500032</v>
      </c>
      <c r="E35" s="563">
        <v>104</v>
      </c>
      <c r="F35" s="564">
        <v>656</v>
      </c>
      <c r="G35" s="565">
        <v>50000002040</v>
      </c>
      <c r="H35" s="566" t="s">
        <v>625</v>
      </c>
      <c r="I35" s="566">
        <v>222</v>
      </c>
      <c r="J35" s="567">
        <v>0</v>
      </c>
      <c r="K35" s="568"/>
      <c r="L35" s="569">
        <v>0</v>
      </c>
      <c r="M35" s="569">
        <v>0</v>
      </c>
      <c r="N35" s="569">
        <v>5000</v>
      </c>
      <c r="O35" s="569">
        <v>0</v>
      </c>
      <c r="P35" s="569">
        <v>5000</v>
      </c>
      <c r="Q35" s="572">
        <f>R35+S35+T35+U35</f>
        <v>10000</v>
      </c>
      <c r="R35" s="569">
        <v>5000</v>
      </c>
      <c r="S35" s="569"/>
      <c r="T35" s="569">
        <v>5000</v>
      </c>
      <c r="U35" s="569"/>
      <c r="V35" s="569">
        <v>0</v>
      </c>
      <c r="W35" s="614" t="s">
        <v>626</v>
      </c>
      <c r="X35" s="615"/>
      <c r="Y35" s="616"/>
      <c r="Z35" s="569"/>
      <c r="AA35" s="569"/>
      <c r="AB35" s="573"/>
      <c r="AC35" s="573"/>
      <c r="AD35" s="573"/>
      <c r="AE35" s="573">
        <v>3000</v>
      </c>
      <c r="AF35" s="573">
        <v>0</v>
      </c>
      <c r="AG35" s="573"/>
      <c r="AH35" s="574"/>
      <c r="AI35" s="575">
        <v>0.6</v>
      </c>
      <c r="AJ35" s="558" t="s">
        <v>594</v>
      </c>
      <c r="AK35" s="576"/>
      <c r="AL35" s="576"/>
      <c r="AM35" s="434"/>
      <c r="AN35" s="434"/>
      <c r="AO35" s="434"/>
      <c r="AP35" s="434"/>
      <c r="AQ35" s="434"/>
      <c r="AR35" s="434"/>
      <c r="AS35" s="434"/>
      <c r="AT35" s="434"/>
      <c r="AU35" s="434"/>
      <c r="AV35" s="434"/>
      <c r="AW35" s="434"/>
      <c r="AX35" s="434"/>
      <c r="AY35" s="434"/>
      <c r="AZ35" s="434"/>
      <c r="BA35" s="434"/>
      <c r="BB35" s="434"/>
      <c r="BC35" s="434"/>
      <c r="BD35" s="434"/>
      <c r="BE35" s="434"/>
      <c r="BF35" s="434"/>
    </row>
    <row r="36" spans="1:58" s="578" customFormat="1" ht="10.5" customHeight="1" thickBot="1">
      <c r="A36" s="559"/>
      <c r="B36" s="560" t="s">
        <v>620</v>
      </c>
      <c r="C36" s="561" t="s">
        <v>620</v>
      </c>
      <c r="D36" s="562">
        <v>656500032</v>
      </c>
      <c r="E36" s="617">
        <v>104</v>
      </c>
      <c r="F36" s="618">
        <v>656</v>
      </c>
      <c r="G36" s="565">
        <v>50000002040</v>
      </c>
      <c r="H36" s="619" t="s">
        <v>625</v>
      </c>
      <c r="I36" s="619">
        <v>225</v>
      </c>
      <c r="J36" s="620">
        <v>0</v>
      </c>
      <c r="K36" s="621"/>
      <c r="L36" s="622">
        <v>0</v>
      </c>
      <c r="M36" s="622">
        <v>9000</v>
      </c>
      <c r="N36" s="622">
        <v>24750.03</v>
      </c>
      <c r="O36" s="622">
        <v>0</v>
      </c>
      <c r="P36" s="622"/>
      <c r="Q36" s="572">
        <f>R36+S36+T36+U36</f>
        <v>36000</v>
      </c>
      <c r="R36" s="622">
        <v>9000</v>
      </c>
      <c r="S36" s="622">
        <v>9000</v>
      </c>
      <c r="T36" s="622">
        <v>9000</v>
      </c>
      <c r="U36" s="622">
        <v>9000</v>
      </c>
      <c r="V36" s="622"/>
      <c r="W36" s="623" t="s">
        <v>627</v>
      </c>
      <c r="X36" s="624"/>
      <c r="Y36" s="625"/>
      <c r="Z36" s="622"/>
      <c r="AA36" s="622"/>
      <c r="AB36" s="573"/>
      <c r="AC36" s="573"/>
      <c r="AD36" s="573"/>
      <c r="AE36" s="573">
        <v>24750.03</v>
      </c>
      <c r="AF36" s="573">
        <v>0</v>
      </c>
      <c r="AG36" s="573"/>
      <c r="AH36" s="574"/>
      <c r="AI36" s="575">
        <v>0.7333335703701597</v>
      </c>
      <c r="AJ36" s="558" t="s">
        <v>594</v>
      </c>
      <c r="AK36" s="576"/>
      <c r="AL36" s="576"/>
      <c r="AM36" s="434"/>
      <c r="AN36" s="434"/>
      <c r="AO36" s="434"/>
      <c r="AP36" s="434"/>
      <c r="AQ36" s="434"/>
      <c r="AR36" s="434"/>
      <c r="AS36" s="434"/>
      <c r="AT36" s="434"/>
      <c r="AU36" s="434"/>
      <c r="AV36" s="434"/>
      <c r="AW36" s="434"/>
      <c r="AX36" s="434"/>
      <c r="AY36" s="434"/>
      <c r="AZ36" s="434"/>
      <c r="BA36" s="434"/>
      <c r="BB36" s="434"/>
      <c r="BC36" s="434"/>
      <c r="BD36" s="434"/>
      <c r="BE36" s="434"/>
      <c r="BF36" s="434"/>
    </row>
    <row r="37" spans="1:58" s="578" customFormat="1" ht="12" customHeight="1">
      <c r="A37" s="559"/>
      <c r="B37" s="560" t="s">
        <v>620</v>
      </c>
      <c r="C37" s="561" t="s">
        <v>620</v>
      </c>
      <c r="D37" s="562">
        <v>656500032</v>
      </c>
      <c r="E37" s="626">
        <v>104</v>
      </c>
      <c r="F37" s="627">
        <v>656</v>
      </c>
      <c r="G37" s="565">
        <v>50000002040</v>
      </c>
      <c r="H37" s="628" t="s">
        <v>625</v>
      </c>
      <c r="I37" s="628">
        <v>226</v>
      </c>
      <c r="J37" s="629">
        <v>0</v>
      </c>
      <c r="K37" s="630"/>
      <c r="L37" s="631">
        <v>20000</v>
      </c>
      <c r="M37" s="631">
        <v>11000</v>
      </c>
      <c r="N37" s="631">
        <v>16000</v>
      </c>
      <c r="O37" s="631">
        <v>13500</v>
      </c>
      <c r="P37" s="631"/>
      <c r="Q37" s="572">
        <f>R37+S37+T37+U37</f>
        <v>10000</v>
      </c>
      <c r="R37" s="631">
        <v>10000</v>
      </c>
      <c r="S37" s="631"/>
      <c r="T37" s="631"/>
      <c r="U37" s="631"/>
      <c r="V37" s="632"/>
      <c r="W37" s="633"/>
      <c r="X37" s="634"/>
      <c r="Y37" s="635"/>
      <c r="Z37" s="631"/>
      <c r="AA37" s="631"/>
      <c r="AB37" s="573"/>
      <c r="AC37" s="573"/>
      <c r="AD37" s="573"/>
      <c r="AE37" s="573">
        <v>21830</v>
      </c>
      <c r="AF37" s="573">
        <v>0</v>
      </c>
      <c r="AG37" s="573"/>
      <c r="AH37" s="574"/>
      <c r="AI37" s="575">
        <v>0.36082644628099175</v>
      </c>
      <c r="AJ37" s="558" t="s">
        <v>594</v>
      </c>
      <c r="AK37" s="576"/>
      <c r="AL37" s="576"/>
      <c r="AM37" s="434"/>
      <c r="AN37" s="434"/>
      <c r="AO37" s="434"/>
      <c r="AP37" s="434"/>
      <c r="AQ37" s="434"/>
      <c r="AR37" s="434"/>
      <c r="AS37" s="434"/>
      <c r="AT37" s="434"/>
      <c r="AU37" s="434"/>
      <c r="AV37" s="434"/>
      <c r="AW37" s="434"/>
      <c r="AX37" s="434"/>
      <c r="AY37" s="434"/>
      <c r="AZ37" s="434"/>
      <c r="BA37" s="434"/>
      <c r="BB37" s="434"/>
      <c r="BC37" s="434"/>
      <c r="BD37" s="434"/>
      <c r="BE37" s="434"/>
      <c r="BF37" s="434"/>
    </row>
    <row r="38" spans="1:58" s="578" customFormat="1" ht="12.75" customHeight="1">
      <c r="A38" s="559"/>
      <c r="B38" s="560"/>
      <c r="C38" s="561"/>
      <c r="D38" s="562">
        <v>656500033</v>
      </c>
      <c r="E38" s="563"/>
      <c r="F38" s="564"/>
      <c r="G38" s="565">
        <v>50000002040</v>
      </c>
      <c r="H38" s="566">
        <v>851</v>
      </c>
      <c r="I38" s="566">
        <v>290</v>
      </c>
      <c r="J38" s="567" t="s">
        <v>149</v>
      </c>
      <c r="K38" s="568"/>
      <c r="L38" s="569"/>
      <c r="M38" s="569"/>
      <c r="N38" s="569"/>
      <c r="O38" s="569"/>
      <c r="P38" s="569"/>
      <c r="Q38" s="572"/>
      <c r="R38" s="569">
        <v>10000</v>
      </c>
      <c r="S38" s="569">
        <v>10000</v>
      </c>
      <c r="T38" s="569">
        <v>5000</v>
      </c>
      <c r="U38" s="569"/>
      <c r="V38" s="569"/>
      <c r="W38" s="636" t="s">
        <v>628</v>
      </c>
      <c r="X38" s="637">
        <v>0</v>
      </c>
      <c r="Y38" s="638">
        <v>0</v>
      </c>
      <c r="Z38" s="569"/>
      <c r="AA38" s="569"/>
      <c r="AB38" s="573"/>
      <c r="AC38" s="573"/>
      <c r="AD38" s="573"/>
      <c r="AE38" s="573"/>
      <c r="AF38" s="573"/>
      <c r="AG38" s="573"/>
      <c r="AH38" s="574"/>
      <c r="AI38" s="575"/>
      <c r="AJ38" s="558"/>
      <c r="AK38" s="576"/>
      <c r="AL38" s="576"/>
      <c r="AM38" s="434"/>
      <c r="AN38" s="434"/>
      <c r="AO38" s="434"/>
      <c r="AP38" s="434"/>
      <c r="AQ38" s="434"/>
      <c r="AR38" s="434"/>
      <c r="AS38" s="434"/>
      <c r="AT38" s="434"/>
      <c r="AU38" s="434"/>
      <c r="AV38" s="434"/>
      <c r="AW38" s="434"/>
      <c r="AX38" s="434"/>
      <c r="AY38" s="434"/>
      <c r="AZ38" s="434"/>
      <c r="BA38" s="434"/>
      <c r="BB38" s="434"/>
      <c r="BC38" s="434"/>
      <c r="BD38" s="434"/>
      <c r="BE38" s="434"/>
      <c r="BF38" s="434"/>
    </row>
    <row r="39" spans="1:58" s="656" customFormat="1" ht="13.5" customHeight="1" thickBot="1">
      <c r="A39" s="639"/>
      <c r="B39" s="640"/>
      <c r="C39" s="561"/>
      <c r="D39" s="562">
        <v>656500032</v>
      </c>
      <c r="E39" s="641"/>
      <c r="F39" s="642"/>
      <c r="G39" s="565">
        <v>50000002040</v>
      </c>
      <c r="H39" s="566">
        <v>853</v>
      </c>
      <c r="I39" s="566">
        <v>290</v>
      </c>
      <c r="J39" s="567" t="s">
        <v>149</v>
      </c>
      <c r="K39" s="643"/>
      <c r="L39" s="644"/>
      <c r="M39" s="644"/>
      <c r="N39" s="644"/>
      <c r="O39" s="644"/>
      <c r="P39" s="644"/>
      <c r="Q39" s="645"/>
      <c r="R39" s="644">
        <f>R37+R38</f>
        <v>20000</v>
      </c>
      <c r="S39" s="644">
        <f>S37+S38</f>
        <v>10000</v>
      </c>
      <c r="T39" s="644">
        <f>T37+T38</f>
        <v>5000</v>
      </c>
      <c r="U39" s="644">
        <f>U37+U38</f>
        <v>0</v>
      </c>
      <c r="V39" s="646"/>
      <c r="W39" s="647" t="s">
        <v>629</v>
      </c>
      <c r="X39" s="648"/>
      <c r="Y39" s="649"/>
      <c r="Z39" s="644">
        <f>Z37+Z38</f>
        <v>0</v>
      </c>
      <c r="AA39" s="644">
        <f>AA37+AA38</f>
        <v>0</v>
      </c>
      <c r="AB39" s="650"/>
      <c r="AC39" s="650"/>
      <c r="AD39" s="650"/>
      <c r="AE39" s="650"/>
      <c r="AF39" s="650"/>
      <c r="AG39" s="650"/>
      <c r="AH39" s="651"/>
      <c r="AI39" s="652"/>
      <c r="AJ39" s="653"/>
      <c r="AK39" s="654"/>
      <c r="AL39" s="654"/>
      <c r="AM39" s="655"/>
      <c r="AN39" s="655"/>
      <c r="AO39" s="655"/>
      <c r="AP39" s="655"/>
      <c r="AQ39" s="655"/>
      <c r="AR39" s="655"/>
      <c r="AS39" s="655"/>
      <c r="AT39" s="655"/>
      <c r="AU39" s="655"/>
      <c r="AV39" s="655"/>
      <c r="AW39" s="655"/>
      <c r="AX39" s="655"/>
      <c r="AY39" s="655"/>
      <c r="AZ39" s="655"/>
      <c r="BA39" s="655"/>
      <c r="BB39" s="655"/>
      <c r="BC39" s="655"/>
      <c r="BD39" s="655"/>
      <c r="BE39" s="655"/>
      <c r="BF39" s="655"/>
    </row>
    <row r="40" spans="1:58" s="578" customFormat="1" ht="12.75" customHeight="1" thickBot="1">
      <c r="A40" s="559"/>
      <c r="B40" s="560" t="s">
        <v>620</v>
      </c>
      <c r="C40" s="561" t="s">
        <v>620</v>
      </c>
      <c r="D40" s="562">
        <v>656500032</v>
      </c>
      <c r="E40" s="657">
        <v>104</v>
      </c>
      <c r="F40" s="658">
        <v>656</v>
      </c>
      <c r="G40" s="565">
        <v>50000002040</v>
      </c>
      <c r="H40" s="659" t="s">
        <v>625</v>
      </c>
      <c r="I40" s="659">
        <v>290</v>
      </c>
      <c r="J40" s="660" t="s">
        <v>149</v>
      </c>
      <c r="K40" s="661"/>
      <c r="L40" s="662">
        <v>0</v>
      </c>
      <c r="M40" s="662">
        <v>0</v>
      </c>
      <c r="N40" s="662">
        <v>0</v>
      </c>
      <c r="O40" s="662">
        <v>0</v>
      </c>
      <c r="P40" s="662">
        <v>0</v>
      </c>
      <c r="Q40" s="663">
        <v>0</v>
      </c>
      <c r="R40" s="662"/>
      <c r="S40" s="662"/>
      <c r="T40" s="662"/>
      <c r="U40" s="662"/>
      <c r="V40" s="662"/>
      <c r="W40" s="647"/>
      <c r="X40" s="664"/>
      <c r="Y40" s="665"/>
      <c r="Z40" s="662"/>
      <c r="AA40" s="662"/>
      <c r="AB40" s="573"/>
      <c r="AC40" s="573"/>
      <c r="AD40" s="573"/>
      <c r="AE40" s="573">
        <v>2353.33</v>
      </c>
      <c r="AF40" s="573">
        <v>0</v>
      </c>
      <c r="AG40" s="573"/>
      <c r="AH40" s="574"/>
      <c r="AI40" s="575"/>
      <c r="AJ40" s="558" t="s">
        <v>594</v>
      </c>
      <c r="AK40" s="576"/>
      <c r="AL40" s="576"/>
      <c r="AM40" s="434"/>
      <c r="AN40" s="434"/>
      <c r="AO40" s="434"/>
      <c r="AP40" s="434"/>
      <c r="AQ40" s="434"/>
      <c r="AR40" s="434"/>
      <c r="AS40" s="434"/>
      <c r="AT40" s="434"/>
      <c r="AU40" s="434"/>
      <c r="AV40" s="434"/>
      <c r="AW40" s="434"/>
      <c r="AX40" s="434"/>
      <c r="AY40" s="434"/>
      <c r="AZ40" s="434"/>
      <c r="BA40" s="434"/>
      <c r="BB40" s="434"/>
      <c r="BC40" s="434"/>
      <c r="BD40" s="434"/>
      <c r="BE40" s="434"/>
      <c r="BF40" s="434"/>
    </row>
    <row r="41" spans="1:58" s="578" customFormat="1" ht="12.75" customHeight="1">
      <c r="A41" s="559"/>
      <c r="B41" s="1274" t="s">
        <v>613</v>
      </c>
      <c r="C41" s="1279"/>
      <c r="D41" s="1279"/>
      <c r="E41" s="1279"/>
      <c r="F41" s="1279"/>
      <c r="G41" s="1279"/>
      <c r="H41" s="1279"/>
      <c r="I41" s="1279"/>
      <c r="J41" s="1279"/>
      <c r="K41" s="1280"/>
      <c r="L41" s="582">
        <v>20200</v>
      </c>
      <c r="M41" s="583">
        <v>24000</v>
      </c>
      <c r="N41" s="583">
        <v>49750.03</v>
      </c>
      <c r="O41" s="582">
        <v>13500</v>
      </c>
      <c r="P41" s="583">
        <f>P34+P35</f>
        <v>41000</v>
      </c>
      <c r="Q41" s="584">
        <f>R41+S41+T41+U41</f>
        <v>30000</v>
      </c>
      <c r="R41" s="666">
        <f>R34+R35+R37</f>
        <v>20000</v>
      </c>
      <c r="S41" s="666">
        <f>S34+S35+S37</f>
        <v>5000</v>
      </c>
      <c r="T41" s="666">
        <f>T34+T35+T37</f>
        <v>5000</v>
      </c>
      <c r="U41" s="666">
        <f>U34+U35+U37</f>
        <v>0</v>
      </c>
      <c r="V41" s="583">
        <f>SUM(V34:V40)</f>
        <v>0</v>
      </c>
      <c r="W41" s="582">
        <f>V41+V32</f>
        <v>2803602</v>
      </c>
      <c r="X41" s="606">
        <f>SUM(X34:X40)</f>
        <v>0</v>
      </c>
      <c r="Y41" s="586"/>
      <c r="Z41" s="583">
        <f>Z34+Z35+Z36+Z39+Z40</f>
        <v>0</v>
      </c>
      <c r="AA41" s="583">
        <f>AA34+AA35+AA36+AA39+AA40</f>
        <v>0</v>
      </c>
      <c r="AB41" s="1281"/>
      <c r="AC41" s="1282"/>
      <c r="AD41" s="1283"/>
      <c r="AE41" s="588">
        <v>53829.29</v>
      </c>
      <c r="AF41" s="589">
        <v>0</v>
      </c>
      <c r="AG41" s="1281"/>
      <c r="AH41" s="1283"/>
      <c r="AI41" s="590">
        <v>0.500970451101782</v>
      </c>
      <c r="AJ41" s="558" t="s">
        <v>594</v>
      </c>
      <c r="AK41" s="576"/>
      <c r="AL41" s="576"/>
      <c r="AM41" s="577">
        <f>V24+V32+V41+X32+X41</f>
        <v>7090146.402</v>
      </c>
      <c r="AN41" s="434"/>
      <c r="AO41" s="434"/>
      <c r="AP41" s="434"/>
      <c r="AQ41" s="434"/>
      <c r="AR41" s="434"/>
      <c r="AS41" s="434"/>
      <c r="AT41" s="434"/>
      <c r="AU41" s="434"/>
      <c r="AV41" s="434"/>
      <c r="AW41" s="434"/>
      <c r="AX41" s="434"/>
      <c r="AY41" s="434"/>
      <c r="AZ41" s="434"/>
      <c r="BA41" s="434"/>
      <c r="BB41" s="434"/>
      <c r="BC41" s="434"/>
      <c r="BD41" s="434"/>
      <c r="BE41" s="434"/>
      <c r="BF41" s="434"/>
    </row>
    <row r="42" spans="1:38" ht="25.5" customHeight="1">
      <c r="A42" s="557"/>
      <c r="B42" s="579"/>
      <c r="C42" s="580"/>
      <c r="D42" s="1314" t="s">
        <v>630</v>
      </c>
      <c r="E42" s="1314"/>
      <c r="F42" s="1314"/>
      <c r="G42" s="1314"/>
      <c r="H42" s="1314"/>
      <c r="I42" s="1314"/>
      <c r="J42" s="1314"/>
      <c r="K42" s="1314"/>
      <c r="L42" s="1314"/>
      <c r="M42" s="1314"/>
      <c r="N42" s="1314"/>
      <c r="O42" s="1314"/>
      <c r="P42" s="1314"/>
      <c r="Q42" s="1314"/>
      <c r="R42" s="1314"/>
      <c r="S42" s="1314"/>
      <c r="T42" s="1314"/>
      <c r="U42" s="1314"/>
      <c r="V42" s="1314"/>
      <c r="W42" s="1314"/>
      <c r="X42" s="1314"/>
      <c r="Y42" s="1314"/>
      <c r="Z42" s="1314"/>
      <c r="AA42" s="1314"/>
      <c r="AB42" s="587"/>
      <c r="AC42" s="587"/>
      <c r="AD42" s="587"/>
      <c r="AE42" s="667"/>
      <c r="AF42" s="667"/>
      <c r="AG42" s="587"/>
      <c r="AH42" s="587"/>
      <c r="AI42" s="590"/>
      <c r="AJ42" s="558"/>
      <c r="AK42" s="426"/>
      <c r="AL42" s="426"/>
    </row>
    <row r="43" spans="1:58" s="578" customFormat="1" ht="12.75" customHeight="1">
      <c r="A43" s="559"/>
      <c r="B43" s="1274" t="s">
        <v>631</v>
      </c>
      <c r="C43" s="1279"/>
      <c r="D43" s="1279"/>
      <c r="E43" s="1279"/>
      <c r="F43" s="1279"/>
      <c r="G43" s="1279"/>
      <c r="H43" s="1279"/>
      <c r="I43" s="1279"/>
      <c r="J43" s="1279"/>
      <c r="K43" s="1279"/>
      <c r="L43" s="1279"/>
      <c r="M43" s="1279"/>
      <c r="N43" s="1279"/>
      <c r="O43" s="1279"/>
      <c r="P43" s="1279"/>
      <c r="Q43" s="1279"/>
      <c r="R43" s="1279"/>
      <c r="S43" s="1279"/>
      <c r="T43" s="1279"/>
      <c r="U43" s="1279"/>
      <c r="V43" s="1279"/>
      <c r="W43" s="1279"/>
      <c r="X43" s="1279"/>
      <c r="Y43" s="1279"/>
      <c r="Z43" s="1279"/>
      <c r="AA43" s="1279"/>
      <c r="AB43" s="1279"/>
      <c r="AC43" s="1279"/>
      <c r="AD43" s="1279"/>
      <c r="AE43" s="1279"/>
      <c r="AF43" s="1279"/>
      <c r="AG43" s="1279"/>
      <c r="AH43" s="1279"/>
      <c r="AI43" s="1301"/>
      <c r="AJ43" s="558" t="s">
        <v>594</v>
      </c>
      <c r="AK43" s="576"/>
      <c r="AL43" s="576"/>
      <c r="AM43" s="434"/>
      <c r="AN43" s="434"/>
      <c r="AO43" s="434"/>
      <c r="AP43" s="434"/>
      <c r="AQ43" s="434"/>
      <c r="AR43" s="434"/>
      <c r="AS43" s="434"/>
      <c r="AT43" s="434"/>
      <c r="AU43" s="434"/>
      <c r="AV43" s="434"/>
      <c r="AW43" s="434"/>
      <c r="AX43" s="434"/>
      <c r="AY43" s="434"/>
      <c r="AZ43" s="434"/>
      <c r="BA43" s="434"/>
      <c r="BB43" s="434"/>
      <c r="BC43" s="434"/>
      <c r="BD43" s="434"/>
      <c r="BE43" s="434"/>
      <c r="BF43" s="434"/>
    </row>
    <row r="44" spans="1:58" s="578" customFormat="1" ht="12.75" customHeight="1">
      <c r="A44" s="559"/>
      <c r="B44" s="560" t="s">
        <v>631</v>
      </c>
      <c r="C44" s="561" t="s">
        <v>631</v>
      </c>
      <c r="D44" s="562">
        <v>656570011</v>
      </c>
      <c r="E44" s="563">
        <v>104</v>
      </c>
      <c r="F44" s="564">
        <v>656</v>
      </c>
      <c r="G44" s="668">
        <v>5700089240</v>
      </c>
      <c r="H44" s="566" t="s">
        <v>632</v>
      </c>
      <c r="I44" s="566">
        <v>251</v>
      </c>
      <c r="J44" s="567">
        <v>0</v>
      </c>
      <c r="K44" s="568"/>
      <c r="L44" s="569">
        <v>203425</v>
      </c>
      <c r="M44" s="569">
        <v>203425</v>
      </c>
      <c r="N44" s="569">
        <v>203425</v>
      </c>
      <c r="O44" s="569">
        <v>203425</v>
      </c>
      <c r="P44" s="569">
        <v>906400</v>
      </c>
      <c r="Q44" s="570">
        <f aca="true" t="shared" si="0" ref="Q44:Q49">R44+S44+T44+U44</f>
        <v>906400</v>
      </c>
      <c r="R44" s="568">
        <v>226600</v>
      </c>
      <c r="S44" s="568">
        <v>226600</v>
      </c>
      <c r="T44" s="568">
        <v>226600</v>
      </c>
      <c r="U44" s="568">
        <v>226600</v>
      </c>
      <c r="V44" s="611">
        <v>481800</v>
      </c>
      <c r="W44" s="568"/>
      <c r="X44" s="612"/>
      <c r="Y44" s="613"/>
      <c r="Z44" s="611"/>
      <c r="AA44" s="611"/>
      <c r="AB44" s="573"/>
      <c r="AC44" s="573"/>
      <c r="AD44" s="573"/>
      <c r="AE44" s="573">
        <v>610275</v>
      </c>
      <c r="AF44" s="573">
        <v>0</v>
      </c>
      <c r="AG44" s="573"/>
      <c r="AH44" s="574"/>
      <c r="AI44" s="575">
        <v>0.75</v>
      </c>
      <c r="AJ44" s="558" t="s">
        <v>594</v>
      </c>
      <c r="AK44" s="576"/>
      <c r="AL44" s="576"/>
      <c r="AM44" s="434"/>
      <c r="AN44" s="434"/>
      <c r="AO44" s="434"/>
      <c r="AP44" s="434"/>
      <c r="AQ44" s="434"/>
      <c r="AR44" s="434"/>
      <c r="AS44" s="434"/>
      <c r="AT44" s="434"/>
      <c r="AU44" s="434"/>
      <c r="AV44" s="434"/>
      <c r="AW44" s="434"/>
      <c r="AX44" s="434"/>
      <c r="AY44" s="434"/>
      <c r="AZ44" s="434"/>
      <c r="BA44" s="434"/>
      <c r="BB44" s="434"/>
      <c r="BC44" s="434"/>
      <c r="BD44" s="434"/>
      <c r="BE44" s="434"/>
      <c r="BF44" s="434"/>
    </row>
    <row r="45" spans="1:58" s="578" customFormat="1" ht="12.75" customHeight="1">
      <c r="A45" s="559"/>
      <c r="B45" s="560" t="s">
        <v>631</v>
      </c>
      <c r="C45" s="561" t="s">
        <v>631</v>
      </c>
      <c r="D45" s="562">
        <v>656570011</v>
      </c>
      <c r="E45" s="563">
        <v>409</v>
      </c>
      <c r="F45" s="564">
        <v>656</v>
      </c>
      <c r="G45" s="668">
        <v>5700089160</v>
      </c>
      <c r="H45" s="566" t="s">
        <v>632</v>
      </c>
      <c r="I45" s="566">
        <v>251</v>
      </c>
      <c r="J45" s="567">
        <v>0</v>
      </c>
      <c r="K45" s="568"/>
      <c r="L45" s="569">
        <v>203425</v>
      </c>
      <c r="M45" s="569">
        <v>203425</v>
      </c>
      <c r="N45" s="569">
        <v>203425</v>
      </c>
      <c r="O45" s="569">
        <v>203425</v>
      </c>
      <c r="P45" s="569">
        <v>906400</v>
      </c>
      <c r="Q45" s="570">
        <f t="shared" si="0"/>
        <v>906400</v>
      </c>
      <c r="R45" s="568">
        <v>226600</v>
      </c>
      <c r="S45" s="568">
        <v>226600</v>
      </c>
      <c r="T45" s="568">
        <v>226600</v>
      </c>
      <c r="U45" s="568">
        <v>226600</v>
      </c>
      <c r="V45" s="611"/>
      <c r="W45" s="568"/>
      <c r="X45" s="612"/>
      <c r="Y45" s="613"/>
      <c r="Z45" s="611"/>
      <c r="AA45" s="611"/>
      <c r="AB45" s="573"/>
      <c r="AC45" s="573"/>
      <c r="AD45" s="573"/>
      <c r="AE45" s="573">
        <v>610275</v>
      </c>
      <c r="AF45" s="573">
        <v>0</v>
      </c>
      <c r="AG45" s="573"/>
      <c r="AH45" s="574"/>
      <c r="AI45" s="575">
        <v>0.75</v>
      </c>
      <c r="AJ45" s="558" t="s">
        <v>594</v>
      </c>
      <c r="AK45" s="576"/>
      <c r="AL45" s="576"/>
      <c r="AM45" s="434"/>
      <c r="AN45" s="434"/>
      <c r="AO45" s="434"/>
      <c r="AP45" s="434"/>
      <c r="AQ45" s="434"/>
      <c r="AR45" s="434"/>
      <c r="AS45" s="434"/>
      <c r="AT45" s="434"/>
      <c r="AU45" s="434"/>
      <c r="AV45" s="434"/>
      <c r="AW45" s="434"/>
      <c r="AX45" s="434"/>
      <c r="AY45" s="434"/>
      <c r="AZ45" s="434"/>
      <c r="BA45" s="434"/>
      <c r="BB45" s="434"/>
      <c r="BC45" s="434"/>
      <c r="BD45" s="434"/>
      <c r="BE45" s="434"/>
      <c r="BF45" s="434"/>
    </row>
    <row r="46" spans="1:58" s="578" customFormat="1" ht="12.75" customHeight="1">
      <c r="A46" s="559"/>
      <c r="B46" s="560" t="s">
        <v>631</v>
      </c>
      <c r="C46" s="561" t="s">
        <v>631</v>
      </c>
      <c r="D46" s="562">
        <v>656570011</v>
      </c>
      <c r="E46" s="563">
        <v>501</v>
      </c>
      <c r="F46" s="564">
        <v>656</v>
      </c>
      <c r="G46" s="668">
        <v>5700089090</v>
      </c>
      <c r="H46" s="566" t="s">
        <v>632</v>
      </c>
      <c r="I46" s="566">
        <v>251</v>
      </c>
      <c r="J46" s="567">
        <v>0</v>
      </c>
      <c r="K46" s="568"/>
      <c r="L46" s="569">
        <v>203425</v>
      </c>
      <c r="M46" s="569">
        <v>203425</v>
      </c>
      <c r="N46" s="569">
        <v>203425</v>
      </c>
      <c r="O46" s="569">
        <v>203425</v>
      </c>
      <c r="P46" s="569">
        <v>906400</v>
      </c>
      <c r="Q46" s="570">
        <f t="shared" si="0"/>
        <v>906400</v>
      </c>
      <c r="R46" s="568">
        <v>226600</v>
      </c>
      <c r="S46" s="568">
        <v>226600</v>
      </c>
      <c r="T46" s="568">
        <v>226600</v>
      </c>
      <c r="U46" s="568">
        <v>226600</v>
      </c>
      <c r="V46" s="611"/>
      <c r="W46" s="568"/>
      <c r="X46" s="612"/>
      <c r="Y46" s="613"/>
      <c r="Z46" s="611"/>
      <c r="AA46" s="611"/>
      <c r="AB46" s="573"/>
      <c r="AC46" s="573"/>
      <c r="AD46" s="573"/>
      <c r="AE46" s="573">
        <v>610275</v>
      </c>
      <c r="AF46" s="573">
        <v>0</v>
      </c>
      <c r="AG46" s="573"/>
      <c r="AH46" s="574"/>
      <c r="AI46" s="575">
        <v>0.75</v>
      </c>
      <c r="AJ46" s="558" t="s">
        <v>594</v>
      </c>
      <c r="AK46" s="576"/>
      <c r="AL46" s="576"/>
      <c r="AM46" s="434"/>
      <c r="AN46" s="434"/>
      <c r="AO46" s="434"/>
      <c r="AP46" s="434"/>
      <c r="AQ46" s="434"/>
      <c r="AR46" s="434"/>
      <c r="AS46" s="434"/>
      <c r="AT46" s="434"/>
      <c r="AU46" s="434"/>
      <c r="AV46" s="434"/>
      <c r="AW46" s="434"/>
      <c r="AX46" s="434"/>
      <c r="AY46" s="434"/>
      <c r="AZ46" s="434"/>
      <c r="BA46" s="434"/>
      <c r="BB46" s="434"/>
      <c r="BC46" s="434"/>
      <c r="BD46" s="434"/>
      <c r="BE46" s="434"/>
      <c r="BF46" s="434"/>
    </row>
    <row r="47" spans="1:58" s="578" customFormat="1" ht="12.75" customHeight="1">
      <c r="A47" s="559"/>
      <c r="B47" s="560" t="s">
        <v>631</v>
      </c>
      <c r="C47" s="561" t="s">
        <v>631</v>
      </c>
      <c r="D47" s="562">
        <v>656570011</v>
      </c>
      <c r="E47" s="563">
        <v>502</v>
      </c>
      <c r="F47" s="564">
        <v>656</v>
      </c>
      <c r="G47" s="668">
        <v>5700089020</v>
      </c>
      <c r="H47" s="566" t="s">
        <v>632</v>
      </c>
      <c r="I47" s="566">
        <v>251</v>
      </c>
      <c r="J47" s="567">
        <v>0</v>
      </c>
      <c r="K47" s="568"/>
      <c r="L47" s="569">
        <v>203425</v>
      </c>
      <c r="M47" s="569">
        <v>203425</v>
      </c>
      <c r="N47" s="569">
        <v>203425</v>
      </c>
      <c r="O47" s="569">
        <v>203425</v>
      </c>
      <c r="P47" s="569">
        <v>906400</v>
      </c>
      <c r="Q47" s="570">
        <f t="shared" si="0"/>
        <v>906400</v>
      </c>
      <c r="R47" s="568">
        <v>226600</v>
      </c>
      <c r="S47" s="568">
        <v>226600</v>
      </c>
      <c r="T47" s="568">
        <v>226600</v>
      </c>
      <c r="U47" s="568">
        <v>226600</v>
      </c>
      <c r="V47" s="669"/>
      <c r="W47" s="568"/>
      <c r="X47" s="612"/>
      <c r="Y47" s="613"/>
      <c r="Z47" s="611"/>
      <c r="AA47" s="611"/>
      <c r="AB47" s="573"/>
      <c r="AC47" s="573"/>
      <c r="AD47" s="573"/>
      <c r="AE47" s="573">
        <v>610275</v>
      </c>
      <c r="AF47" s="573">
        <v>0</v>
      </c>
      <c r="AG47" s="573"/>
      <c r="AH47" s="574"/>
      <c r="AI47" s="575">
        <v>0.75</v>
      </c>
      <c r="AJ47" s="558" t="s">
        <v>594</v>
      </c>
      <c r="AK47" s="576"/>
      <c r="AL47" s="576"/>
      <c r="AM47" s="434"/>
      <c r="AN47" s="434"/>
      <c r="AO47" s="434"/>
      <c r="AP47" s="434"/>
      <c r="AQ47" s="434"/>
      <c r="AR47" s="434"/>
      <c r="AS47" s="434"/>
      <c r="AT47" s="434"/>
      <c r="AU47" s="434"/>
      <c r="AV47" s="434"/>
      <c r="AW47" s="434"/>
      <c r="AX47" s="434"/>
      <c r="AY47" s="434"/>
      <c r="AZ47" s="434"/>
      <c r="BA47" s="434"/>
      <c r="BB47" s="434"/>
      <c r="BC47" s="434"/>
      <c r="BD47" s="434"/>
      <c r="BE47" s="434"/>
      <c r="BF47" s="434"/>
    </row>
    <row r="48" spans="1:58" s="578" customFormat="1" ht="12.75" customHeight="1">
      <c r="A48" s="559"/>
      <c r="B48" s="560" t="s">
        <v>631</v>
      </c>
      <c r="C48" s="561" t="s">
        <v>631</v>
      </c>
      <c r="D48" s="670">
        <v>656570011</v>
      </c>
      <c r="E48" s="671">
        <v>605</v>
      </c>
      <c r="F48" s="672">
        <v>656</v>
      </c>
      <c r="G48" s="673">
        <v>5700089090</v>
      </c>
      <c r="H48" s="674" t="s">
        <v>632</v>
      </c>
      <c r="I48" s="674">
        <v>251</v>
      </c>
      <c r="J48" s="675">
        <v>0</v>
      </c>
      <c r="K48" s="676"/>
      <c r="L48" s="677">
        <v>203425</v>
      </c>
      <c r="M48" s="677">
        <v>203425</v>
      </c>
      <c r="N48" s="677">
        <v>203425</v>
      </c>
      <c r="O48" s="677">
        <v>203425</v>
      </c>
      <c r="P48" s="677">
        <v>906400</v>
      </c>
      <c r="Q48" s="678">
        <f t="shared" si="0"/>
        <v>906400</v>
      </c>
      <c r="R48" s="676">
        <v>226600</v>
      </c>
      <c r="S48" s="676">
        <v>226600</v>
      </c>
      <c r="T48" s="676">
        <v>226600</v>
      </c>
      <c r="U48" s="676">
        <v>226600</v>
      </c>
      <c r="V48" s="679">
        <v>605340</v>
      </c>
      <c r="W48" s="568"/>
      <c r="X48" s="612"/>
      <c r="Y48" s="613"/>
      <c r="Z48" s="611"/>
      <c r="AA48" s="611"/>
      <c r="AB48" s="573"/>
      <c r="AC48" s="573"/>
      <c r="AD48" s="573"/>
      <c r="AE48" s="573">
        <v>610275</v>
      </c>
      <c r="AF48" s="573">
        <v>0</v>
      </c>
      <c r="AG48" s="573"/>
      <c r="AH48" s="574"/>
      <c r="AI48" s="575">
        <v>0.75</v>
      </c>
      <c r="AJ48" s="558" t="s">
        <v>594</v>
      </c>
      <c r="AK48" s="576"/>
      <c r="AL48" s="576"/>
      <c r="AM48" s="434"/>
      <c r="AN48" s="434"/>
      <c r="AO48" s="434"/>
      <c r="AP48" s="434"/>
      <c r="AQ48" s="434"/>
      <c r="AR48" s="434"/>
      <c r="AS48" s="434"/>
      <c r="AT48" s="434"/>
      <c r="AU48" s="434"/>
      <c r="AV48" s="434"/>
      <c r="AW48" s="434"/>
      <c r="AX48" s="434"/>
      <c r="AY48" s="434"/>
      <c r="AZ48" s="434"/>
      <c r="BA48" s="434"/>
      <c r="BB48" s="434"/>
      <c r="BC48" s="434"/>
      <c r="BD48" s="434"/>
      <c r="BE48" s="434"/>
      <c r="BF48" s="434"/>
    </row>
    <row r="49" spans="1:58" s="578" customFormat="1" ht="12.75" customHeight="1" thickBot="1">
      <c r="A49" s="559"/>
      <c r="B49" s="1274" t="s">
        <v>613</v>
      </c>
      <c r="C49" s="1279"/>
      <c r="D49" s="1279"/>
      <c r="E49" s="1279"/>
      <c r="F49" s="1279"/>
      <c r="G49" s="1279"/>
      <c r="H49" s="1279"/>
      <c r="I49" s="1279"/>
      <c r="J49" s="1279"/>
      <c r="K49" s="1280"/>
      <c r="L49" s="582">
        <v>203425</v>
      </c>
      <c r="M49" s="583">
        <v>203425</v>
      </c>
      <c r="N49" s="583">
        <v>203425</v>
      </c>
      <c r="O49" s="582">
        <v>203425</v>
      </c>
      <c r="P49" s="583">
        <v>906400</v>
      </c>
      <c r="Q49" s="584">
        <f t="shared" si="0"/>
        <v>906400</v>
      </c>
      <c r="R49" s="680">
        <f>R44</f>
        <v>226600</v>
      </c>
      <c r="S49" s="587">
        <f>S44</f>
        <v>226600</v>
      </c>
      <c r="T49" s="680">
        <f>T44</f>
        <v>226600</v>
      </c>
      <c r="U49" s="587">
        <f>U44</f>
        <v>226600</v>
      </c>
      <c r="V49" s="681">
        <f>SUM(V44:V48)</f>
        <v>1087140</v>
      </c>
      <c r="W49" s="682"/>
      <c r="X49" s="683"/>
      <c r="Y49" s="684"/>
      <c r="Z49" s="681"/>
      <c r="AA49" s="681"/>
      <c r="AB49" s="1281"/>
      <c r="AC49" s="1282"/>
      <c r="AD49" s="1283"/>
      <c r="AE49" s="588">
        <v>610275</v>
      </c>
      <c r="AF49" s="589">
        <v>0</v>
      </c>
      <c r="AG49" s="1281"/>
      <c r="AH49" s="1283"/>
      <c r="AI49" s="590">
        <v>0.75</v>
      </c>
      <c r="AJ49" s="558" t="s">
        <v>594</v>
      </c>
      <c r="AK49" s="576"/>
      <c r="AL49" s="576"/>
      <c r="AM49" s="434"/>
      <c r="AN49" s="434"/>
      <c r="AO49" s="434"/>
      <c r="AP49" s="434"/>
      <c r="AQ49" s="434"/>
      <c r="AR49" s="434"/>
      <c r="AS49" s="434"/>
      <c r="AT49" s="434"/>
      <c r="AU49" s="434"/>
      <c r="AV49" s="434"/>
      <c r="AW49" s="434"/>
      <c r="AX49" s="434"/>
      <c r="AY49" s="434"/>
      <c r="AZ49" s="434"/>
      <c r="BA49" s="434"/>
      <c r="BB49" s="434"/>
      <c r="BC49" s="434"/>
      <c r="BD49" s="434"/>
      <c r="BE49" s="434"/>
      <c r="BF49" s="434"/>
    </row>
    <row r="50" spans="1:58" s="578" customFormat="1" ht="12.75" customHeight="1" thickBot="1">
      <c r="A50" s="559"/>
      <c r="B50" s="579"/>
      <c r="C50" s="580"/>
      <c r="D50" s="1304" t="s">
        <v>633</v>
      </c>
      <c r="E50" s="1305"/>
      <c r="F50" s="1305"/>
      <c r="G50" s="1305"/>
      <c r="H50" s="1305"/>
      <c r="I50" s="1305"/>
      <c r="J50" s="1305"/>
      <c r="K50" s="1305"/>
      <c r="L50" s="1305"/>
      <c r="M50" s="1305"/>
      <c r="N50" s="1305"/>
      <c r="O50" s="1305"/>
      <c r="P50" s="1305"/>
      <c r="Q50" s="1305"/>
      <c r="R50" s="1305"/>
      <c r="S50" s="1305"/>
      <c r="T50" s="1305"/>
      <c r="U50" s="1305"/>
      <c r="V50" s="1305"/>
      <c r="W50" s="1305"/>
      <c r="X50" s="1305"/>
      <c r="Y50" s="1305"/>
      <c r="Z50" s="1305"/>
      <c r="AA50" s="1306"/>
      <c r="AB50" s="587"/>
      <c r="AC50" s="587"/>
      <c r="AD50" s="587"/>
      <c r="AE50" s="667"/>
      <c r="AF50" s="667"/>
      <c r="AG50" s="587"/>
      <c r="AH50" s="587"/>
      <c r="AI50" s="590"/>
      <c r="AJ50" s="558"/>
      <c r="AK50" s="576"/>
      <c r="AL50" s="576"/>
      <c r="AM50" s="434"/>
      <c r="AN50" s="434"/>
      <c r="AO50" s="434"/>
      <c r="AP50" s="434"/>
      <c r="AQ50" s="434"/>
      <c r="AR50" s="434"/>
      <c r="AS50" s="434"/>
      <c r="AT50" s="434"/>
      <c r="AU50" s="434"/>
      <c r="AV50" s="434"/>
      <c r="AW50" s="434"/>
      <c r="AX50" s="434"/>
      <c r="AY50" s="434"/>
      <c r="AZ50" s="434"/>
      <c r="BA50" s="434"/>
      <c r="BB50" s="434"/>
      <c r="BC50" s="434"/>
      <c r="BD50" s="434"/>
      <c r="BE50" s="434"/>
      <c r="BF50" s="434"/>
    </row>
    <row r="51" spans="1:58" s="578" customFormat="1" ht="12.75" customHeight="1">
      <c r="A51" s="559"/>
      <c r="B51" s="579"/>
      <c r="C51" s="580"/>
      <c r="D51" s="1343" t="s">
        <v>634</v>
      </c>
      <c r="E51" s="1343"/>
      <c r="F51" s="1343"/>
      <c r="G51" s="1343"/>
      <c r="H51" s="1343"/>
      <c r="I51" s="1343"/>
      <c r="J51" s="685"/>
      <c r="K51" s="685"/>
      <c r="L51" s="685"/>
      <c r="M51" s="685"/>
      <c r="N51" s="685"/>
      <c r="O51" s="685"/>
      <c r="P51" s="685"/>
      <c r="Q51" s="685"/>
      <c r="R51" s="685"/>
      <c r="S51" s="685"/>
      <c r="T51" s="685"/>
      <c r="U51" s="685"/>
      <c r="V51" s="685"/>
      <c r="W51" s="685"/>
      <c r="X51" s="686"/>
      <c r="Y51" s="687"/>
      <c r="Z51" s="685"/>
      <c r="AA51" s="685"/>
      <c r="AB51" s="587"/>
      <c r="AC51" s="587"/>
      <c r="AD51" s="587"/>
      <c r="AE51" s="667"/>
      <c r="AF51" s="667"/>
      <c r="AG51" s="587"/>
      <c r="AH51" s="587"/>
      <c r="AI51" s="590"/>
      <c r="AJ51" s="558"/>
      <c r="AK51" s="576"/>
      <c r="AL51" s="576"/>
      <c r="AM51" s="434"/>
      <c r="AN51" s="434"/>
      <c r="AO51" s="434"/>
      <c r="AP51" s="434"/>
      <c r="AQ51" s="434"/>
      <c r="AR51" s="434"/>
      <c r="AS51" s="434"/>
      <c r="AT51" s="434"/>
      <c r="AU51" s="434"/>
      <c r="AV51" s="434"/>
      <c r="AW51" s="434"/>
      <c r="AX51" s="434"/>
      <c r="AY51" s="434"/>
      <c r="AZ51" s="434"/>
      <c r="BA51" s="434"/>
      <c r="BB51" s="434"/>
      <c r="BC51" s="434"/>
      <c r="BD51" s="434"/>
      <c r="BE51" s="434"/>
      <c r="BF51" s="434"/>
    </row>
    <row r="52" spans="1:58" s="578" customFormat="1" ht="12.75" customHeight="1">
      <c r="A52" s="559"/>
      <c r="B52" s="1274" t="s">
        <v>635</v>
      </c>
      <c r="C52" s="1279"/>
      <c r="D52" s="1279"/>
      <c r="E52" s="1279"/>
      <c r="F52" s="1279"/>
      <c r="G52" s="1279"/>
      <c r="H52" s="1279"/>
      <c r="I52" s="1279"/>
      <c r="J52" s="1279"/>
      <c r="K52" s="1279"/>
      <c r="L52" s="1279"/>
      <c r="M52" s="1279"/>
      <c r="N52" s="1279"/>
      <c r="O52" s="1279"/>
      <c r="P52" s="1279"/>
      <c r="Q52" s="1279"/>
      <c r="R52" s="1279"/>
      <c r="S52" s="1279"/>
      <c r="T52" s="1279"/>
      <c r="U52" s="1279"/>
      <c r="V52" s="1279"/>
      <c r="W52" s="1279"/>
      <c r="X52" s="1279"/>
      <c r="Y52" s="1279"/>
      <c r="Z52" s="1279"/>
      <c r="AA52" s="1279"/>
      <c r="AB52" s="1279"/>
      <c r="AC52" s="1279"/>
      <c r="AD52" s="1279"/>
      <c r="AE52" s="1279"/>
      <c r="AF52" s="1279"/>
      <c r="AG52" s="1279"/>
      <c r="AH52" s="1279"/>
      <c r="AI52" s="1301"/>
      <c r="AJ52" s="558" t="s">
        <v>594</v>
      </c>
      <c r="AK52" s="576"/>
      <c r="AL52" s="576"/>
      <c r="AM52" s="434"/>
      <c r="AN52" s="434"/>
      <c r="AO52" s="434"/>
      <c r="AP52" s="434"/>
      <c r="AQ52" s="434"/>
      <c r="AR52" s="434"/>
      <c r="AS52" s="434"/>
      <c r="AT52" s="434"/>
      <c r="AU52" s="434"/>
      <c r="AV52" s="434"/>
      <c r="AW52" s="434"/>
      <c r="AX52" s="434"/>
      <c r="AY52" s="434"/>
      <c r="AZ52" s="434"/>
      <c r="BA52" s="434"/>
      <c r="BB52" s="434"/>
      <c r="BC52" s="434"/>
      <c r="BD52" s="434"/>
      <c r="BE52" s="434"/>
      <c r="BF52" s="434"/>
    </row>
    <row r="53" spans="1:58" s="578" customFormat="1" ht="12.75" customHeight="1">
      <c r="A53" s="559"/>
      <c r="B53" s="560" t="s">
        <v>635</v>
      </c>
      <c r="C53" s="561" t="s">
        <v>635</v>
      </c>
      <c r="D53" s="562">
        <v>656510011</v>
      </c>
      <c r="E53" s="563">
        <v>111</v>
      </c>
      <c r="F53" s="564">
        <v>656</v>
      </c>
      <c r="G53" s="668">
        <v>5100020610</v>
      </c>
      <c r="H53" s="566" t="s">
        <v>636</v>
      </c>
      <c r="I53" s="566">
        <v>290</v>
      </c>
      <c r="J53" s="567">
        <v>292</v>
      </c>
      <c r="K53" s="568"/>
      <c r="L53" s="569">
        <v>74629.24</v>
      </c>
      <c r="M53" s="569">
        <v>0</v>
      </c>
      <c r="N53" s="569">
        <v>0</v>
      </c>
      <c r="O53" s="569">
        <v>0</v>
      </c>
      <c r="P53" s="569">
        <v>74629.24</v>
      </c>
      <c r="Q53" s="572">
        <f>R53+S53+T53+U53</f>
        <v>80000</v>
      </c>
      <c r="R53" s="568">
        <v>20000</v>
      </c>
      <c r="S53" s="568">
        <v>20000</v>
      </c>
      <c r="T53" s="568">
        <v>20000</v>
      </c>
      <c r="U53" s="568">
        <v>20000</v>
      </c>
      <c r="V53" s="611">
        <v>80000</v>
      </c>
      <c r="W53" s="568"/>
      <c r="X53" s="612">
        <v>0</v>
      </c>
      <c r="Y53" s="613"/>
      <c r="Z53" s="611">
        <v>80000</v>
      </c>
      <c r="AA53" s="611">
        <f>80000-12000</f>
        <v>68000</v>
      </c>
      <c r="AB53" s="573"/>
      <c r="AC53" s="573"/>
      <c r="AD53" s="573"/>
      <c r="AE53" s="573">
        <v>0</v>
      </c>
      <c r="AF53" s="573">
        <v>0</v>
      </c>
      <c r="AG53" s="573"/>
      <c r="AH53" s="574"/>
      <c r="AI53" s="575">
        <v>0</v>
      </c>
      <c r="AJ53" s="558" t="s">
        <v>594</v>
      </c>
      <c r="AK53" s="576"/>
      <c r="AL53" s="576"/>
      <c r="AM53" s="434"/>
      <c r="AN53" s="434"/>
      <c r="AO53" s="434"/>
      <c r="AP53" s="434"/>
      <c r="AQ53" s="434"/>
      <c r="AR53" s="434"/>
      <c r="AS53" s="434"/>
      <c r="AT53" s="434"/>
      <c r="AU53" s="434"/>
      <c r="AV53" s="434"/>
      <c r="AW53" s="434"/>
      <c r="AX53" s="434"/>
      <c r="AY53" s="434"/>
      <c r="AZ53" s="434"/>
      <c r="BA53" s="434"/>
      <c r="BB53" s="434"/>
      <c r="BC53" s="434"/>
      <c r="BD53" s="434"/>
      <c r="BE53" s="434"/>
      <c r="BF53" s="434"/>
    </row>
    <row r="54" spans="1:58" s="578" customFormat="1" ht="12.75" customHeight="1">
      <c r="A54" s="559"/>
      <c r="B54" s="1274" t="s">
        <v>613</v>
      </c>
      <c r="C54" s="1279"/>
      <c r="D54" s="1279"/>
      <c r="E54" s="1279"/>
      <c r="F54" s="1279"/>
      <c r="G54" s="1279"/>
      <c r="H54" s="1279"/>
      <c r="I54" s="1279"/>
      <c r="J54" s="1279"/>
      <c r="K54" s="1280"/>
      <c r="L54" s="582">
        <v>74629.24</v>
      </c>
      <c r="M54" s="583">
        <v>0</v>
      </c>
      <c r="N54" s="583">
        <v>0</v>
      </c>
      <c r="O54" s="582">
        <v>0</v>
      </c>
      <c r="P54" s="583">
        <v>74629.24</v>
      </c>
      <c r="Q54" s="584">
        <f>R54+S54+T54+U54</f>
        <v>80000</v>
      </c>
      <c r="R54" s="680">
        <f>R53</f>
        <v>20000</v>
      </c>
      <c r="S54" s="688">
        <f>S53</f>
        <v>20000</v>
      </c>
      <c r="T54" s="680">
        <f>T53</f>
        <v>20000</v>
      </c>
      <c r="U54" s="688">
        <f>U53</f>
        <v>20000</v>
      </c>
      <c r="V54" s="681">
        <f>V53</f>
        <v>80000</v>
      </c>
      <c r="W54" s="682"/>
      <c r="X54" s="683">
        <f>X53</f>
        <v>0</v>
      </c>
      <c r="Y54" s="684"/>
      <c r="Z54" s="681">
        <f>Z53</f>
        <v>80000</v>
      </c>
      <c r="AA54" s="681">
        <f>AA53</f>
        <v>68000</v>
      </c>
      <c r="AB54" s="1281"/>
      <c r="AC54" s="1282"/>
      <c r="AD54" s="1283"/>
      <c r="AE54" s="588">
        <v>0</v>
      </c>
      <c r="AF54" s="589">
        <v>0</v>
      </c>
      <c r="AG54" s="1281"/>
      <c r="AH54" s="1283"/>
      <c r="AI54" s="590">
        <v>0</v>
      </c>
      <c r="AJ54" s="558" t="s">
        <v>594</v>
      </c>
      <c r="AK54" s="576"/>
      <c r="AL54" s="576"/>
      <c r="AM54" s="434"/>
      <c r="AN54" s="434"/>
      <c r="AO54" s="434"/>
      <c r="AP54" s="434"/>
      <c r="AQ54" s="434"/>
      <c r="AR54" s="434"/>
      <c r="AS54" s="434"/>
      <c r="AT54" s="434"/>
      <c r="AU54" s="434"/>
      <c r="AV54" s="434"/>
      <c r="AW54" s="434"/>
      <c r="AX54" s="434"/>
      <c r="AY54" s="434"/>
      <c r="AZ54" s="434"/>
      <c r="BA54" s="434"/>
      <c r="BB54" s="434"/>
      <c r="BC54" s="434"/>
      <c r="BD54" s="434"/>
      <c r="BE54" s="434"/>
      <c r="BF54" s="434"/>
    </row>
    <row r="55" spans="1:38" ht="13.5" customHeight="1">
      <c r="A55" s="426"/>
      <c r="B55" s="534"/>
      <c r="C55" s="534"/>
      <c r="D55" s="535" t="s">
        <v>637</v>
      </c>
      <c r="E55" s="536"/>
      <c r="F55" s="536"/>
      <c r="G55" s="536"/>
      <c r="H55" s="536"/>
      <c r="I55" s="536"/>
      <c r="J55" s="537"/>
      <c r="K55" s="538"/>
      <c r="L55" s="539"/>
      <c r="M55" s="539"/>
      <c r="N55" s="539"/>
      <c r="O55" s="539"/>
      <c r="P55" s="539"/>
      <c r="Q55" s="540"/>
      <c r="R55" s="538"/>
      <c r="S55" s="541"/>
      <c r="T55" s="536"/>
      <c r="U55" s="542"/>
      <c r="V55" s="536"/>
      <c r="W55" s="536"/>
      <c r="X55" s="543"/>
      <c r="Y55" s="544"/>
      <c r="Z55" s="536"/>
      <c r="AA55" s="536"/>
      <c r="AB55" s="545"/>
      <c r="AC55" s="545"/>
      <c r="AD55" s="545"/>
      <c r="AE55" s="545"/>
      <c r="AF55" s="545"/>
      <c r="AG55" s="545"/>
      <c r="AH55" s="545"/>
      <c r="AI55" s="546"/>
      <c r="AJ55" s="503"/>
      <c r="AK55" s="426"/>
      <c r="AL55" s="426"/>
    </row>
    <row r="56" spans="1:38" ht="13.5" customHeight="1">
      <c r="A56" s="426"/>
      <c r="B56" s="534"/>
      <c r="C56" s="534"/>
      <c r="D56" s="689" t="s">
        <v>638</v>
      </c>
      <c r="E56" s="690"/>
      <c r="F56" s="690"/>
      <c r="G56" s="690"/>
      <c r="H56" s="690"/>
      <c r="I56" s="690"/>
      <c r="J56" s="691"/>
      <c r="K56" s="692"/>
      <c r="L56" s="693"/>
      <c r="M56" s="693"/>
      <c r="N56" s="693"/>
      <c r="O56" s="693"/>
      <c r="P56" s="693"/>
      <c r="Q56" s="694"/>
      <c r="R56" s="692"/>
      <c r="S56" s="695"/>
      <c r="T56" s="690"/>
      <c r="U56" s="696"/>
      <c r="V56" s="690"/>
      <c r="W56" s="690"/>
      <c r="X56" s="697"/>
      <c r="Y56" s="698"/>
      <c r="Z56" s="690"/>
      <c r="AA56" s="690"/>
      <c r="AB56" s="545"/>
      <c r="AC56" s="545"/>
      <c r="AD56" s="545"/>
      <c r="AE56" s="545"/>
      <c r="AF56" s="545"/>
      <c r="AG56" s="545"/>
      <c r="AH56" s="545"/>
      <c r="AI56" s="546"/>
      <c r="AJ56" s="503"/>
      <c r="AK56" s="426"/>
      <c r="AL56" s="426"/>
    </row>
    <row r="57" spans="1:58" s="578" customFormat="1" ht="12.75" customHeight="1">
      <c r="A57" s="559"/>
      <c r="B57" s="1274" t="s">
        <v>639</v>
      </c>
      <c r="C57" s="1279"/>
      <c r="D57" s="1279"/>
      <c r="E57" s="1279"/>
      <c r="F57" s="1279"/>
      <c r="G57" s="1279"/>
      <c r="H57" s="1279"/>
      <c r="I57" s="1279"/>
      <c r="J57" s="1279"/>
      <c r="K57" s="1279"/>
      <c r="L57" s="1279"/>
      <c r="M57" s="1279"/>
      <c r="N57" s="1279"/>
      <c r="O57" s="1279"/>
      <c r="P57" s="1279"/>
      <c r="Q57" s="1279"/>
      <c r="R57" s="1279"/>
      <c r="S57" s="1279"/>
      <c r="T57" s="1279"/>
      <c r="U57" s="1279"/>
      <c r="V57" s="1279"/>
      <c r="W57" s="1279"/>
      <c r="X57" s="1279"/>
      <c r="Y57" s="1279"/>
      <c r="Z57" s="1279"/>
      <c r="AA57" s="1279"/>
      <c r="AB57" s="1279"/>
      <c r="AC57" s="1279"/>
      <c r="AD57" s="1279"/>
      <c r="AE57" s="1279"/>
      <c r="AF57" s="1279"/>
      <c r="AG57" s="1279"/>
      <c r="AH57" s="1279"/>
      <c r="AI57" s="1301"/>
      <c r="AJ57" s="558" t="s">
        <v>594</v>
      </c>
      <c r="AK57" s="576"/>
      <c r="AL57" s="576"/>
      <c r="AM57" s="434"/>
      <c r="AN57" s="434"/>
      <c r="AO57" s="434"/>
      <c r="AP57" s="434"/>
      <c r="AQ57" s="434"/>
      <c r="AR57" s="434"/>
      <c r="AS57" s="434"/>
      <c r="AT57" s="434"/>
      <c r="AU57" s="434"/>
      <c r="AV57" s="434"/>
      <c r="AW57" s="434"/>
      <c r="AX57" s="434"/>
      <c r="AY57" s="434"/>
      <c r="AZ57" s="434"/>
      <c r="BA57" s="434"/>
      <c r="BB57" s="434"/>
      <c r="BC57" s="434"/>
      <c r="BD57" s="434"/>
      <c r="BE57" s="434"/>
      <c r="BF57" s="434"/>
    </row>
    <row r="58" spans="1:58" s="578" customFormat="1" ht="12.75" customHeight="1">
      <c r="A58" s="559"/>
      <c r="B58" s="579"/>
      <c r="C58" s="580"/>
      <c r="D58" s="562">
        <v>656500042</v>
      </c>
      <c r="E58" s="699"/>
      <c r="F58" s="699"/>
      <c r="G58" s="565">
        <v>50000002400</v>
      </c>
      <c r="H58" s="700">
        <v>224</v>
      </c>
      <c r="I58" s="700">
        <v>226</v>
      </c>
      <c r="J58" s="701"/>
      <c r="K58" s="701"/>
      <c r="L58" s="701"/>
      <c r="M58" s="701"/>
      <c r="N58" s="701"/>
      <c r="O58" s="701"/>
      <c r="P58" s="701"/>
      <c r="Q58" s="701"/>
      <c r="R58" s="701"/>
      <c r="S58" s="701"/>
      <c r="T58" s="701"/>
      <c r="U58" s="701"/>
      <c r="V58" s="702">
        <v>21800</v>
      </c>
      <c r="W58" s="701" t="s">
        <v>640</v>
      </c>
      <c r="X58" s="703"/>
      <c r="Y58" s="568"/>
      <c r="Z58" s="704"/>
      <c r="AA58" s="704"/>
      <c r="AB58" s="580"/>
      <c r="AC58" s="580"/>
      <c r="AD58" s="580"/>
      <c r="AE58" s="580"/>
      <c r="AF58" s="580"/>
      <c r="AG58" s="580"/>
      <c r="AH58" s="580"/>
      <c r="AI58" s="610"/>
      <c r="AJ58" s="558"/>
      <c r="AK58" s="576"/>
      <c r="AL58" s="576"/>
      <c r="AM58" s="434"/>
      <c r="AN58" s="434"/>
      <c r="AO58" s="434"/>
      <c r="AP58" s="434"/>
      <c r="AQ58" s="434"/>
      <c r="AR58" s="434"/>
      <c r="AS58" s="434"/>
      <c r="AT58" s="434"/>
      <c r="AU58" s="434"/>
      <c r="AV58" s="434"/>
      <c r="AW58" s="434"/>
      <c r="AX58" s="434"/>
      <c r="AY58" s="434"/>
      <c r="AZ58" s="434"/>
      <c r="BA58" s="434"/>
      <c r="BB58" s="434"/>
      <c r="BC58" s="434"/>
      <c r="BD58" s="434"/>
      <c r="BE58" s="434"/>
      <c r="BF58" s="434"/>
    </row>
    <row r="59" spans="1:58" s="578" customFormat="1" ht="12.75" customHeight="1">
      <c r="A59" s="559"/>
      <c r="B59" s="579"/>
      <c r="C59" s="580"/>
      <c r="D59" s="581"/>
      <c r="E59" s="699"/>
      <c r="F59" s="699"/>
      <c r="G59" s="565">
        <v>50000002400</v>
      </c>
      <c r="H59" s="700"/>
      <c r="I59" s="700">
        <v>226</v>
      </c>
      <c r="J59" s="701"/>
      <c r="K59" s="701"/>
      <c r="L59" s="701"/>
      <c r="M59" s="701"/>
      <c r="N59" s="701"/>
      <c r="O59" s="701"/>
      <c r="P59" s="701"/>
      <c r="Q59" s="705"/>
      <c r="R59" s="701"/>
      <c r="S59" s="701"/>
      <c r="T59" s="701"/>
      <c r="U59" s="701"/>
      <c r="V59" s="702">
        <v>0</v>
      </c>
      <c r="W59" s="701" t="s">
        <v>641</v>
      </c>
      <c r="X59" s="703"/>
      <c r="Y59" s="701"/>
      <c r="Z59" s="611"/>
      <c r="AA59" s="611"/>
      <c r="AB59" s="580"/>
      <c r="AC59" s="580"/>
      <c r="AD59" s="580"/>
      <c r="AE59" s="580"/>
      <c r="AF59" s="580"/>
      <c r="AG59" s="580"/>
      <c r="AH59" s="580"/>
      <c r="AI59" s="610"/>
      <c r="AJ59" s="558"/>
      <c r="AK59" s="576"/>
      <c r="AL59" s="576"/>
      <c r="AM59" s="434"/>
      <c r="AN59" s="434"/>
      <c r="AO59" s="434"/>
      <c r="AP59" s="434"/>
      <c r="AQ59" s="434"/>
      <c r="AR59" s="434"/>
      <c r="AS59" s="434"/>
      <c r="AT59" s="434"/>
      <c r="AU59" s="434"/>
      <c r="AV59" s="434"/>
      <c r="AW59" s="434"/>
      <c r="AX59" s="434"/>
      <c r="AY59" s="434"/>
      <c r="AZ59" s="434"/>
      <c r="BA59" s="434"/>
      <c r="BB59" s="434"/>
      <c r="BC59" s="434"/>
      <c r="BD59" s="434"/>
      <c r="BE59" s="434"/>
      <c r="BF59" s="434"/>
    </row>
    <row r="60" spans="1:58" s="578" customFormat="1" ht="12.75" customHeight="1">
      <c r="A60" s="559"/>
      <c r="B60" s="560" t="s">
        <v>639</v>
      </c>
      <c r="C60" s="561" t="s">
        <v>639</v>
      </c>
      <c r="D60" s="562">
        <v>656500041</v>
      </c>
      <c r="E60" s="563">
        <v>113</v>
      </c>
      <c r="F60" s="564">
        <v>656</v>
      </c>
      <c r="G60" s="565">
        <v>50000002400</v>
      </c>
      <c r="H60" s="566" t="s">
        <v>622</v>
      </c>
      <c r="I60" s="566">
        <v>212</v>
      </c>
      <c r="J60" s="567">
        <v>0</v>
      </c>
      <c r="K60" s="568"/>
      <c r="L60" s="569">
        <v>50000</v>
      </c>
      <c r="M60" s="569">
        <v>47000</v>
      </c>
      <c r="N60" s="569">
        <v>40831.16</v>
      </c>
      <c r="O60" s="569">
        <v>0</v>
      </c>
      <c r="P60" s="569">
        <v>137831.16</v>
      </c>
      <c r="Q60" s="570">
        <f>R60+S60+T60+U60</f>
        <v>79807</v>
      </c>
      <c r="R60" s="568">
        <v>40000</v>
      </c>
      <c r="S60" s="568">
        <v>39807</v>
      </c>
      <c r="T60" s="568"/>
      <c r="U60" s="568">
        <v>0</v>
      </c>
      <c r="V60" s="706">
        <v>100247.45</v>
      </c>
      <c r="W60" s="707" t="s">
        <v>642</v>
      </c>
      <c r="X60" s="612">
        <v>150000</v>
      </c>
      <c r="Y60" s="568"/>
      <c r="Z60" s="611">
        <v>200000</v>
      </c>
      <c r="AA60" s="611">
        <v>200000</v>
      </c>
      <c r="AB60" s="573"/>
      <c r="AC60" s="573"/>
      <c r="AD60" s="573"/>
      <c r="AE60" s="573">
        <v>137831.16</v>
      </c>
      <c r="AF60" s="573">
        <v>0</v>
      </c>
      <c r="AG60" s="573"/>
      <c r="AH60" s="574"/>
      <c r="AI60" s="575">
        <v>1</v>
      </c>
      <c r="AJ60" s="558" t="s">
        <v>594</v>
      </c>
      <c r="AK60" s="576"/>
      <c r="AL60" s="576"/>
      <c r="AM60" s="434"/>
      <c r="AN60" s="434"/>
      <c r="AO60" s="434"/>
      <c r="AP60" s="434"/>
      <c r="AQ60" s="434"/>
      <c r="AR60" s="434"/>
      <c r="AS60" s="434"/>
      <c r="AT60" s="434"/>
      <c r="AU60" s="434"/>
      <c r="AV60" s="434"/>
      <c r="AW60" s="434"/>
      <c r="AX60" s="434"/>
      <c r="AY60" s="434"/>
      <c r="AZ60" s="434"/>
      <c r="BA60" s="434"/>
      <c r="BB60" s="434"/>
      <c r="BC60" s="434"/>
      <c r="BD60" s="434"/>
      <c r="BE60" s="434"/>
      <c r="BF60" s="434"/>
    </row>
    <row r="61" spans="1:58" s="578" customFormat="1" ht="12.75" customHeight="1">
      <c r="A61" s="559"/>
      <c r="B61" s="579"/>
      <c r="C61" s="580"/>
      <c r="D61" s="562">
        <v>656500043</v>
      </c>
      <c r="E61" s="699"/>
      <c r="F61" s="699"/>
      <c r="G61" s="565">
        <v>50000002400</v>
      </c>
      <c r="H61" s="700">
        <v>851</v>
      </c>
      <c r="I61" s="700">
        <v>290</v>
      </c>
      <c r="J61" s="701"/>
      <c r="K61" s="701"/>
      <c r="L61" s="701"/>
      <c r="M61" s="701"/>
      <c r="N61" s="701"/>
      <c r="O61" s="701"/>
      <c r="P61" s="701"/>
      <c r="Q61" s="701"/>
      <c r="R61" s="701"/>
      <c r="S61" s="701"/>
      <c r="T61" s="701"/>
      <c r="U61" s="701"/>
      <c r="V61" s="702">
        <v>3000</v>
      </c>
      <c r="W61" s="636" t="s">
        <v>628</v>
      </c>
      <c r="X61" s="703">
        <v>3000</v>
      </c>
      <c r="Y61" s="701"/>
      <c r="Z61" s="572"/>
      <c r="AA61" s="704"/>
      <c r="AB61" s="580"/>
      <c r="AC61" s="580"/>
      <c r="AD61" s="580"/>
      <c r="AE61" s="580"/>
      <c r="AF61" s="580"/>
      <c r="AG61" s="580"/>
      <c r="AH61" s="580"/>
      <c r="AI61" s="610"/>
      <c r="AJ61" s="558"/>
      <c r="AK61" s="576"/>
      <c r="AL61" s="576"/>
      <c r="AM61" s="434"/>
      <c r="AN61" s="434"/>
      <c r="AO61" s="434"/>
      <c r="AP61" s="434"/>
      <c r="AQ61" s="434"/>
      <c r="AR61" s="434"/>
      <c r="AS61" s="434"/>
      <c r="AT61" s="434"/>
      <c r="AU61" s="434"/>
      <c r="AV61" s="434"/>
      <c r="AW61" s="434"/>
      <c r="AX61" s="434"/>
      <c r="AY61" s="434"/>
      <c r="AZ61" s="434"/>
      <c r="BA61" s="434"/>
      <c r="BB61" s="434"/>
      <c r="BC61" s="434"/>
      <c r="BD61" s="434"/>
      <c r="BE61" s="434"/>
      <c r="BF61" s="434"/>
    </row>
    <row r="62" spans="1:58" s="578" customFormat="1" ht="12.75" customHeight="1" thickBot="1">
      <c r="A62" s="559"/>
      <c r="B62" s="579"/>
      <c r="C62" s="580"/>
      <c r="D62" s="562">
        <v>656500043</v>
      </c>
      <c r="E62" s="699"/>
      <c r="F62" s="699"/>
      <c r="G62" s="565">
        <v>50000002400</v>
      </c>
      <c r="H62" s="700">
        <v>853</v>
      </c>
      <c r="I62" s="700">
        <v>290</v>
      </c>
      <c r="J62" s="701"/>
      <c r="K62" s="701"/>
      <c r="L62" s="701"/>
      <c r="M62" s="701"/>
      <c r="N62" s="701"/>
      <c r="O62" s="701"/>
      <c r="P62" s="701"/>
      <c r="Q62" s="701"/>
      <c r="R62" s="701"/>
      <c r="S62" s="701"/>
      <c r="T62" s="701"/>
      <c r="U62" s="701"/>
      <c r="V62" s="702">
        <v>17000</v>
      </c>
      <c r="W62" s="647" t="s">
        <v>629</v>
      </c>
      <c r="X62" s="703">
        <v>0</v>
      </c>
      <c r="Y62" s="701"/>
      <c r="Z62" s="572"/>
      <c r="AA62" s="611"/>
      <c r="AB62" s="580"/>
      <c r="AC62" s="580"/>
      <c r="AD62" s="580"/>
      <c r="AE62" s="580"/>
      <c r="AF62" s="580"/>
      <c r="AG62" s="580"/>
      <c r="AH62" s="580"/>
      <c r="AI62" s="610"/>
      <c r="AJ62" s="558"/>
      <c r="AK62" s="576"/>
      <c r="AL62" s="576"/>
      <c r="AM62" s="434"/>
      <c r="AN62" s="434"/>
      <c r="AO62" s="434"/>
      <c r="AP62" s="434"/>
      <c r="AQ62" s="434"/>
      <c r="AR62" s="434"/>
      <c r="AS62" s="434"/>
      <c r="AT62" s="434"/>
      <c r="AU62" s="434"/>
      <c r="AV62" s="434"/>
      <c r="AW62" s="434"/>
      <c r="AX62" s="434"/>
      <c r="AY62" s="434"/>
      <c r="AZ62" s="434"/>
      <c r="BA62" s="434"/>
      <c r="BB62" s="434"/>
      <c r="BC62" s="434"/>
      <c r="BD62" s="434"/>
      <c r="BE62" s="434"/>
      <c r="BF62" s="434"/>
    </row>
    <row r="63" spans="1:58" s="578" customFormat="1" ht="12.75" customHeight="1">
      <c r="A63" s="559"/>
      <c r="B63" s="1274" t="s">
        <v>613</v>
      </c>
      <c r="C63" s="1279"/>
      <c r="D63" s="1279"/>
      <c r="E63" s="1279"/>
      <c r="F63" s="1279"/>
      <c r="G63" s="1279"/>
      <c r="H63" s="1279"/>
      <c r="I63" s="1279"/>
      <c r="J63" s="1279"/>
      <c r="K63" s="1280"/>
      <c r="L63" s="582">
        <v>50000</v>
      </c>
      <c r="M63" s="583">
        <v>47000</v>
      </c>
      <c r="N63" s="583">
        <v>40831.16</v>
      </c>
      <c r="O63" s="582">
        <v>0</v>
      </c>
      <c r="P63" s="583">
        <v>137831.16</v>
      </c>
      <c r="Q63" s="584">
        <f>R63+S63+T63+U63</f>
        <v>79807</v>
      </c>
      <c r="R63" s="680">
        <f>R60</f>
        <v>40000</v>
      </c>
      <c r="S63" s="680">
        <f>S60</f>
        <v>39807</v>
      </c>
      <c r="T63" s="680">
        <f>T60</f>
        <v>0</v>
      </c>
      <c r="U63" s="680">
        <f>U60</f>
        <v>0</v>
      </c>
      <c r="V63" s="708">
        <f>SUM(V58:V62)</f>
        <v>142047.45</v>
      </c>
      <c r="W63" s="682"/>
      <c r="X63" s="709">
        <f>SUM(X58:X62)</f>
        <v>153000</v>
      </c>
      <c r="Y63" s="684"/>
      <c r="Z63" s="680">
        <f>Z62+Z60</f>
        <v>200000</v>
      </c>
      <c r="AA63" s="680">
        <f>AA62+AA60</f>
        <v>200000</v>
      </c>
      <c r="AB63" s="1281"/>
      <c r="AC63" s="1282"/>
      <c r="AD63" s="1283"/>
      <c r="AE63" s="588">
        <v>137831.16</v>
      </c>
      <c r="AF63" s="589">
        <v>0</v>
      </c>
      <c r="AG63" s="1281"/>
      <c r="AH63" s="1283"/>
      <c r="AI63" s="590">
        <v>1</v>
      </c>
      <c r="AJ63" s="558" t="s">
        <v>594</v>
      </c>
      <c r="AK63" s="576"/>
      <c r="AL63" s="576"/>
      <c r="AM63" s="479">
        <f>X63+V63</f>
        <v>295047.45</v>
      </c>
      <c r="AN63" s="434"/>
      <c r="AO63" s="434"/>
      <c r="AP63" s="434"/>
      <c r="AQ63" s="434"/>
      <c r="AR63" s="434"/>
      <c r="AS63" s="434"/>
      <c r="AT63" s="434"/>
      <c r="AU63" s="434"/>
      <c r="AV63" s="434"/>
      <c r="AW63" s="434"/>
      <c r="AX63" s="434"/>
      <c r="AY63" s="434"/>
      <c r="AZ63" s="434"/>
      <c r="BA63" s="434"/>
      <c r="BB63" s="434"/>
      <c r="BC63" s="434"/>
      <c r="BD63" s="434"/>
      <c r="BE63" s="434"/>
      <c r="BF63" s="434"/>
    </row>
    <row r="64" spans="1:69" s="725" customFormat="1" ht="13.5" customHeight="1">
      <c r="A64" s="710"/>
      <c r="B64" s="711"/>
      <c r="C64" s="711"/>
      <c r="D64" s="712" t="s">
        <v>643</v>
      </c>
      <c r="E64" s="713"/>
      <c r="F64" s="713"/>
      <c r="G64" s="713"/>
      <c r="H64" s="713"/>
      <c r="I64" s="713"/>
      <c r="J64" s="714"/>
      <c r="K64" s="715"/>
      <c r="L64" s="716"/>
      <c r="M64" s="716"/>
      <c r="N64" s="716"/>
      <c r="O64" s="716"/>
      <c r="P64" s="716"/>
      <c r="Q64" s="717"/>
      <c r="R64" s="715"/>
      <c r="S64" s="718"/>
      <c r="T64" s="713"/>
      <c r="U64" s="719"/>
      <c r="V64" s="719"/>
      <c r="W64" s="713"/>
      <c r="X64" s="713"/>
      <c r="Y64" s="720"/>
      <c r="Z64" s="720"/>
      <c r="AA64" s="720"/>
      <c r="AB64" s="720"/>
      <c r="AC64" s="720"/>
      <c r="AD64" s="720"/>
      <c r="AE64" s="713"/>
      <c r="AF64" s="713"/>
      <c r="AG64" s="713"/>
      <c r="AH64" s="713"/>
      <c r="AI64" s="713"/>
      <c r="AJ64" s="721"/>
      <c r="AK64" s="721"/>
      <c r="AL64" s="721"/>
      <c r="AM64" s="721"/>
      <c r="AN64" s="721"/>
      <c r="AO64" s="721"/>
      <c r="AP64" s="721"/>
      <c r="AQ64" s="722"/>
      <c r="AR64" s="713"/>
      <c r="AS64" s="713"/>
      <c r="AT64" s="713"/>
      <c r="AU64" s="723"/>
      <c r="AV64" s="710"/>
      <c r="AW64" s="710"/>
      <c r="AX64" s="724"/>
      <c r="AY64" s="724"/>
      <c r="AZ64" s="724"/>
      <c r="BA64" s="724"/>
      <c r="BB64" s="724"/>
      <c r="BC64" s="724"/>
      <c r="BD64" s="724"/>
      <c r="BE64" s="724"/>
      <c r="BF64" s="724"/>
      <c r="BG64" s="724"/>
      <c r="BH64" s="724"/>
      <c r="BI64" s="724"/>
      <c r="BJ64" s="724"/>
      <c r="BK64" s="724"/>
      <c r="BL64" s="724"/>
      <c r="BM64" s="724"/>
      <c r="BN64" s="724"/>
      <c r="BO64" s="724"/>
      <c r="BP64" s="724"/>
      <c r="BQ64" s="724"/>
    </row>
    <row r="65" spans="1:69" ht="13.5" customHeight="1">
      <c r="A65" s="426"/>
      <c r="B65" s="534"/>
      <c r="C65" s="534"/>
      <c r="D65" s="689" t="s">
        <v>638</v>
      </c>
      <c r="E65" s="690"/>
      <c r="F65" s="690"/>
      <c r="G65" s="690"/>
      <c r="H65" s="690"/>
      <c r="I65" s="690"/>
      <c r="J65" s="691"/>
      <c r="K65" s="692"/>
      <c r="L65" s="693"/>
      <c r="M65" s="693"/>
      <c r="N65" s="693"/>
      <c r="O65" s="693"/>
      <c r="P65" s="693"/>
      <c r="Q65" s="694"/>
      <c r="R65" s="692"/>
      <c r="S65" s="695"/>
      <c r="T65" s="690"/>
      <c r="U65" s="696"/>
      <c r="V65" s="696"/>
      <c r="W65" s="726"/>
      <c r="X65" s="690"/>
      <c r="Y65" s="727"/>
      <c r="Z65" s="728"/>
      <c r="AA65" s="729"/>
      <c r="AB65" s="729"/>
      <c r="AC65" s="729"/>
      <c r="AD65" s="698"/>
      <c r="AE65" s="730"/>
      <c r="AF65" s="731"/>
      <c r="AG65" s="731"/>
      <c r="AH65" s="731"/>
      <c r="AI65" s="730"/>
      <c r="AJ65" s="545"/>
      <c r="AK65" s="545"/>
      <c r="AL65" s="545"/>
      <c r="AM65" s="545"/>
      <c r="AN65" s="545"/>
      <c r="AO65" s="545"/>
      <c r="AP65" s="545"/>
      <c r="AQ65" s="546"/>
      <c r="AR65" s="731"/>
      <c r="AS65" s="731"/>
      <c r="AT65" s="731"/>
      <c r="AU65" s="503"/>
      <c r="AV65" s="426"/>
      <c r="AW65" s="426"/>
      <c r="BG65" s="434"/>
      <c r="BH65" s="434"/>
      <c r="BI65" s="434"/>
      <c r="BJ65" s="434"/>
      <c r="BK65" s="434"/>
      <c r="BL65" s="434"/>
      <c r="BM65" s="434"/>
      <c r="BN65" s="434"/>
      <c r="BO65" s="434"/>
      <c r="BP65" s="434"/>
      <c r="BQ65" s="434"/>
    </row>
    <row r="66" spans="1:69" s="754" customFormat="1" ht="12.75" customHeight="1">
      <c r="A66" s="732"/>
      <c r="B66" s="733"/>
      <c r="C66" s="734"/>
      <c r="D66" s="735">
        <v>656420011</v>
      </c>
      <c r="E66" s="736"/>
      <c r="F66" s="737"/>
      <c r="G66" s="738">
        <v>42001002400</v>
      </c>
      <c r="H66" s="739">
        <v>244</v>
      </c>
      <c r="I66" s="740">
        <v>226</v>
      </c>
      <c r="J66" s="741"/>
      <c r="K66" s="742"/>
      <c r="L66" s="743"/>
      <c r="M66" s="743"/>
      <c r="N66" s="743"/>
      <c r="O66" s="743"/>
      <c r="P66" s="743"/>
      <c r="Q66" s="744">
        <f>R66+S66+T66+U66</f>
        <v>30000</v>
      </c>
      <c r="R66" s="742">
        <v>30000</v>
      </c>
      <c r="S66" s="742">
        <v>0</v>
      </c>
      <c r="T66" s="742"/>
      <c r="U66" s="742"/>
      <c r="V66" s="745">
        <v>0</v>
      </c>
      <c r="W66" s="742" t="s">
        <v>644</v>
      </c>
      <c r="X66" s="746">
        <v>75000</v>
      </c>
      <c r="Y66" s="746"/>
      <c r="Z66" s="746"/>
      <c r="AA66" s="746"/>
      <c r="AB66" s="746"/>
      <c r="AC66" s="746"/>
      <c r="AD66" s="747"/>
      <c r="AE66" s="745"/>
      <c r="AF66" s="745"/>
      <c r="AG66" s="745"/>
      <c r="AH66" s="745"/>
      <c r="AI66" s="745"/>
      <c r="AJ66" s="748"/>
      <c r="AK66" s="748"/>
      <c r="AL66" s="748"/>
      <c r="AM66" s="748"/>
      <c r="AN66" s="748"/>
      <c r="AO66" s="748"/>
      <c r="AP66" s="749"/>
      <c r="AQ66" s="750"/>
      <c r="AR66" s="745"/>
      <c r="AS66" s="745"/>
      <c r="AT66" s="745"/>
      <c r="AU66" s="751"/>
      <c r="AV66" s="752"/>
      <c r="AW66" s="752"/>
      <c r="AX66" s="753"/>
      <c r="AY66" s="753"/>
      <c r="AZ66" s="753"/>
      <c r="BA66" s="753"/>
      <c r="BB66" s="753"/>
      <c r="BC66" s="753"/>
      <c r="BD66" s="753"/>
      <c r="BE66" s="753"/>
      <c r="BF66" s="753"/>
      <c r="BG66" s="753"/>
      <c r="BH66" s="753"/>
      <c r="BI66" s="753"/>
      <c r="BJ66" s="753"/>
      <c r="BK66" s="753"/>
      <c r="BL66" s="753"/>
      <c r="BM66" s="753"/>
      <c r="BN66" s="753"/>
      <c r="BO66" s="753"/>
      <c r="BP66" s="753"/>
      <c r="BQ66" s="753"/>
    </row>
    <row r="67" spans="1:38" ht="28.5" customHeight="1">
      <c r="A67" s="557"/>
      <c r="B67" s="579"/>
      <c r="C67" s="580"/>
      <c r="D67" s="1342" t="s">
        <v>645</v>
      </c>
      <c r="E67" s="1342"/>
      <c r="F67" s="1342"/>
      <c r="G67" s="1342"/>
      <c r="H67" s="1342"/>
      <c r="I67" s="1342"/>
      <c r="J67" s="1342"/>
      <c r="K67" s="1342"/>
      <c r="L67" s="1342"/>
      <c r="M67" s="1342"/>
      <c r="N67" s="1342"/>
      <c r="O67" s="1342"/>
      <c r="P67" s="1342"/>
      <c r="Q67" s="1342"/>
      <c r="R67" s="1342"/>
      <c r="S67" s="1342"/>
      <c r="T67" s="1342"/>
      <c r="U67" s="1342"/>
      <c r="V67" s="1342"/>
      <c r="W67" s="1342"/>
      <c r="X67" s="1342"/>
      <c r="Y67" s="1342"/>
      <c r="Z67" s="1342"/>
      <c r="AA67" s="1342"/>
      <c r="AB67" s="587"/>
      <c r="AC67" s="587"/>
      <c r="AD67" s="587"/>
      <c r="AE67" s="667"/>
      <c r="AF67" s="667"/>
      <c r="AG67" s="587"/>
      <c r="AH67" s="587"/>
      <c r="AI67" s="590"/>
      <c r="AJ67" s="558"/>
      <c r="AK67" s="426"/>
      <c r="AL67" s="426"/>
    </row>
    <row r="68" spans="1:38" ht="12.75" customHeight="1">
      <c r="A68" s="557"/>
      <c r="B68" s="1274" t="s">
        <v>646</v>
      </c>
      <c r="C68" s="1279"/>
      <c r="D68" s="1279"/>
      <c r="E68" s="1279"/>
      <c r="F68" s="1279"/>
      <c r="G68" s="1279"/>
      <c r="H68" s="1279"/>
      <c r="I68" s="1279"/>
      <c r="J68" s="1279"/>
      <c r="K68" s="1279"/>
      <c r="L68" s="1279"/>
      <c r="M68" s="1279"/>
      <c r="N68" s="1279"/>
      <c r="O68" s="1279"/>
      <c r="P68" s="1279"/>
      <c r="Q68" s="1279"/>
      <c r="R68" s="1279"/>
      <c r="S68" s="1279"/>
      <c r="T68" s="1279"/>
      <c r="U68" s="1279"/>
      <c r="V68" s="1279"/>
      <c r="W68" s="1279"/>
      <c r="X68" s="1279"/>
      <c r="Y68" s="1279"/>
      <c r="Z68" s="1279"/>
      <c r="AA68" s="1279"/>
      <c r="AB68" s="1279"/>
      <c r="AC68" s="1279"/>
      <c r="AD68" s="1279"/>
      <c r="AE68" s="1279"/>
      <c r="AF68" s="1279"/>
      <c r="AG68" s="1279"/>
      <c r="AH68" s="1279"/>
      <c r="AI68" s="1301"/>
      <c r="AJ68" s="558" t="s">
        <v>594</v>
      </c>
      <c r="AK68" s="426"/>
      <c r="AL68" s="426"/>
    </row>
    <row r="69" spans="1:58" s="578" customFormat="1" ht="12.75" customHeight="1">
      <c r="A69" s="559"/>
      <c r="B69" s="560" t="s">
        <v>646</v>
      </c>
      <c r="C69" s="561" t="s">
        <v>646</v>
      </c>
      <c r="D69" s="562">
        <v>656520073</v>
      </c>
      <c r="E69" s="563">
        <v>113</v>
      </c>
      <c r="F69" s="564">
        <v>656</v>
      </c>
      <c r="G69" s="668">
        <v>5200000590</v>
      </c>
      <c r="H69" s="566" t="s">
        <v>647</v>
      </c>
      <c r="I69" s="566">
        <v>212</v>
      </c>
      <c r="J69" s="755"/>
      <c r="K69" s="568"/>
      <c r="L69" s="569">
        <v>50000</v>
      </c>
      <c r="M69" s="569">
        <v>50000</v>
      </c>
      <c r="N69" s="569">
        <v>-99000</v>
      </c>
      <c r="O69" s="569">
        <v>0</v>
      </c>
      <c r="P69" s="569">
        <v>1000</v>
      </c>
      <c r="Q69" s="570">
        <f>R69+S69+T69+U69</f>
        <v>100000</v>
      </c>
      <c r="R69" s="568">
        <v>50000</v>
      </c>
      <c r="S69" s="568">
        <v>50000</v>
      </c>
      <c r="T69" s="568"/>
      <c r="U69" s="568"/>
      <c r="V69" s="611">
        <v>0</v>
      </c>
      <c r="W69" s="568" t="s">
        <v>648</v>
      </c>
      <c r="X69" s="612">
        <v>200000</v>
      </c>
      <c r="Y69" s="613"/>
      <c r="Z69" s="611">
        <f>200000</f>
        <v>200000</v>
      </c>
      <c r="AA69" s="611">
        <v>200000</v>
      </c>
      <c r="AB69" s="573"/>
      <c r="AC69" s="573"/>
      <c r="AD69" s="573"/>
      <c r="AE69" s="573">
        <v>1000</v>
      </c>
      <c r="AF69" s="573">
        <v>0</v>
      </c>
      <c r="AG69" s="573"/>
      <c r="AH69" s="574"/>
      <c r="AI69" s="575">
        <v>1</v>
      </c>
      <c r="AJ69" s="558" t="s">
        <v>594</v>
      </c>
      <c r="AK69" s="576"/>
      <c r="AL69" s="576"/>
      <c r="AM69" s="434" t="s">
        <v>649</v>
      </c>
      <c r="AN69" s="434"/>
      <c r="AO69" s="434"/>
      <c r="AP69" s="434"/>
      <c r="AQ69" s="434"/>
      <c r="AR69" s="434" t="s">
        <v>650</v>
      </c>
      <c r="AS69" s="434"/>
      <c r="AT69" s="434"/>
      <c r="AU69" s="434"/>
      <c r="AV69" s="434"/>
      <c r="AW69" s="434"/>
      <c r="AX69" s="434"/>
      <c r="AY69" s="434"/>
      <c r="AZ69" s="434"/>
      <c r="BA69" s="434"/>
      <c r="BB69" s="434"/>
      <c r="BC69" s="434"/>
      <c r="BD69" s="434"/>
      <c r="BE69" s="434"/>
      <c r="BF69" s="434"/>
    </row>
    <row r="70" spans="1:58" s="578" customFormat="1" ht="12.75" customHeight="1">
      <c r="A70" s="559"/>
      <c r="B70" s="1274" t="s">
        <v>613</v>
      </c>
      <c r="C70" s="1279"/>
      <c r="D70" s="1279"/>
      <c r="E70" s="1279"/>
      <c r="F70" s="1279"/>
      <c r="G70" s="1279"/>
      <c r="H70" s="1279"/>
      <c r="I70" s="1279"/>
      <c r="J70" s="1279"/>
      <c r="K70" s="1280"/>
      <c r="L70" s="582">
        <v>50000</v>
      </c>
      <c r="M70" s="583">
        <v>50000</v>
      </c>
      <c r="N70" s="583">
        <v>-99000</v>
      </c>
      <c r="O70" s="582">
        <v>0</v>
      </c>
      <c r="P70" s="583">
        <v>1000</v>
      </c>
      <c r="Q70" s="756">
        <f>R70+S70+T70+U70</f>
        <v>100000</v>
      </c>
      <c r="R70" s="681">
        <f>R69</f>
        <v>50000</v>
      </c>
      <c r="S70" s="681">
        <f>S69</f>
        <v>50000</v>
      </c>
      <c r="T70" s="681">
        <f>T69</f>
        <v>0</v>
      </c>
      <c r="U70" s="681"/>
      <c r="V70" s="681">
        <f>V69</f>
        <v>0</v>
      </c>
      <c r="W70" s="682"/>
      <c r="X70" s="683">
        <f>X69</f>
        <v>200000</v>
      </c>
      <c r="Y70" s="684"/>
      <c r="Z70" s="681">
        <f>Z69</f>
        <v>200000</v>
      </c>
      <c r="AA70" s="681">
        <f>AA69</f>
        <v>200000</v>
      </c>
      <c r="AB70" s="1281"/>
      <c r="AC70" s="1282"/>
      <c r="AD70" s="1283"/>
      <c r="AE70" s="588">
        <v>1000</v>
      </c>
      <c r="AF70" s="589">
        <v>0</v>
      </c>
      <c r="AG70" s="1281"/>
      <c r="AH70" s="1283"/>
      <c r="AI70" s="590">
        <v>1</v>
      </c>
      <c r="AJ70" s="558" t="s">
        <v>594</v>
      </c>
      <c r="AK70" s="576"/>
      <c r="AL70" s="576"/>
      <c r="AM70" s="434"/>
      <c r="AN70" s="434"/>
      <c r="AO70" s="434"/>
      <c r="AP70" s="434"/>
      <c r="AQ70" s="434"/>
      <c r="AR70" s="434"/>
      <c r="AS70" s="434"/>
      <c r="AT70" s="434"/>
      <c r="AU70" s="434"/>
      <c r="AV70" s="434"/>
      <c r="AW70" s="434"/>
      <c r="AX70" s="434"/>
      <c r="AY70" s="434"/>
      <c r="AZ70" s="434"/>
      <c r="BA70" s="434"/>
      <c r="BB70" s="434"/>
      <c r="BC70" s="434"/>
      <c r="BD70" s="434"/>
      <c r="BE70" s="434"/>
      <c r="BF70" s="434"/>
    </row>
    <row r="71" spans="1:58" s="578" customFormat="1" ht="12.75" customHeight="1">
      <c r="A71" s="559"/>
      <c r="B71" s="1274" t="s">
        <v>651</v>
      </c>
      <c r="C71" s="1279"/>
      <c r="D71" s="1279"/>
      <c r="E71" s="1279"/>
      <c r="F71" s="1279"/>
      <c r="G71" s="1279"/>
      <c r="H71" s="1279"/>
      <c r="I71" s="1279"/>
      <c r="J71" s="1279"/>
      <c r="K71" s="1279"/>
      <c r="L71" s="1279"/>
      <c r="M71" s="1279"/>
      <c r="N71" s="1279"/>
      <c r="O71" s="1279"/>
      <c r="P71" s="1279"/>
      <c r="Q71" s="1279"/>
      <c r="R71" s="1279"/>
      <c r="S71" s="1279"/>
      <c r="T71" s="1279"/>
      <c r="U71" s="1279"/>
      <c r="V71" s="1279"/>
      <c r="W71" s="1279"/>
      <c r="X71" s="1279"/>
      <c r="Y71" s="1279"/>
      <c r="Z71" s="1279"/>
      <c r="AA71" s="1279"/>
      <c r="AB71" s="1279"/>
      <c r="AC71" s="1279"/>
      <c r="AD71" s="1279"/>
      <c r="AE71" s="1279"/>
      <c r="AF71" s="1279"/>
      <c r="AG71" s="1279"/>
      <c r="AH71" s="1279"/>
      <c r="AI71" s="1301"/>
      <c r="AJ71" s="558" t="s">
        <v>594</v>
      </c>
      <c r="AK71" s="576"/>
      <c r="AL71" s="576"/>
      <c r="AM71" s="434"/>
      <c r="AN71" s="434"/>
      <c r="AO71" s="434"/>
      <c r="AP71" s="434"/>
      <c r="AQ71" s="434"/>
      <c r="AR71" s="434"/>
      <c r="AS71" s="434"/>
      <c r="AT71" s="434"/>
      <c r="AU71" s="434"/>
      <c r="AV71" s="434"/>
      <c r="AW71" s="434"/>
      <c r="AX71" s="434"/>
      <c r="AY71" s="434"/>
      <c r="AZ71" s="434"/>
      <c r="BA71" s="434"/>
      <c r="BB71" s="434"/>
      <c r="BC71" s="434"/>
      <c r="BD71" s="434"/>
      <c r="BE71" s="434"/>
      <c r="BF71" s="434"/>
    </row>
    <row r="72" spans="1:58" s="578" customFormat="1" ht="12.75" customHeight="1">
      <c r="A72" s="559"/>
      <c r="B72" s="560" t="s">
        <v>651</v>
      </c>
      <c r="C72" s="561" t="s">
        <v>651</v>
      </c>
      <c r="D72" s="562">
        <v>656520072</v>
      </c>
      <c r="E72" s="563">
        <v>113</v>
      </c>
      <c r="F72" s="564">
        <v>656</v>
      </c>
      <c r="G72" s="668">
        <v>5200000590</v>
      </c>
      <c r="H72" s="566" t="s">
        <v>652</v>
      </c>
      <c r="I72" s="566">
        <v>211</v>
      </c>
      <c r="J72" s="755"/>
      <c r="K72" s="568"/>
      <c r="L72" s="569">
        <v>647000</v>
      </c>
      <c r="M72" s="569">
        <v>550000</v>
      </c>
      <c r="N72" s="569">
        <v>408195.4</v>
      </c>
      <c r="O72" s="569">
        <v>580336</v>
      </c>
      <c r="P72" s="569">
        <v>2185531.4</v>
      </c>
      <c r="Q72" s="572">
        <f>R72+S72+T72+U72</f>
        <v>2778065</v>
      </c>
      <c r="R72" s="569">
        <f>668804.6+50000+150000+120729+200000</f>
        <v>1189533.6</v>
      </c>
      <c r="S72" s="569">
        <f>550000+100000-100000</f>
        <v>550000</v>
      </c>
      <c r="T72" s="569">
        <f>408195.4+130000</f>
        <v>538195.4</v>
      </c>
      <c r="U72" s="569">
        <f>580336-50000+100000-130000</f>
        <v>500336</v>
      </c>
      <c r="V72" s="757">
        <v>3006939</v>
      </c>
      <c r="W72" s="568"/>
      <c r="X72" s="612"/>
      <c r="Y72" s="613"/>
      <c r="Z72" s="569">
        <v>2700376</v>
      </c>
      <c r="AA72" s="569">
        <f>2700376-1989600</f>
        <v>710776</v>
      </c>
      <c r="AB72" s="573"/>
      <c r="AC72" s="573"/>
      <c r="AD72" s="573"/>
      <c r="AE72" s="573">
        <v>1508967.67</v>
      </c>
      <c r="AF72" s="573">
        <v>20700</v>
      </c>
      <c r="AG72" s="573"/>
      <c r="AH72" s="574"/>
      <c r="AI72" s="575">
        <v>0.6809637555424735</v>
      </c>
      <c r="AJ72" s="558" t="s">
        <v>594</v>
      </c>
      <c r="AK72" s="576"/>
      <c r="AL72" s="576"/>
      <c r="AM72" s="758">
        <v>51596.16</v>
      </c>
      <c r="AN72" s="434" t="s">
        <v>653</v>
      </c>
      <c r="AO72" s="434"/>
      <c r="AP72" s="434"/>
      <c r="AQ72" s="434"/>
      <c r="AR72" s="434"/>
      <c r="AS72" s="434"/>
      <c r="AT72" s="434"/>
      <c r="AU72" s="434"/>
      <c r="AV72" s="434"/>
      <c r="AW72" s="434"/>
      <c r="AX72" s="434"/>
      <c r="AY72" s="434"/>
      <c r="AZ72" s="434"/>
      <c r="BA72" s="434"/>
      <c r="BB72" s="434"/>
      <c r="BC72" s="434"/>
      <c r="BD72" s="434"/>
      <c r="BE72" s="434"/>
      <c r="BF72" s="434"/>
    </row>
    <row r="73" spans="1:58" s="578" customFormat="1" ht="12.75" customHeight="1">
      <c r="A73" s="559"/>
      <c r="B73" s="560" t="s">
        <v>651</v>
      </c>
      <c r="C73" s="561" t="s">
        <v>651</v>
      </c>
      <c r="D73" s="562">
        <v>656520072</v>
      </c>
      <c r="E73" s="563">
        <v>113</v>
      </c>
      <c r="F73" s="564">
        <v>656</v>
      </c>
      <c r="G73" s="668">
        <v>5200000590</v>
      </c>
      <c r="H73" s="566">
        <v>119</v>
      </c>
      <c r="I73" s="566">
        <v>213</v>
      </c>
      <c r="J73" s="755"/>
      <c r="K73" s="568"/>
      <c r="L73" s="569">
        <v>196000</v>
      </c>
      <c r="M73" s="569">
        <v>167000</v>
      </c>
      <c r="N73" s="569">
        <v>130000</v>
      </c>
      <c r="O73" s="569">
        <v>173615</v>
      </c>
      <c r="P73" s="569">
        <v>666615</v>
      </c>
      <c r="Q73" s="572">
        <f>R73+S73+T73+U73</f>
        <v>838975.6300000001</v>
      </c>
      <c r="R73" s="569">
        <f>R72*30.2%</f>
        <v>359239.1472</v>
      </c>
      <c r="S73" s="569">
        <f>S72*30.2%</f>
        <v>166100</v>
      </c>
      <c r="T73" s="569">
        <f>T72*30.2%</f>
        <v>162535.0108</v>
      </c>
      <c r="U73" s="569">
        <f>U72*30.2%</f>
        <v>151101.472</v>
      </c>
      <c r="V73" s="757">
        <v>910958</v>
      </c>
      <c r="W73" s="568"/>
      <c r="X73" s="612"/>
      <c r="Y73" s="613"/>
      <c r="Z73" s="569">
        <f>816000+3.9</f>
        <v>816003.9</v>
      </c>
      <c r="AA73" s="569">
        <v>816000</v>
      </c>
      <c r="AB73" s="573"/>
      <c r="AC73" s="573"/>
      <c r="AD73" s="573"/>
      <c r="AE73" s="573">
        <v>459201.6</v>
      </c>
      <c r="AF73" s="573">
        <v>8362.8</v>
      </c>
      <c r="AG73" s="573"/>
      <c r="AH73" s="574"/>
      <c r="AI73" s="575">
        <v>0.6763106140725907</v>
      </c>
      <c r="AJ73" s="558" t="s">
        <v>594</v>
      </c>
      <c r="AK73" s="576"/>
      <c r="AL73" s="576"/>
      <c r="AM73" s="434">
        <f>AM72*21</f>
        <v>1083519.36</v>
      </c>
      <c r="AN73" s="434" t="s">
        <v>654</v>
      </c>
      <c r="AO73" s="434"/>
      <c r="AP73" s="434"/>
      <c r="AQ73" s="434"/>
      <c r="AR73" s="434"/>
      <c r="AS73" s="434"/>
      <c r="AT73" s="434"/>
      <c r="AU73" s="434"/>
      <c r="AV73" s="434"/>
      <c r="AW73" s="434"/>
      <c r="AX73" s="434"/>
      <c r="AY73" s="434"/>
      <c r="AZ73" s="434"/>
      <c r="BA73" s="434"/>
      <c r="BB73" s="434"/>
      <c r="BC73" s="434"/>
      <c r="BD73" s="434"/>
      <c r="BE73" s="434"/>
      <c r="BF73" s="434"/>
    </row>
    <row r="74" spans="1:58" s="578" customFormat="1" ht="12.75" customHeight="1">
      <c r="A74" s="559"/>
      <c r="B74" s="1274" t="s">
        <v>613</v>
      </c>
      <c r="C74" s="1279"/>
      <c r="D74" s="1279"/>
      <c r="E74" s="1279"/>
      <c r="F74" s="1279"/>
      <c r="G74" s="1279"/>
      <c r="H74" s="1279"/>
      <c r="I74" s="1279"/>
      <c r="J74" s="1279"/>
      <c r="K74" s="1280"/>
      <c r="L74" s="582">
        <v>843000</v>
      </c>
      <c r="M74" s="583">
        <v>717000</v>
      </c>
      <c r="N74" s="583">
        <v>538195.4</v>
      </c>
      <c r="O74" s="582">
        <v>753951</v>
      </c>
      <c r="P74" s="583">
        <v>2852146.4</v>
      </c>
      <c r="Q74" s="584">
        <f>R74+S74+T74+U74</f>
        <v>3617040.63</v>
      </c>
      <c r="R74" s="582">
        <f>R72+R73</f>
        <v>1548772.7472</v>
      </c>
      <c r="S74" s="582">
        <f>S72+S73</f>
        <v>716100</v>
      </c>
      <c r="T74" s="582">
        <f>T72+T73</f>
        <v>700730.4108</v>
      </c>
      <c r="U74" s="582">
        <f>U72+U73</f>
        <v>651437.4720000001</v>
      </c>
      <c r="V74" s="583">
        <f>V72+V73</f>
        <v>3917897</v>
      </c>
      <c r="W74" s="682"/>
      <c r="X74" s="683">
        <f>X72+X73</f>
        <v>0</v>
      </c>
      <c r="Y74" s="684"/>
      <c r="Z74" s="583">
        <f>Z72+Z73</f>
        <v>3516379.9</v>
      </c>
      <c r="AA74" s="583">
        <f>AA72+AA73</f>
        <v>1526776</v>
      </c>
      <c r="AB74" s="1281"/>
      <c r="AC74" s="1282"/>
      <c r="AD74" s="1283"/>
      <c r="AE74" s="588">
        <v>1968169.27</v>
      </c>
      <c r="AF74" s="589">
        <v>29062.8</v>
      </c>
      <c r="AG74" s="1281"/>
      <c r="AH74" s="1283"/>
      <c r="AI74" s="590">
        <v>0.6798762048119268</v>
      </c>
      <c r="AJ74" s="558" t="s">
        <v>594</v>
      </c>
      <c r="AK74" s="576"/>
      <c r="AL74" s="576"/>
      <c r="AM74" s="434"/>
      <c r="AN74" s="434"/>
      <c r="AO74" s="434"/>
      <c r="AP74" s="434"/>
      <c r="AQ74" s="434"/>
      <c r="AR74" s="434"/>
      <c r="AS74" s="434"/>
      <c r="AT74" s="434"/>
      <c r="AU74" s="434"/>
      <c r="AV74" s="434"/>
      <c r="AW74" s="434"/>
      <c r="AX74" s="434"/>
      <c r="AY74" s="434"/>
      <c r="AZ74" s="434"/>
      <c r="BA74" s="434"/>
      <c r="BB74" s="434"/>
      <c r="BC74" s="434"/>
      <c r="BD74" s="434"/>
      <c r="BE74" s="434"/>
      <c r="BF74" s="434"/>
    </row>
    <row r="75" spans="1:58" s="578" customFormat="1" ht="12.75" customHeight="1">
      <c r="A75" s="559"/>
      <c r="B75" s="1274" t="s">
        <v>655</v>
      </c>
      <c r="C75" s="1279"/>
      <c r="D75" s="1279"/>
      <c r="E75" s="1279"/>
      <c r="F75" s="1279"/>
      <c r="G75" s="1279"/>
      <c r="H75" s="1279"/>
      <c r="I75" s="1279"/>
      <c r="J75" s="1279"/>
      <c r="K75" s="1279"/>
      <c r="L75" s="1279"/>
      <c r="M75" s="1279"/>
      <c r="N75" s="1279"/>
      <c r="O75" s="1279"/>
      <c r="P75" s="1279"/>
      <c r="Q75" s="1279"/>
      <c r="R75" s="1279"/>
      <c r="S75" s="1279"/>
      <c r="T75" s="1279"/>
      <c r="U75" s="1279"/>
      <c r="V75" s="1279"/>
      <c r="W75" s="1279"/>
      <c r="X75" s="1279"/>
      <c r="Y75" s="1279"/>
      <c r="Z75" s="1279"/>
      <c r="AA75" s="1279"/>
      <c r="AB75" s="1279"/>
      <c r="AC75" s="1279"/>
      <c r="AD75" s="1279"/>
      <c r="AE75" s="1279"/>
      <c r="AF75" s="1279"/>
      <c r="AG75" s="1279"/>
      <c r="AH75" s="1279"/>
      <c r="AI75" s="1301"/>
      <c r="AJ75" s="558" t="s">
        <v>594</v>
      </c>
      <c r="AK75" s="576"/>
      <c r="AL75" s="576"/>
      <c r="AM75" s="434">
        <v>530000</v>
      </c>
      <c r="AN75" s="759">
        <v>1.302</v>
      </c>
      <c r="AO75" s="434"/>
      <c r="AP75" s="434"/>
      <c r="AQ75" s="434"/>
      <c r="AR75" s="434"/>
      <c r="AS75" s="434"/>
      <c r="AT75" s="434"/>
      <c r="AU75" s="434"/>
      <c r="AV75" s="434"/>
      <c r="AW75" s="434"/>
      <c r="AX75" s="434"/>
      <c r="AY75" s="434"/>
      <c r="AZ75" s="434"/>
      <c r="BA75" s="434"/>
      <c r="BB75" s="434"/>
      <c r="BC75" s="434"/>
      <c r="BD75" s="434"/>
      <c r="BE75" s="434"/>
      <c r="BF75" s="434"/>
    </row>
    <row r="76" spans="1:58" s="578" customFormat="1" ht="12.75" customHeight="1">
      <c r="A76" s="559"/>
      <c r="B76" s="560" t="s">
        <v>655</v>
      </c>
      <c r="C76" s="561" t="s">
        <v>655</v>
      </c>
      <c r="D76" s="562">
        <v>656520074</v>
      </c>
      <c r="E76" s="563">
        <v>113</v>
      </c>
      <c r="F76" s="564">
        <v>656</v>
      </c>
      <c r="G76" s="668">
        <v>5200000590</v>
      </c>
      <c r="H76" s="566" t="s">
        <v>124</v>
      </c>
      <c r="I76" s="566">
        <v>221</v>
      </c>
      <c r="J76" s="755">
        <v>28</v>
      </c>
      <c r="K76" s="568"/>
      <c r="L76" s="569">
        <v>30400</v>
      </c>
      <c r="M76" s="569">
        <v>16700</v>
      </c>
      <c r="N76" s="569">
        <v>16700</v>
      </c>
      <c r="O76" s="569">
        <v>16700</v>
      </c>
      <c r="P76" s="569">
        <v>80500</v>
      </c>
      <c r="Q76" s="572">
        <f aca="true" t="shared" si="1" ref="Q76:Q81">R76+S76+T76+U76</f>
        <v>37000</v>
      </c>
      <c r="R76" s="760">
        <v>37000</v>
      </c>
      <c r="S76" s="568"/>
      <c r="T76" s="568"/>
      <c r="U76" s="568"/>
      <c r="V76" s="760">
        <v>50000</v>
      </c>
      <c r="W76" s="568" t="s">
        <v>656</v>
      </c>
      <c r="X76" s="612"/>
      <c r="Y76" s="613"/>
      <c r="Z76" s="760">
        <v>50000</v>
      </c>
      <c r="AA76" s="760">
        <v>50000</v>
      </c>
      <c r="AB76" s="573"/>
      <c r="AC76" s="573"/>
      <c r="AD76" s="573"/>
      <c r="AE76" s="573">
        <v>68135.81</v>
      </c>
      <c r="AF76" s="573">
        <v>945.6</v>
      </c>
      <c r="AG76" s="573"/>
      <c r="AH76" s="574"/>
      <c r="AI76" s="575">
        <v>0.83466099378882</v>
      </c>
      <c r="AJ76" s="558" t="s">
        <v>594</v>
      </c>
      <c r="AK76" s="576"/>
      <c r="AL76" s="576"/>
      <c r="AM76" s="479">
        <f>AM75*AN76/AN75</f>
        <v>407066.05222734256</v>
      </c>
      <c r="AN76" s="761">
        <v>1</v>
      </c>
      <c r="AO76" s="434"/>
      <c r="AP76" s="434"/>
      <c r="AQ76" s="434"/>
      <c r="AR76" s="434"/>
      <c r="AS76" s="434"/>
      <c r="AT76" s="434"/>
      <c r="AU76" s="434"/>
      <c r="AV76" s="434"/>
      <c r="AW76" s="434"/>
      <c r="AX76" s="434"/>
      <c r="AY76" s="434"/>
      <c r="AZ76" s="434"/>
      <c r="BA76" s="434"/>
      <c r="BB76" s="434"/>
      <c r="BC76" s="434"/>
      <c r="BD76" s="434"/>
      <c r="BE76" s="434"/>
      <c r="BF76" s="434"/>
    </row>
    <row r="77" spans="1:58" s="578" customFormat="1" ht="12.75" customHeight="1">
      <c r="A77" s="559"/>
      <c r="B77" s="762"/>
      <c r="C77" s="579"/>
      <c r="D77" s="562"/>
      <c r="E77" s="763"/>
      <c r="F77" s="764"/>
      <c r="G77" s="668">
        <v>5200000590</v>
      </c>
      <c r="H77" s="765"/>
      <c r="I77" s="566">
        <v>221</v>
      </c>
      <c r="J77" s="766"/>
      <c r="K77" s="667"/>
      <c r="L77" s="767"/>
      <c r="M77" s="569"/>
      <c r="N77" s="569"/>
      <c r="O77" s="767"/>
      <c r="P77" s="569"/>
      <c r="Q77" s="572">
        <f t="shared" si="1"/>
        <v>12000</v>
      </c>
      <c r="R77" s="768">
        <v>12000</v>
      </c>
      <c r="S77" s="568"/>
      <c r="T77" s="568"/>
      <c r="U77" s="568"/>
      <c r="V77" s="768">
        <f>48000+50000</f>
        <v>98000</v>
      </c>
      <c r="W77" s="769" t="s">
        <v>657</v>
      </c>
      <c r="X77" s="770"/>
      <c r="Y77" s="771"/>
      <c r="Z77" s="768">
        <v>48000</v>
      </c>
      <c r="AA77" s="768">
        <v>48000</v>
      </c>
      <c r="AB77" s="573"/>
      <c r="AC77" s="573"/>
      <c r="AD77" s="573"/>
      <c r="AE77" s="588"/>
      <c r="AF77" s="589"/>
      <c r="AG77" s="573"/>
      <c r="AH77" s="574"/>
      <c r="AI77" s="590"/>
      <c r="AJ77" s="558"/>
      <c r="AK77" s="576"/>
      <c r="AL77" s="576"/>
      <c r="AM77" s="434"/>
      <c r="AN77" s="434"/>
      <c r="AO77" s="434"/>
      <c r="AP77" s="434"/>
      <c r="AQ77" s="434"/>
      <c r="AR77" s="434"/>
      <c r="AS77" s="434"/>
      <c r="AT77" s="434"/>
      <c r="AU77" s="434"/>
      <c r="AV77" s="434"/>
      <c r="AW77" s="434"/>
      <c r="AX77" s="434"/>
      <c r="AY77" s="434"/>
      <c r="AZ77" s="434"/>
      <c r="BA77" s="434"/>
      <c r="BB77" s="434"/>
      <c r="BC77" s="434"/>
      <c r="BD77" s="434"/>
      <c r="BE77" s="434"/>
      <c r="BF77" s="434"/>
    </row>
    <row r="78" spans="1:58" s="578" customFormat="1" ht="12.75" customHeight="1">
      <c r="A78" s="559"/>
      <c r="B78" s="762"/>
      <c r="C78" s="579"/>
      <c r="D78" s="562"/>
      <c r="E78" s="763"/>
      <c r="F78" s="764"/>
      <c r="G78" s="668">
        <v>5200000590</v>
      </c>
      <c r="H78" s="765"/>
      <c r="I78" s="566">
        <v>221</v>
      </c>
      <c r="J78" s="766"/>
      <c r="K78" s="667"/>
      <c r="L78" s="767"/>
      <c r="M78" s="569"/>
      <c r="N78" s="569"/>
      <c r="O78" s="767"/>
      <c r="P78" s="569"/>
      <c r="Q78" s="572">
        <f t="shared" si="1"/>
        <v>5000</v>
      </c>
      <c r="R78" s="768">
        <v>5000</v>
      </c>
      <c r="S78" s="667"/>
      <c r="T78" s="568"/>
      <c r="U78" s="667"/>
      <c r="V78" s="768">
        <v>25000</v>
      </c>
      <c r="W78" s="769" t="s">
        <v>658</v>
      </c>
      <c r="X78" s="770"/>
      <c r="Y78" s="771"/>
      <c r="Z78" s="768">
        <v>25000</v>
      </c>
      <c r="AA78" s="768">
        <v>25000</v>
      </c>
      <c r="AB78" s="573"/>
      <c r="AC78" s="573"/>
      <c r="AD78" s="573"/>
      <c r="AE78" s="588"/>
      <c r="AF78" s="589"/>
      <c r="AG78" s="573"/>
      <c r="AH78" s="574"/>
      <c r="AI78" s="590"/>
      <c r="AJ78" s="558"/>
      <c r="AK78" s="576"/>
      <c r="AL78" s="576"/>
      <c r="AM78" s="434"/>
      <c r="AN78" s="434"/>
      <c r="AO78" s="434"/>
      <c r="AP78" s="434"/>
      <c r="AQ78" s="434"/>
      <c r="AR78" s="434"/>
      <c r="AS78" s="434"/>
      <c r="AT78" s="434"/>
      <c r="AU78" s="434"/>
      <c r="AV78" s="434"/>
      <c r="AW78" s="434"/>
      <c r="AX78" s="434"/>
      <c r="AY78" s="434"/>
      <c r="AZ78" s="434"/>
      <c r="BA78" s="434"/>
      <c r="BB78" s="434"/>
      <c r="BC78" s="434"/>
      <c r="BD78" s="434"/>
      <c r="BE78" s="434"/>
      <c r="BF78" s="434"/>
    </row>
    <row r="79" spans="1:58" s="578" customFormat="1" ht="12.75" customHeight="1">
      <c r="A79" s="559"/>
      <c r="B79" s="762"/>
      <c r="C79" s="579"/>
      <c r="D79" s="562"/>
      <c r="E79" s="763"/>
      <c r="F79" s="764"/>
      <c r="G79" s="668">
        <v>5200000590</v>
      </c>
      <c r="H79" s="765"/>
      <c r="I79" s="566">
        <v>221</v>
      </c>
      <c r="J79" s="766"/>
      <c r="K79" s="667"/>
      <c r="L79" s="767"/>
      <c r="M79" s="569"/>
      <c r="N79" s="569"/>
      <c r="O79" s="767"/>
      <c r="P79" s="569"/>
      <c r="Q79" s="572">
        <f t="shared" si="1"/>
        <v>6000</v>
      </c>
      <c r="R79" s="768">
        <v>6000</v>
      </c>
      <c r="S79" s="667"/>
      <c r="T79" s="568"/>
      <c r="U79" s="667"/>
      <c r="V79" s="768">
        <v>12000</v>
      </c>
      <c r="W79" s="769" t="s">
        <v>659</v>
      </c>
      <c r="X79" s="770"/>
      <c r="Y79" s="771"/>
      <c r="Z79" s="768">
        <v>12000</v>
      </c>
      <c r="AA79" s="768">
        <v>12000</v>
      </c>
      <c r="AB79" s="573"/>
      <c r="AC79" s="573"/>
      <c r="AD79" s="573"/>
      <c r="AE79" s="588"/>
      <c r="AF79" s="589"/>
      <c r="AG79" s="573"/>
      <c r="AH79" s="574"/>
      <c r="AI79" s="590"/>
      <c r="AJ79" s="558"/>
      <c r="AK79" s="576"/>
      <c r="AL79" s="576"/>
      <c r="AM79" s="434"/>
      <c r="AN79" s="434"/>
      <c r="AO79" s="434"/>
      <c r="AP79" s="434"/>
      <c r="AQ79" s="434"/>
      <c r="AR79" s="434"/>
      <c r="AS79" s="434"/>
      <c r="AT79" s="434"/>
      <c r="AU79" s="434"/>
      <c r="AV79" s="434"/>
      <c r="AW79" s="434"/>
      <c r="AX79" s="434"/>
      <c r="AY79" s="434"/>
      <c r="AZ79" s="434"/>
      <c r="BA79" s="434"/>
      <c r="BB79" s="434"/>
      <c r="BC79" s="434"/>
      <c r="BD79" s="434"/>
      <c r="BE79" s="434"/>
      <c r="BF79" s="434"/>
    </row>
    <row r="80" spans="1:58" s="578" customFormat="1" ht="12.75" customHeight="1">
      <c r="A80" s="559"/>
      <c r="B80" s="762"/>
      <c r="C80" s="579"/>
      <c r="D80" s="562"/>
      <c r="E80" s="763"/>
      <c r="F80" s="764"/>
      <c r="G80" s="668">
        <v>5200000590</v>
      </c>
      <c r="H80" s="765"/>
      <c r="I80" s="566">
        <v>221</v>
      </c>
      <c r="J80" s="766"/>
      <c r="K80" s="667"/>
      <c r="L80" s="767"/>
      <c r="M80" s="569"/>
      <c r="N80" s="569"/>
      <c r="O80" s="767"/>
      <c r="P80" s="569"/>
      <c r="Q80" s="572">
        <f t="shared" si="1"/>
        <v>0</v>
      </c>
      <c r="R80" s="568"/>
      <c r="S80" s="667"/>
      <c r="T80" s="568"/>
      <c r="U80" s="667"/>
      <c r="V80" s="768">
        <v>3000</v>
      </c>
      <c r="W80" s="769" t="s">
        <v>660</v>
      </c>
      <c r="X80" s="770">
        <v>0</v>
      </c>
      <c r="Y80" s="771"/>
      <c r="Z80" s="768">
        <v>3000</v>
      </c>
      <c r="AA80" s="768">
        <v>3000</v>
      </c>
      <c r="AB80" s="573"/>
      <c r="AC80" s="573"/>
      <c r="AD80" s="573"/>
      <c r="AE80" s="588"/>
      <c r="AF80" s="589"/>
      <c r="AG80" s="573"/>
      <c r="AH80" s="574"/>
      <c r="AI80" s="590"/>
      <c r="AJ80" s="558"/>
      <c r="AK80" s="576"/>
      <c r="AL80" s="576"/>
      <c r="AM80" s="434"/>
      <c r="AN80" s="434"/>
      <c r="AO80" s="434"/>
      <c r="AP80" s="434"/>
      <c r="AQ80" s="434"/>
      <c r="AR80" s="434"/>
      <c r="AS80" s="434"/>
      <c r="AT80" s="434"/>
      <c r="AU80" s="434"/>
      <c r="AV80" s="434"/>
      <c r="AW80" s="434"/>
      <c r="AX80" s="434"/>
      <c r="AY80" s="434"/>
      <c r="AZ80" s="434"/>
      <c r="BA80" s="434"/>
      <c r="BB80" s="434"/>
      <c r="BC80" s="434"/>
      <c r="BD80" s="434"/>
      <c r="BE80" s="434"/>
      <c r="BF80" s="434"/>
    </row>
    <row r="81" spans="1:58" s="578" customFormat="1" ht="12.75" customHeight="1">
      <c r="A81" s="559"/>
      <c r="B81" s="1274" t="s">
        <v>613</v>
      </c>
      <c r="C81" s="1279"/>
      <c r="D81" s="1279"/>
      <c r="E81" s="1279"/>
      <c r="F81" s="1279"/>
      <c r="G81" s="1279"/>
      <c r="H81" s="1279"/>
      <c r="I81" s="1279"/>
      <c r="J81" s="1279"/>
      <c r="K81" s="1280"/>
      <c r="L81" s="582">
        <v>30400</v>
      </c>
      <c r="M81" s="583">
        <v>16700</v>
      </c>
      <c r="N81" s="583">
        <v>16700</v>
      </c>
      <c r="O81" s="582">
        <v>16700</v>
      </c>
      <c r="P81" s="583">
        <v>80500</v>
      </c>
      <c r="Q81" s="584">
        <f t="shared" si="1"/>
        <v>60000</v>
      </c>
      <c r="R81" s="680">
        <f>SUM(R76:R80)</f>
        <v>60000</v>
      </c>
      <c r="S81" s="688">
        <f>SUM(S76:S80)</f>
        <v>0</v>
      </c>
      <c r="T81" s="680">
        <f>SUM(T76:T80)</f>
        <v>0</v>
      </c>
      <c r="U81" s="688">
        <f>SUM(U76:U80)</f>
        <v>0</v>
      </c>
      <c r="V81" s="681">
        <f>SUM(V76:V80)</f>
        <v>188000</v>
      </c>
      <c r="W81" s="682"/>
      <c r="X81" s="683">
        <v>230798.3</v>
      </c>
      <c r="Y81" s="684"/>
      <c r="Z81" s="681">
        <f>SUM(Z76:Z80)</f>
        <v>138000</v>
      </c>
      <c r="AA81" s="681">
        <f>SUM(AA76:AA80)</f>
        <v>138000</v>
      </c>
      <c r="AB81" s="1281"/>
      <c r="AC81" s="1282"/>
      <c r="AD81" s="1283"/>
      <c r="AE81" s="588">
        <v>68135.81</v>
      </c>
      <c r="AF81" s="589">
        <v>945.6</v>
      </c>
      <c r="AG81" s="1281"/>
      <c r="AH81" s="1283"/>
      <c r="AI81" s="590">
        <v>0.83466099378882</v>
      </c>
      <c r="AJ81" s="558" t="s">
        <v>594</v>
      </c>
      <c r="AK81" s="576"/>
      <c r="AL81" s="576"/>
      <c r="AM81" s="434"/>
      <c r="AN81" s="434"/>
      <c r="AO81" s="434"/>
      <c r="AP81" s="434"/>
      <c r="AQ81" s="434"/>
      <c r="AR81" s="434"/>
      <c r="AS81" s="434"/>
      <c r="AT81" s="434"/>
      <c r="AU81" s="434"/>
      <c r="AV81" s="434"/>
      <c r="AW81" s="434"/>
      <c r="AX81" s="434"/>
      <c r="AY81" s="434"/>
      <c r="AZ81" s="434"/>
      <c r="BA81" s="434"/>
      <c r="BB81" s="434"/>
      <c r="BC81" s="434"/>
      <c r="BD81" s="434"/>
      <c r="BE81" s="434"/>
      <c r="BF81" s="434"/>
    </row>
    <row r="82" spans="1:58" s="578" customFormat="1" ht="12.75" customHeight="1">
      <c r="A82" s="559"/>
      <c r="B82" s="1274" t="s">
        <v>661</v>
      </c>
      <c r="C82" s="1279"/>
      <c r="D82" s="1279"/>
      <c r="E82" s="1279"/>
      <c r="F82" s="1279"/>
      <c r="G82" s="1279"/>
      <c r="H82" s="1279"/>
      <c r="I82" s="1279"/>
      <c r="J82" s="1279"/>
      <c r="K82" s="1279"/>
      <c r="L82" s="1279"/>
      <c r="M82" s="1279"/>
      <c r="N82" s="1279"/>
      <c r="O82" s="1279"/>
      <c r="P82" s="1279"/>
      <c r="Q82" s="1279"/>
      <c r="R82" s="1279"/>
      <c r="S82" s="1279"/>
      <c r="T82" s="1279"/>
      <c r="U82" s="1279"/>
      <c r="V82" s="1279"/>
      <c r="W82" s="1279"/>
      <c r="X82" s="1279"/>
      <c r="Y82" s="1279"/>
      <c r="Z82" s="1279"/>
      <c r="AA82" s="1279"/>
      <c r="AB82" s="1279"/>
      <c r="AC82" s="1279"/>
      <c r="AD82" s="1279"/>
      <c r="AE82" s="1279"/>
      <c r="AF82" s="1279"/>
      <c r="AG82" s="1279"/>
      <c r="AH82" s="1279"/>
      <c r="AI82" s="1301"/>
      <c r="AJ82" s="558" t="s">
        <v>594</v>
      </c>
      <c r="AK82" s="576"/>
      <c r="AL82" s="576"/>
      <c r="AM82" s="434"/>
      <c r="AN82" s="434"/>
      <c r="AO82" s="434"/>
      <c r="AP82" s="434"/>
      <c r="AQ82" s="434"/>
      <c r="AR82" s="434"/>
      <c r="AS82" s="434"/>
      <c r="AT82" s="434"/>
      <c r="AU82" s="434"/>
      <c r="AV82" s="434"/>
      <c r="AW82" s="434"/>
      <c r="AX82" s="434"/>
      <c r="AY82" s="434"/>
      <c r="AZ82" s="434"/>
      <c r="BA82" s="434"/>
      <c r="BB82" s="434"/>
      <c r="BC82" s="434"/>
      <c r="BD82" s="434"/>
      <c r="BE82" s="434"/>
      <c r="BF82" s="434"/>
    </row>
    <row r="83" spans="1:58" s="786" customFormat="1" ht="12.75" customHeight="1">
      <c r="A83" s="772"/>
      <c r="B83" s="561" t="s">
        <v>661</v>
      </c>
      <c r="C83" s="561" t="s">
        <v>661</v>
      </c>
      <c r="D83" s="562">
        <v>656520075</v>
      </c>
      <c r="E83" s="773">
        <v>113</v>
      </c>
      <c r="F83" s="774">
        <v>656</v>
      </c>
      <c r="G83" s="668">
        <v>5200000590</v>
      </c>
      <c r="H83" s="775" t="s">
        <v>647</v>
      </c>
      <c r="I83" s="775">
        <v>212</v>
      </c>
      <c r="J83" s="776"/>
      <c r="K83" s="680"/>
      <c r="L83" s="583">
        <v>10000</v>
      </c>
      <c r="M83" s="583">
        <v>10000</v>
      </c>
      <c r="N83" s="583">
        <v>-4156.92</v>
      </c>
      <c r="O83" s="583">
        <v>0</v>
      </c>
      <c r="P83" s="583">
        <v>15843.08</v>
      </c>
      <c r="Q83" s="572">
        <f aca="true" t="shared" si="2" ref="Q83:Q126">R83+S83+T83+U83</f>
        <v>10000</v>
      </c>
      <c r="R83" s="680">
        <v>2500</v>
      </c>
      <c r="S83" s="680">
        <v>2500</v>
      </c>
      <c r="T83" s="680">
        <v>2500</v>
      </c>
      <c r="U83" s="680">
        <v>2500</v>
      </c>
      <c r="V83" s="777">
        <v>0</v>
      </c>
      <c r="W83" s="680" t="s">
        <v>662</v>
      </c>
      <c r="X83" s="778"/>
      <c r="Y83" s="779"/>
      <c r="Z83" s="777"/>
      <c r="AA83" s="777"/>
      <c r="AB83" s="780"/>
      <c r="AC83" s="780"/>
      <c r="AD83" s="780"/>
      <c r="AE83" s="780">
        <v>4200</v>
      </c>
      <c r="AF83" s="780">
        <v>1000</v>
      </c>
      <c r="AG83" s="780"/>
      <c r="AH83" s="781"/>
      <c r="AI83" s="782">
        <v>0.20198092795087824</v>
      </c>
      <c r="AJ83" s="783" t="s">
        <v>594</v>
      </c>
      <c r="AK83" s="784"/>
      <c r="AL83" s="784"/>
      <c r="AM83" s="785"/>
      <c r="AN83" s="785"/>
      <c r="AO83" s="785"/>
      <c r="AP83" s="785"/>
      <c r="AQ83" s="785"/>
      <c r="AR83" s="785"/>
      <c r="AS83" s="785"/>
      <c r="AT83" s="785"/>
      <c r="AU83" s="785"/>
      <c r="AV83" s="785"/>
      <c r="AW83" s="785"/>
      <c r="AX83" s="785"/>
      <c r="AY83" s="785"/>
      <c r="AZ83" s="785"/>
      <c r="BA83" s="785"/>
      <c r="BB83" s="785"/>
      <c r="BC83" s="785"/>
      <c r="BD83" s="785"/>
      <c r="BE83" s="785"/>
      <c r="BF83" s="785"/>
    </row>
    <row r="84" spans="1:58" s="578" customFormat="1" ht="12.75" customHeight="1">
      <c r="A84" s="559"/>
      <c r="B84" s="560" t="s">
        <v>661</v>
      </c>
      <c r="C84" s="561" t="s">
        <v>661</v>
      </c>
      <c r="D84" s="562">
        <v>656520075</v>
      </c>
      <c r="E84" s="563">
        <v>113</v>
      </c>
      <c r="F84" s="564">
        <v>656</v>
      </c>
      <c r="G84" s="668">
        <v>5200000590</v>
      </c>
      <c r="H84" s="566" t="s">
        <v>625</v>
      </c>
      <c r="I84" s="566">
        <v>223</v>
      </c>
      <c r="J84" s="755"/>
      <c r="K84" s="568"/>
      <c r="L84" s="569">
        <v>138000</v>
      </c>
      <c r="M84" s="569">
        <v>50600</v>
      </c>
      <c r="N84" s="569">
        <v>-4409.7</v>
      </c>
      <c r="O84" s="569">
        <v>50600</v>
      </c>
      <c r="P84" s="569">
        <v>234790.3</v>
      </c>
      <c r="Q84" s="572">
        <f t="shared" si="2"/>
        <v>60000</v>
      </c>
      <c r="R84" s="568">
        <v>60000</v>
      </c>
      <c r="S84" s="568">
        <v>0</v>
      </c>
      <c r="T84" s="568">
        <v>0</v>
      </c>
      <c r="U84" s="568">
        <v>0</v>
      </c>
      <c r="V84" s="611">
        <v>183500</v>
      </c>
      <c r="W84" s="568" t="s">
        <v>663</v>
      </c>
      <c r="X84" s="612"/>
      <c r="Y84" s="613"/>
      <c r="Z84" s="611">
        <v>183500</v>
      </c>
      <c r="AA84" s="611">
        <v>183500</v>
      </c>
      <c r="AB84" s="573"/>
      <c r="AC84" s="573"/>
      <c r="AD84" s="573"/>
      <c r="AE84" s="573">
        <v>87425.13</v>
      </c>
      <c r="AF84" s="573">
        <v>0</v>
      </c>
      <c r="AG84" s="573"/>
      <c r="AH84" s="574"/>
      <c r="AI84" s="575">
        <v>0.372354096400064</v>
      </c>
      <c r="AJ84" s="558" t="s">
        <v>594</v>
      </c>
      <c r="AK84" s="576"/>
      <c r="AL84" s="576"/>
      <c r="AM84" s="434"/>
      <c r="AN84" s="434"/>
      <c r="AO84" s="434"/>
      <c r="AP84" s="434"/>
      <c r="AQ84" s="434"/>
      <c r="AR84" s="434"/>
      <c r="AS84" s="434"/>
      <c r="AT84" s="434"/>
      <c r="AU84" s="434"/>
      <c r="AV84" s="434"/>
      <c r="AW84" s="434"/>
      <c r="AX84" s="434"/>
      <c r="AY84" s="434"/>
      <c r="AZ84" s="434"/>
      <c r="BA84" s="434"/>
      <c r="BB84" s="434"/>
      <c r="BC84" s="434"/>
      <c r="BD84" s="434"/>
      <c r="BE84" s="434"/>
      <c r="BF84" s="434"/>
    </row>
    <row r="85" spans="1:58" s="578" customFormat="1" ht="12.75" customHeight="1">
      <c r="A85" s="559"/>
      <c r="B85" s="560"/>
      <c r="C85" s="561"/>
      <c r="D85" s="562"/>
      <c r="E85" s="563"/>
      <c r="F85" s="564"/>
      <c r="G85" s="668">
        <v>5200000590</v>
      </c>
      <c r="H85" s="566"/>
      <c r="I85" s="566">
        <v>223</v>
      </c>
      <c r="J85" s="755"/>
      <c r="K85" s="568"/>
      <c r="L85" s="569"/>
      <c r="M85" s="569"/>
      <c r="N85" s="569"/>
      <c r="O85" s="569"/>
      <c r="P85" s="569"/>
      <c r="Q85" s="572">
        <f t="shared" si="2"/>
        <v>5000</v>
      </c>
      <c r="R85" s="568">
        <v>5000</v>
      </c>
      <c r="S85" s="568">
        <v>0</v>
      </c>
      <c r="T85" s="568">
        <v>0</v>
      </c>
      <c r="U85" s="568">
        <v>0</v>
      </c>
      <c r="V85" s="611">
        <v>10000</v>
      </c>
      <c r="W85" s="568" t="s">
        <v>664</v>
      </c>
      <c r="X85" s="612"/>
      <c r="Y85" s="613"/>
      <c r="Z85" s="611">
        <v>10000</v>
      </c>
      <c r="AA85" s="611">
        <v>10000</v>
      </c>
      <c r="AB85" s="573"/>
      <c r="AC85" s="573"/>
      <c r="AD85" s="573"/>
      <c r="AE85" s="573"/>
      <c r="AF85" s="573"/>
      <c r="AG85" s="573"/>
      <c r="AH85" s="574"/>
      <c r="AI85" s="575"/>
      <c r="AJ85" s="558"/>
      <c r="AK85" s="576"/>
      <c r="AL85" s="576"/>
      <c r="AM85" s="434"/>
      <c r="AN85" s="434"/>
      <c r="AO85" s="434"/>
      <c r="AP85" s="434"/>
      <c r="AQ85" s="434"/>
      <c r="AR85" s="434"/>
      <c r="AS85" s="434"/>
      <c r="AT85" s="434"/>
      <c r="AU85" s="434"/>
      <c r="AV85" s="434"/>
      <c r="AW85" s="434"/>
      <c r="AX85" s="434"/>
      <c r="AY85" s="434"/>
      <c r="AZ85" s="434"/>
      <c r="BA85" s="434"/>
      <c r="BB85" s="434"/>
      <c r="BC85" s="434"/>
      <c r="BD85" s="434"/>
      <c r="BE85" s="434"/>
      <c r="BF85" s="434"/>
    </row>
    <row r="86" spans="1:58" s="578" customFormat="1" ht="12.75" customHeight="1">
      <c r="A86" s="559"/>
      <c r="B86" s="560"/>
      <c r="C86" s="561"/>
      <c r="D86" s="562"/>
      <c r="E86" s="563"/>
      <c r="F86" s="564"/>
      <c r="G86" s="668">
        <v>5200000590</v>
      </c>
      <c r="H86" s="566"/>
      <c r="I86" s="566">
        <v>223</v>
      </c>
      <c r="J86" s="755"/>
      <c r="K86" s="568"/>
      <c r="L86" s="569"/>
      <c r="M86" s="569"/>
      <c r="N86" s="569"/>
      <c r="O86" s="569"/>
      <c r="P86" s="569"/>
      <c r="Q86" s="572">
        <f t="shared" si="2"/>
        <v>10000</v>
      </c>
      <c r="R86" s="568">
        <v>10000</v>
      </c>
      <c r="S86" s="568">
        <v>0</v>
      </c>
      <c r="T86" s="568">
        <v>0</v>
      </c>
      <c r="U86" s="568">
        <v>0</v>
      </c>
      <c r="V86" s="611">
        <v>42000</v>
      </c>
      <c r="W86" s="568" t="s">
        <v>665</v>
      </c>
      <c r="X86" s="612">
        <v>11540</v>
      </c>
      <c r="Y86" s="613"/>
      <c r="Z86" s="611">
        <v>32000</v>
      </c>
      <c r="AA86" s="611">
        <v>32000</v>
      </c>
      <c r="AB86" s="573"/>
      <c r="AC86" s="573"/>
      <c r="AD86" s="573"/>
      <c r="AE86" s="573"/>
      <c r="AF86" s="573"/>
      <c r="AG86" s="573"/>
      <c r="AH86" s="574"/>
      <c r="AI86" s="575"/>
      <c r="AJ86" s="558"/>
      <c r="AK86" s="576"/>
      <c r="AL86" s="576"/>
      <c r="AM86" s="434"/>
      <c r="AN86" s="434"/>
      <c r="AO86" s="434"/>
      <c r="AP86" s="434"/>
      <c r="AQ86" s="434"/>
      <c r="AR86" s="434"/>
      <c r="AS86" s="434"/>
      <c r="AT86" s="434"/>
      <c r="AU86" s="434"/>
      <c r="AV86" s="434"/>
      <c r="AW86" s="434"/>
      <c r="AX86" s="434"/>
      <c r="AY86" s="434"/>
      <c r="AZ86" s="434"/>
      <c r="BA86" s="434"/>
      <c r="BB86" s="434"/>
      <c r="BC86" s="434"/>
      <c r="BD86" s="434"/>
      <c r="BE86" s="434"/>
      <c r="BF86" s="434"/>
    </row>
    <row r="87" spans="1:58" s="578" customFormat="1" ht="12.75" customHeight="1">
      <c r="A87" s="559"/>
      <c r="B87" s="560"/>
      <c r="C87" s="561"/>
      <c r="D87" s="562"/>
      <c r="E87" s="563"/>
      <c r="F87" s="564"/>
      <c r="G87" s="668">
        <v>5200000590</v>
      </c>
      <c r="H87" s="566"/>
      <c r="I87" s="566">
        <v>223</v>
      </c>
      <c r="J87" s="755"/>
      <c r="K87" s="568"/>
      <c r="L87" s="569"/>
      <c r="M87" s="569"/>
      <c r="N87" s="569"/>
      <c r="O87" s="569"/>
      <c r="P87" s="569"/>
      <c r="Q87" s="572">
        <f t="shared" si="2"/>
        <v>36000</v>
      </c>
      <c r="R87" s="568">
        <v>20000</v>
      </c>
      <c r="S87" s="568">
        <v>16000</v>
      </c>
      <c r="T87" s="568">
        <v>0</v>
      </c>
      <c r="U87" s="568">
        <v>0</v>
      </c>
      <c r="V87" s="611">
        <v>40000</v>
      </c>
      <c r="W87" s="568" t="s">
        <v>666</v>
      </c>
      <c r="X87" s="612"/>
      <c r="Y87" s="613"/>
      <c r="Z87" s="611">
        <v>40000</v>
      </c>
      <c r="AA87" s="611">
        <v>40000</v>
      </c>
      <c r="AB87" s="573"/>
      <c r="AC87" s="573"/>
      <c r="AD87" s="573"/>
      <c r="AE87" s="573"/>
      <c r="AF87" s="573"/>
      <c r="AG87" s="573"/>
      <c r="AH87" s="574"/>
      <c r="AI87" s="575"/>
      <c r="AJ87" s="558"/>
      <c r="AK87" s="576"/>
      <c r="AL87" s="576"/>
      <c r="AM87" s="434"/>
      <c r="AN87" s="434"/>
      <c r="AO87" s="434"/>
      <c r="AP87" s="434"/>
      <c r="AQ87" s="434"/>
      <c r="AR87" s="434"/>
      <c r="AS87" s="434"/>
      <c r="AT87" s="434"/>
      <c r="AU87" s="434"/>
      <c r="AV87" s="434"/>
      <c r="AW87" s="434"/>
      <c r="AX87" s="434"/>
      <c r="AY87" s="434"/>
      <c r="AZ87" s="434"/>
      <c r="BA87" s="434"/>
      <c r="BB87" s="434"/>
      <c r="BC87" s="434"/>
      <c r="BD87" s="434"/>
      <c r="BE87" s="434"/>
      <c r="BF87" s="434"/>
    </row>
    <row r="88" spans="1:58" s="578" customFormat="1" ht="12.75" customHeight="1">
      <c r="A88" s="787"/>
      <c r="B88" s="560"/>
      <c r="C88" s="561"/>
      <c r="D88" s="788" t="s">
        <v>667</v>
      </c>
      <c r="E88" s="773"/>
      <c r="F88" s="774"/>
      <c r="G88" s="668"/>
      <c r="H88" s="775"/>
      <c r="I88" s="775">
        <v>223</v>
      </c>
      <c r="J88" s="776"/>
      <c r="K88" s="680"/>
      <c r="L88" s="583"/>
      <c r="M88" s="583"/>
      <c r="N88" s="583"/>
      <c r="O88" s="583"/>
      <c r="P88" s="583"/>
      <c r="Q88" s="584">
        <f t="shared" si="2"/>
        <v>111000</v>
      </c>
      <c r="R88" s="777">
        <f>R84+R85+R86+R87</f>
        <v>95000</v>
      </c>
      <c r="S88" s="777">
        <f>S84+S85+S86+S87</f>
        <v>16000</v>
      </c>
      <c r="T88" s="777">
        <f>T84+T85+T86+T87</f>
        <v>0</v>
      </c>
      <c r="U88" s="777">
        <f>U84+U85+U86+U87</f>
        <v>0</v>
      </c>
      <c r="V88" s="777">
        <f>(V84+V85+V86+V87)</f>
        <v>275500</v>
      </c>
      <c r="W88" s="680"/>
      <c r="X88" s="789">
        <v>1692.86</v>
      </c>
      <c r="Y88" s="779"/>
      <c r="Z88" s="777">
        <f>(Z84+Z85+Z86+Z87)</f>
        <v>265500</v>
      </c>
      <c r="AA88" s="777">
        <f>(AA84+AA85+AA86+AA87)</f>
        <v>265500</v>
      </c>
      <c r="AB88" s="573"/>
      <c r="AC88" s="573"/>
      <c r="AD88" s="573"/>
      <c r="AE88" s="573"/>
      <c r="AF88" s="573"/>
      <c r="AG88" s="573"/>
      <c r="AH88" s="574"/>
      <c r="AI88" s="575"/>
      <c r="AJ88" s="558"/>
      <c r="AK88" s="576"/>
      <c r="AL88" s="576"/>
      <c r="AM88" s="434"/>
      <c r="AN88" s="434"/>
      <c r="AO88" s="434"/>
      <c r="AP88" s="434"/>
      <c r="AQ88" s="434"/>
      <c r="AR88" s="434"/>
      <c r="AS88" s="434"/>
      <c r="AT88" s="434"/>
      <c r="AU88" s="434"/>
      <c r="AV88" s="434"/>
      <c r="AW88" s="434"/>
      <c r="AX88" s="434"/>
      <c r="AY88" s="434"/>
      <c r="AZ88" s="434"/>
      <c r="BA88" s="434"/>
      <c r="BB88" s="434"/>
      <c r="BC88" s="434"/>
      <c r="BD88" s="434"/>
      <c r="BE88" s="434"/>
      <c r="BF88" s="434"/>
    </row>
    <row r="89" spans="1:58" s="786" customFormat="1" ht="12.75" customHeight="1">
      <c r="A89" s="772"/>
      <c r="B89" s="561"/>
      <c r="C89" s="561"/>
      <c r="D89" s="562">
        <v>656520075</v>
      </c>
      <c r="E89" s="563">
        <v>113</v>
      </c>
      <c r="F89" s="564">
        <v>656</v>
      </c>
      <c r="G89" s="668">
        <v>5200000590</v>
      </c>
      <c r="H89" s="566" t="s">
        <v>625</v>
      </c>
      <c r="I89" s="566">
        <v>225</v>
      </c>
      <c r="J89" s="755"/>
      <c r="K89" s="568"/>
      <c r="L89" s="569">
        <v>135097</v>
      </c>
      <c r="M89" s="569">
        <v>43200</v>
      </c>
      <c r="N89" s="569">
        <v>60000</v>
      </c>
      <c r="O89" s="569">
        <v>60000</v>
      </c>
      <c r="P89" s="569">
        <v>298297</v>
      </c>
      <c r="Q89" s="572">
        <f t="shared" si="2"/>
        <v>40000</v>
      </c>
      <c r="R89" s="611">
        <v>40000</v>
      </c>
      <c r="S89" s="568"/>
      <c r="T89" s="568">
        <v>0</v>
      </c>
      <c r="U89" s="568"/>
      <c r="V89" s="611">
        <v>0</v>
      </c>
      <c r="W89" s="568" t="s">
        <v>668</v>
      </c>
      <c r="X89" s="612"/>
      <c r="Y89" s="613"/>
      <c r="Z89" s="611">
        <v>50000</v>
      </c>
      <c r="AA89" s="611">
        <v>50000</v>
      </c>
      <c r="AB89" s="780"/>
      <c r="AC89" s="780"/>
      <c r="AD89" s="780"/>
      <c r="AE89" s="780"/>
      <c r="AF89" s="780"/>
      <c r="AG89" s="780"/>
      <c r="AH89" s="781"/>
      <c r="AI89" s="782"/>
      <c r="AJ89" s="783"/>
      <c r="AK89" s="784"/>
      <c r="AL89" s="784"/>
      <c r="AM89" s="785"/>
      <c r="AN89" s="785"/>
      <c r="AO89" s="785"/>
      <c r="AP89" s="785"/>
      <c r="AQ89" s="785"/>
      <c r="AR89" s="785"/>
      <c r="AS89" s="785"/>
      <c r="AT89" s="785"/>
      <c r="AU89" s="785"/>
      <c r="AV89" s="785"/>
      <c r="AW89" s="785"/>
      <c r="AX89" s="785"/>
      <c r="AY89" s="785"/>
      <c r="AZ89" s="785"/>
      <c r="BA89" s="785"/>
      <c r="BB89" s="785"/>
      <c r="BC89" s="785"/>
      <c r="BD89" s="785"/>
      <c r="BE89" s="785"/>
      <c r="BF89" s="785"/>
    </row>
    <row r="90" spans="1:58" s="578" customFormat="1" ht="12.75" customHeight="1">
      <c r="A90" s="559"/>
      <c r="B90" s="560" t="s">
        <v>661</v>
      </c>
      <c r="C90" s="561" t="s">
        <v>661</v>
      </c>
      <c r="D90" s="562"/>
      <c r="E90" s="563"/>
      <c r="F90" s="564"/>
      <c r="G90" s="668">
        <v>5200000590</v>
      </c>
      <c r="H90" s="566"/>
      <c r="I90" s="566">
        <v>225</v>
      </c>
      <c r="J90" s="755"/>
      <c r="K90" s="568"/>
      <c r="L90" s="569"/>
      <c r="M90" s="569"/>
      <c r="N90" s="569"/>
      <c r="O90" s="569"/>
      <c r="P90" s="569"/>
      <c r="Q90" s="572">
        <f>R90+S90+T90+U90</f>
        <v>15000</v>
      </c>
      <c r="R90" s="611">
        <v>15000</v>
      </c>
      <c r="S90" s="568"/>
      <c r="T90" s="568"/>
      <c r="U90" s="568"/>
      <c r="V90" s="611">
        <v>20000</v>
      </c>
      <c r="W90" s="568" t="s">
        <v>669</v>
      </c>
      <c r="X90" s="612"/>
      <c r="Y90" s="613"/>
      <c r="Z90" s="611">
        <v>20000</v>
      </c>
      <c r="AA90" s="611">
        <v>20000</v>
      </c>
      <c r="AB90" s="573"/>
      <c r="AC90" s="573"/>
      <c r="AD90" s="573"/>
      <c r="AE90" s="573">
        <v>127037.93</v>
      </c>
      <c r="AF90" s="573">
        <v>0</v>
      </c>
      <c r="AG90" s="573"/>
      <c r="AH90" s="574"/>
      <c r="AI90" s="575">
        <v>0.4258773303117362</v>
      </c>
      <c r="AJ90" s="558" t="s">
        <v>594</v>
      </c>
      <c r="AK90" s="576"/>
      <c r="AL90" s="576"/>
      <c r="AM90" s="434"/>
      <c r="AN90" s="434"/>
      <c r="AO90" s="434"/>
      <c r="AP90" s="434"/>
      <c r="AQ90" s="434"/>
      <c r="AR90" s="434"/>
      <c r="AS90" s="434"/>
      <c r="AT90" s="434"/>
      <c r="AU90" s="434"/>
      <c r="AV90" s="434"/>
      <c r="AW90" s="434"/>
      <c r="AX90" s="434"/>
      <c r="AY90" s="434"/>
      <c r="AZ90" s="434"/>
      <c r="BA90" s="434"/>
      <c r="BB90" s="434"/>
      <c r="BC90" s="434"/>
      <c r="BD90" s="434"/>
      <c r="BE90" s="434"/>
      <c r="BF90" s="434"/>
    </row>
    <row r="91" spans="1:58" s="578" customFormat="1" ht="12.75" customHeight="1">
      <c r="A91" s="559"/>
      <c r="B91" s="560"/>
      <c r="C91" s="561"/>
      <c r="D91" s="562"/>
      <c r="E91" s="563"/>
      <c r="F91" s="564"/>
      <c r="G91" s="668">
        <v>5200000590</v>
      </c>
      <c r="H91" s="566"/>
      <c r="I91" s="566">
        <v>225</v>
      </c>
      <c r="J91" s="755"/>
      <c r="K91" s="568"/>
      <c r="L91" s="569"/>
      <c r="M91" s="569"/>
      <c r="N91" s="569"/>
      <c r="O91" s="569"/>
      <c r="P91" s="569"/>
      <c r="Q91" s="572">
        <f t="shared" si="2"/>
        <v>10000</v>
      </c>
      <c r="R91" s="611">
        <v>10000</v>
      </c>
      <c r="S91" s="568"/>
      <c r="T91" s="568"/>
      <c r="U91" s="568"/>
      <c r="V91" s="611">
        <v>20000</v>
      </c>
      <c r="W91" s="568" t="s">
        <v>670</v>
      </c>
      <c r="X91" s="612"/>
      <c r="Y91" s="613"/>
      <c r="Z91" s="611">
        <v>20000</v>
      </c>
      <c r="AA91" s="611">
        <v>20000</v>
      </c>
      <c r="AB91" s="573"/>
      <c r="AC91" s="573"/>
      <c r="AD91" s="573"/>
      <c r="AE91" s="573"/>
      <c r="AF91" s="573"/>
      <c r="AG91" s="573"/>
      <c r="AH91" s="574"/>
      <c r="AI91" s="575"/>
      <c r="AJ91" s="558"/>
      <c r="AK91" s="576"/>
      <c r="AL91" s="576"/>
      <c r="AM91" s="434"/>
      <c r="AN91" s="434"/>
      <c r="AO91" s="434"/>
      <c r="AP91" s="434"/>
      <c r="AQ91" s="434"/>
      <c r="AR91" s="434"/>
      <c r="AS91" s="434"/>
      <c r="AT91" s="434"/>
      <c r="AU91" s="434"/>
      <c r="AV91" s="434"/>
      <c r="AW91" s="434"/>
      <c r="AX91" s="434"/>
      <c r="AY91" s="434"/>
      <c r="AZ91" s="434"/>
      <c r="BA91" s="434"/>
      <c r="BB91" s="434"/>
      <c r="BC91" s="434"/>
      <c r="BD91" s="434"/>
      <c r="BE91" s="434"/>
      <c r="BF91" s="434"/>
    </row>
    <row r="92" spans="1:58" s="578" customFormat="1" ht="12.75" customHeight="1">
      <c r="A92" s="559"/>
      <c r="B92" s="560"/>
      <c r="C92" s="561"/>
      <c r="D92" s="562"/>
      <c r="E92" s="563"/>
      <c r="F92" s="564"/>
      <c r="G92" s="668">
        <v>5200000590</v>
      </c>
      <c r="H92" s="566"/>
      <c r="I92" s="566">
        <v>225</v>
      </c>
      <c r="J92" s="755"/>
      <c r="K92" s="568"/>
      <c r="L92" s="569"/>
      <c r="M92" s="569"/>
      <c r="N92" s="569"/>
      <c r="O92" s="569"/>
      <c r="P92" s="569"/>
      <c r="Q92" s="572">
        <f t="shared" si="2"/>
        <v>35000</v>
      </c>
      <c r="R92" s="611">
        <v>35000</v>
      </c>
      <c r="S92" s="568"/>
      <c r="T92" s="568"/>
      <c r="U92" s="568"/>
      <c r="V92" s="611">
        <v>12000</v>
      </c>
      <c r="W92" s="568" t="s">
        <v>671</v>
      </c>
      <c r="X92" s="612"/>
      <c r="Y92" s="613"/>
      <c r="Z92" s="611">
        <v>12000</v>
      </c>
      <c r="AA92" s="611">
        <v>12000</v>
      </c>
      <c r="AB92" s="573"/>
      <c r="AC92" s="573"/>
      <c r="AD92" s="573"/>
      <c r="AE92" s="573"/>
      <c r="AF92" s="573"/>
      <c r="AG92" s="573"/>
      <c r="AH92" s="574"/>
      <c r="AI92" s="575"/>
      <c r="AJ92" s="558"/>
      <c r="AK92" s="576"/>
      <c r="AL92" s="576"/>
      <c r="AM92" s="434"/>
      <c r="AN92" s="434"/>
      <c r="AO92" s="434"/>
      <c r="AP92" s="434"/>
      <c r="AQ92" s="434"/>
      <c r="AR92" s="434"/>
      <c r="AS92" s="434"/>
      <c r="AT92" s="434"/>
      <c r="AU92" s="434"/>
      <c r="AV92" s="434"/>
      <c r="AW92" s="434"/>
      <c r="AX92" s="434"/>
      <c r="AY92" s="434"/>
      <c r="AZ92" s="434"/>
      <c r="BA92" s="434"/>
      <c r="BB92" s="434"/>
      <c r="BC92" s="434"/>
      <c r="BD92" s="434"/>
      <c r="BE92" s="434"/>
      <c r="BF92" s="434"/>
    </row>
    <row r="93" spans="1:58" s="578" customFormat="1" ht="12.75" customHeight="1">
      <c r="A93" s="559"/>
      <c r="B93" s="560"/>
      <c r="C93" s="561"/>
      <c r="D93" s="562"/>
      <c r="E93" s="563"/>
      <c r="F93" s="564"/>
      <c r="G93" s="668">
        <v>5200000590</v>
      </c>
      <c r="H93" s="566"/>
      <c r="I93" s="566">
        <v>225</v>
      </c>
      <c r="J93" s="755"/>
      <c r="K93" s="568"/>
      <c r="L93" s="569"/>
      <c r="M93" s="569"/>
      <c r="N93" s="569"/>
      <c r="O93" s="569"/>
      <c r="P93" s="569"/>
      <c r="Q93" s="572">
        <f t="shared" si="2"/>
        <v>15000</v>
      </c>
      <c r="R93" s="611">
        <v>15000</v>
      </c>
      <c r="S93" s="568"/>
      <c r="T93" s="568"/>
      <c r="U93" s="568"/>
      <c r="V93" s="611">
        <v>5000</v>
      </c>
      <c r="W93" s="568" t="s">
        <v>672</v>
      </c>
      <c r="X93" s="612"/>
      <c r="Y93" s="613"/>
      <c r="Z93" s="611">
        <v>5000</v>
      </c>
      <c r="AA93" s="611">
        <v>5000</v>
      </c>
      <c r="AB93" s="573"/>
      <c r="AC93" s="573"/>
      <c r="AD93" s="573"/>
      <c r="AE93" s="573"/>
      <c r="AF93" s="573"/>
      <c r="AG93" s="573"/>
      <c r="AH93" s="574"/>
      <c r="AI93" s="575"/>
      <c r="AJ93" s="558"/>
      <c r="AK93" s="576"/>
      <c r="AL93" s="576"/>
      <c r="AM93" s="434"/>
      <c r="AN93" s="434"/>
      <c r="AO93" s="434"/>
      <c r="AP93" s="434"/>
      <c r="AQ93" s="434"/>
      <c r="AR93" s="434"/>
      <c r="AS93" s="434"/>
      <c r="AT93" s="434"/>
      <c r="AU93" s="434"/>
      <c r="AV93" s="434"/>
      <c r="AW93" s="434"/>
      <c r="AX93" s="434"/>
      <c r="AY93" s="434"/>
      <c r="AZ93" s="434"/>
      <c r="BA93" s="434"/>
      <c r="BB93" s="434"/>
      <c r="BC93" s="434"/>
      <c r="BD93" s="434"/>
      <c r="BE93" s="434"/>
      <c r="BF93" s="434"/>
    </row>
    <row r="94" spans="1:58" s="578" customFormat="1" ht="12.75" customHeight="1">
      <c r="A94" s="559"/>
      <c r="B94" s="560"/>
      <c r="C94" s="561"/>
      <c r="D94" s="562"/>
      <c r="E94" s="563"/>
      <c r="F94" s="564"/>
      <c r="G94" s="668">
        <v>5200000590</v>
      </c>
      <c r="H94" s="566"/>
      <c r="I94" s="566">
        <v>225</v>
      </c>
      <c r="J94" s="755"/>
      <c r="K94" s="568"/>
      <c r="L94" s="569"/>
      <c r="M94" s="569"/>
      <c r="N94" s="569"/>
      <c r="O94" s="569"/>
      <c r="P94" s="569"/>
      <c r="Q94" s="572">
        <f t="shared" si="2"/>
        <v>6000</v>
      </c>
      <c r="R94" s="611">
        <v>6000</v>
      </c>
      <c r="S94" s="568"/>
      <c r="T94" s="568"/>
      <c r="U94" s="568"/>
      <c r="V94" s="611"/>
      <c r="W94" s="568"/>
      <c r="X94" s="612"/>
      <c r="Y94" s="613"/>
      <c r="Z94" s="611"/>
      <c r="AA94" s="611"/>
      <c r="AB94" s="573"/>
      <c r="AC94" s="573"/>
      <c r="AD94" s="573"/>
      <c r="AE94" s="573"/>
      <c r="AF94" s="573"/>
      <c r="AG94" s="573"/>
      <c r="AH94" s="574"/>
      <c r="AI94" s="575"/>
      <c r="AJ94" s="558"/>
      <c r="AK94" s="576"/>
      <c r="AL94" s="576"/>
      <c r="AM94" s="434"/>
      <c r="AN94" s="434"/>
      <c r="AO94" s="434"/>
      <c r="AP94" s="434"/>
      <c r="AQ94" s="434"/>
      <c r="AR94" s="434"/>
      <c r="AS94" s="434"/>
      <c r="AT94" s="434"/>
      <c r="AU94" s="434"/>
      <c r="AV94" s="434"/>
      <c r="AW94" s="434"/>
      <c r="AX94" s="434"/>
      <c r="AY94" s="434"/>
      <c r="AZ94" s="434"/>
      <c r="BA94" s="434"/>
      <c r="BB94" s="434"/>
      <c r="BC94" s="434"/>
      <c r="BD94" s="434"/>
      <c r="BE94" s="434"/>
      <c r="BF94" s="434"/>
    </row>
    <row r="95" spans="1:58" s="578" customFormat="1" ht="12.75" customHeight="1">
      <c r="A95" s="559"/>
      <c r="B95" s="560"/>
      <c r="C95" s="561"/>
      <c r="D95" s="562"/>
      <c r="E95" s="563"/>
      <c r="F95" s="564"/>
      <c r="G95" s="668">
        <v>5200000590</v>
      </c>
      <c r="H95" s="566"/>
      <c r="I95" s="566">
        <v>225</v>
      </c>
      <c r="J95" s="755"/>
      <c r="K95" s="568"/>
      <c r="L95" s="569"/>
      <c r="M95" s="569"/>
      <c r="N95" s="569"/>
      <c r="O95" s="569"/>
      <c r="P95" s="569"/>
      <c r="Q95" s="572">
        <f>R95+S95+T95+U95</f>
        <v>66000</v>
      </c>
      <c r="R95" s="611">
        <v>66000</v>
      </c>
      <c r="S95" s="568"/>
      <c r="T95" s="568"/>
      <c r="U95" s="568"/>
      <c r="V95" s="611">
        <v>26940</v>
      </c>
      <c r="W95" s="568" t="s">
        <v>673</v>
      </c>
      <c r="X95" s="612"/>
      <c r="Y95" s="613"/>
      <c r="Z95" s="611">
        <v>26940</v>
      </c>
      <c r="AA95" s="611">
        <v>26940</v>
      </c>
      <c r="AB95" s="573"/>
      <c r="AC95" s="573"/>
      <c r="AD95" s="573"/>
      <c r="AE95" s="573"/>
      <c r="AF95" s="573"/>
      <c r="AG95" s="573"/>
      <c r="AH95" s="574"/>
      <c r="AI95" s="575"/>
      <c r="AJ95" s="558"/>
      <c r="AK95" s="576"/>
      <c r="AL95" s="576"/>
      <c r="AM95" s="434"/>
      <c r="AN95" s="434"/>
      <c r="AO95" s="434"/>
      <c r="AP95" s="434"/>
      <c r="AQ95" s="434"/>
      <c r="AR95" s="434"/>
      <c r="AS95" s="434"/>
      <c r="AT95" s="434"/>
      <c r="AU95" s="434"/>
      <c r="AV95" s="434"/>
      <c r="AW95" s="434"/>
      <c r="AX95" s="434"/>
      <c r="AY95" s="434"/>
      <c r="AZ95" s="434"/>
      <c r="BA95" s="434"/>
      <c r="BB95" s="434"/>
      <c r="BC95" s="434"/>
      <c r="BD95" s="434"/>
      <c r="BE95" s="434"/>
      <c r="BF95" s="434"/>
    </row>
    <row r="96" spans="1:58" s="578" customFormat="1" ht="12.75" customHeight="1">
      <c r="A96" s="559"/>
      <c r="B96" s="560"/>
      <c r="C96" s="561"/>
      <c r="D96" s="562"/>
      <c r="E96" s="563"/>
      <c r="F96" s="564"/>
      <c r="G96" s="668">
        <v>5200000590</v>
      </c>
      <c r="H96" s="566"/>
      <c r="I96" s="566">
        <v>225</v>
      </c>
      <c r="J96" s="755"/>
      <c r="K96" s="568"/>
      <c r="L96" s="569"/>
      <c r="M96" s="569"/>
      <c r="N96" s="569"/>
      <c r="O96" s="569"/>
      <c r="P96" s="569"/>
      <c r="Q96" s="572">
        <f t="shared" si="2"/>
        <v>15000</v>
      </c>
      <c r="R96" s="611">
        <v>15000</v>
      </c>
      <c r="S96" s="568"/>
      <c r="T96" s="568"/>
      <c r="U96" s="568"/>
      <c r="V96" s="611">
        <v>27500</v>
      </c>
      <c r="W96" s="568" t="s">
        <v>674</v>
      </c>
      <c r="X96" s="612"/>
      <c r="Y96" s="613"/>
      <c r="Z96" s="611">
        <v>27500</v>
      </c>
      <c r="AA96" s="611">
        <v>27500</v>
      </c>
      <c r="AB96" s="573"/>
      <c r="AC96" s="573"/>
      <c r="AD96" s="573"/>
      <c r="AE96" s="573"/>
      <c r="AF96" s="573"/>
      <c r="AG96" s="573"/>
      <c r="AH96" s="574"/>
      <c r="AI96" s="575"/>
      <c r="AJ96" s="558"/>
      <c r="AK96" s="576"/>
      <c r="AL96" s="576"/>
      <c r="AM96" s="434"/>
      <c r="AN96" s="434"/>
      <c r="AO96" s="434"/>
      <c r="AP96" s="434"/>
      <c r="AQ96" s="434"/>
      <c r="AR96" s="434"/>
      <c r="AS96" s="434"/>
      <c r="AT96" s="434"/>
      <c r="AU96" s="434"/>
      <c r="AV96" s="434"/>
      <c r="AW96" s="434"/>
      <c r="AX96" s="434"/>
      <c r="AY96" s="434"/>
      <c r="AZ96" s="434"/>
      <c r="BA96" s="434"/>
      <c r="BB96" s="434"/>
      <c r="BC96" s="434"/>
      <c r="BD96" s="434"/>
      <c r="BE96" s="434"/>
      <c r="BF96" s="434"/>
    </row>
    <row r="97" spans="1:58" s="578" customFormat="1" ht="12.75" customHeight="1">
      <c r="A97" s="559"/>
      <c r="B97" s="560"/>
      <c r="C97" s="561"/>
      <c r="D97" s="562"/>
      <c r="E97" s="563"/>
      <c r="F97" s="564"/>
      <c r="G97" s="668">
        <v>5200000590</v>
      </c>
      <c r="H97" s="566"/>
      <c r="I97" s="566">
        <v>225</v>
      </c>
      <c r="J97" s="755"/>
      <c r="K97" s="568"/>
      <c r="L97" s="569"/>
      <c r="M97" s="569"/>
      <c r="N97" s="569"/>
      <c r="O97" s="569"/>
      <c r="P97" s="569"/>
      <c r="Q97" s="572">
        <f>R97+S97+T97+U97</f>
        <v>66000</v>
      </c>
      <c r="R97" s="611">
        <v>66000</v>
      </c>
      <c r="S97" s="568"/>
      <c r="T97" s="568"/>
      <c r="U97" s="568"/>
      <c r="V97" s="611">
        <f>139755-131440</f>
        <v>8315</v>
      </c>
      <c r="W97" s="568"/>
      <c r="X97" s="612"/>
      <c r="Y97" s="613"/>
      <c r="Z97" s="611">
        <v>0</v>
      </c>
      <c r="AA97" s="611">
        <v>0</v>
      </c>
      <c r="AB97" s="573"/>
      <c r="AC97" s="573"/>
      <c r="AD97" s="573"/>
      <c r="AE97" s="573"/>
      <c r="AF97" s="573"/>
      <c r="AG97" s="573"/>
      <c r="AH97" s="574"/>
      <c r="AI97" s="575"/>
      <c r="AJ97" s="558"/>
      <c r="AK97" s="576"/>
      <c r="AL97" s="576"/>
      <c r="AM97" s="434"/>
      <c r="AN97" s="434"/>
      <c r="AO97" s="434"/>
      <c r="AP97" s="434"/>
      <c r="AQ97" s="434"/>
      <c r="AR97" s="434"/>
      <c r="AS97" s="434"/>
      <c r="AT97" s="434"/>
      <c r="AU97" s="434"/>
      <c r="AV97" s="434"/>
      <c r="AW97" s="434"/>
      <c r="AX97" s="434"/>
      <c r="AY97" s="434"/>
      <c r="AZ97" s="434"/>
      <c r="BA97" s="434"/>
      <c r="BB97" s="434"/>
      <c r="BC97" s="434"/>
      <c r="BD97" s="434"/>
      <c r="BE97" s="434"/>
      <c r="BF97" s="434"/>
    </row>
    <row r="98" spans="1:58" s="578" customFormat="1" ht="12.75" customHeight="1">
      <c r="A98" s="559"/>
      <c r="B98" s="560"/>
      <c r="C98" s="561"/>
      <c r="D98" s="562"/>
      <c r="E98" s="563"/>
      <c r="F98" s="564"/>
      <c r="G98" s="668">
        <v>5200000590</v>
      </c>
      <c r="H98" s="566"/>
      <c r="I98" s="566">
        <v>225</v>
      </c>
      <c r="J98" s="755"/>
      <c r="K98" s="568"/>
      <c r="L98" s="569"/>
      <c r="M98" s="569"/>
      <c r="N98" s="569"/>
      <c r="O98" s="569"/>
      <c r="P98" s="569"/>
      <c r="Q98" s="572">
        <f>R98+S98+T98+U98</f>
        <v>15000</v>
      </c>
      <c r="R98" s="611">
        <v>15000</v>
      </c>
      <c r="S98" s="568"/>
      <c r="T98" s="568"/>
      <c r="U98" s="568"/>
      <c r="V98" s="611">
        <v>20000</v>
      </c>
      <c r="W98" s="568" t="s">
        <v>675</v>
      </c>
      <c r="X98" s="612"/>
      <c r="Y98" s="613"/>
      <c r="Z98" s="611">
        <v>20000</v>
      </c>
      <c r="AA98" s="611">
        <v>20000</v>
      </c>
      <c r="AB98" s="573"/>
      <c r="AC98" s="573"/>
      <c r="AD98" s="573"/>
      <c r="AE98" s="573"/>
      <c r="AF98" s="573"/>
      <c r="AG98" s="573"/>
      <c r="AH98" s="574"/>
      <c r="AI98" s="575"/>
      <c r="AJ98" s="558"/>
      <c r="AK98" s="576"/>
      <c r="AL98" s="576"/>
      <c r="AM98" s="434"/>
      <c r="AN98" s="434"/>
      <c r="AO98" s="434"/>
      <c r="AP98" s="434"/>
      <c r="AQ98" s="434"/>
      <c r="AR98" s="434"/>
      <c r="AS98" s="434"/>
      <c r="AT98" s="434"/>
      <c r="AU98" s="434"/>
      <c r="AV98" s="434"/>
      <c r="AW98" s="434"/>
      <c r="AX98" s="434"/>
      <c r="AY98" s="434"/>
      <c r="AZ98" s="434"/>
      <c r="BA98" s="434"/>
      <c r="BB98" s="434"/>
      <c r="BC98" s="434"/>
      <c r="BD98" s="434"/>
      <c r="BE98" s="434"/>
      <c r="BF98" s="434"/>
    </row>
    <row r="99" spans="1:58" s="578" customFormat="1" ht="12.75" customHeight="1">
      <c r="A99" s="559"/>
      <c r="B99" s="560"/>
      <c r="C99" s="561"/>
      <c r="D99" s="788" t="s">
        <v>676</v>
      </c>
      <c r="E99" s="773"/>
      <c r="F99" s="774"/>
      <c r="G99" s="668"/>
      <c r="H99" s="775"/>
      <c r="I99" s="775"/>
      <c r="J99" s="776"/>
      <c r="K99" s="680"/>
      <c r="L99" s="583"/>
      <c r="M99" s="583"/>
      <c r="N99" s="583"/>
      <c r="O99" s="583"/>
      <c r="P99" s="583"/>
      <c r="Q99" s="584">
        <f t="shared" si="2"/>
        <v>202000</v>
      </c>
      <c r="R99" s="777">
        <f>R89+R90+R91+R92+R93+R95+R96+R94</f>
        <v>202000</v>
      </c>
      <c r="S99" s="777">
        <f>S89+S90+S91+S92+S93+S95+S96+S94</f>
        <v>0</v>
      </c>
      <c r="T99" s="777">
        <f>T89+T90+T91+T92+T93+T95+T96+T94</f>
        <v>0</v>
      </c>
      <c r="U99" s="777">
        <f>U89+U90+U91+U92+U93+U95+U96+U94</f>
        <v>0</v>
      </c>
      <c r="V99" s="777">
        <f>V89+V90+V91+V92+V93+V95+V96+V94+V97+V98</f>
        <v>139755</v>
      </c>
      <c r="W99" s="680"/>
      <c r="X99" s="789">
        <v>174370</v>
      </c>
      <c r="Y99" s="779"/>
      <c r="Z99" s="777">
        <f>Z89+Z90+Z91+Z92+Z93+Z95+Z96+Z94+Z97+Z98</f>
        <v>181440</v>
      </c>
      <c r="AA99" s="777">
        <f>AA89+AA90+AA91+AA92+AA93+AA95+AA96+AA94+AA97+AA98</f>
        <v>181440</v>
      </c>
      <c r="AB99" s="573"/>
      <c r="AC99" s="573"/>
      <c r="AD99" s="573"/>
      <c r="AE99" s="573"/>
      <c r="AF99" s="573"/>
      <c r="AG99" s="573"/>
      <c r="AH99" s="574"/>
      <c r="AI99" s="575"/>
      <c r="AJ99" s="558"/>
      <c r="AK99" s="576"/>
      <c r="AL99" s="576"/>
      <c r="AM99" s="434"/>
      <c r="AN99" s="434"/>
      <c r="AO99" s="434"/>
      <c r="AP99" s="434"/>
      <c r="AQ99" s="434"/>
      <c r="AR99" s="434"/>
      <c r="AS99" s="434"/>
      <c r="AT99" s="434"/>
      <c r="AU99" s="434"/>
      <c r="AV99" s="434"/>
      <c r="AW99" s="434"/>
      <c r="AX99" s="434"/>
      <c r="AY99" s="434"/>
      <c r="AZ99" s="434"/>
      <c r="BA99" s="434"/>
      <c r="BB99" s="434"/>
      <c r="BC99" s="434"/>
      <c r="BD99" s="434"/>
      <c r="BE99" s="434"/>
      <c r="BF99" s="434"/>
    </row>
    <row r="100" spans="1:58" s="786" customFormat="1" ht="12.75" customHeight="1">
      <c r="A100" s="772"/>
      <c r="B100" s="561"/>
      <c r="C100" s="561"/>
      <c r="D100" s="562">
        <v>656520075</v>
      </c>
      <c r="E100" s="563">
        <v>113</v>
      </c>
      <c r="F100" s="564">
        <v>656</v>
      </c>
      <c r="G100" s="668">
        <v>5200000590</v>
      </c>
      <c r="H100" s="566" t="s">
        <v>625</v>
      </c>
      <c r="I100" s="566">
        <v>226</v>
      </c>
      <c r="J100" s="755"/>
      <c r="K100" s="568"/>
      <c r="L100" s="569">
        <v>140000</v>
      </c>
      <c r="M100" s="569">
        <v>50000</v>
      </c>
      <c r="N100" s="569">
        <v>75682.07</v>
      </c>
      <c r="O100" s="569">
        <v>6040</v>
      </c>
      <c r="P100" s="569">
        <v>271722.07</v>
      </c>
      <c r="Q100" s="572">
        <f t="shared" si="2"/>
        <v>70000</v>
      </c>
      <c r="R100" s="611">
        <v>70000</v>
      </c>
      <c r="S100" s="568"/>
      <c r="T100" s="568"/>
      <c r="U100" s="568">
        <v>0</v>
      </c>
      <c r="V100" s="611">
        <v>60000</v>
      </c>
      <c r="W100" s="568" t="s">
        <v>677</v>
      </c>
      <c r="X100" s="612"/>
      <c r="Y100" s="613"/>
      <c r="Z100" s="611">
        <v>60000</v>
      </c>
      <c r="AA100" s="611">
        <v>60000</v>
      </c>
      <c r="AB100" s="780"/>
      <c r="AC100" s="780"/>
      <c r="AD100" s="780"/>
      <c r="AE100" s="780"/>
      <c r="AF100" s="780"/>
      <c r="AG100" s="780"/>
      <c r="AH100" s="781"/>
      <c r="AI100" s="782"/>
      <c r="AJ100" s="783"/>
      <c r="AK100" s="784"/>
      <c r="AL100" s="784"/>
      <c r="AM100" s="785"/>
      <c r="AN100" s="785"/>
      <c r="AO100" s="785"/>
      <c r="AP100" s="785"/>
      <c r="AQ100" s="785"/>
      <c r="AR100" s="785"/>
      <c r="AS100" s="785"/>
      <c r="AT100" s="785"/>
      <c r="AU100" s="785"/>
      <c r="AV100" s="785"/>
      <c r="AW100" s="785"/>
      <c r="AX100" s="785"/>
      <c r="AY100" s="785"/>
      <c r="AZ100" s="785"/>
      <c r="BA100" s="785"/>
      <c r="BB100" s="785"/>
      <c r="BC100" s="785"/>
      <c r="BD100" s="785"/>
      <c r="BE100" s="785"/>
      <c r="BF100" s="785"/>
    </row>
    <row r="101" spans="1:58" s="578" customFormat="1" ht="12.75" customHeight="1">
      <c r="A101" s="559"/>
      <c r="B101" s="560" t="s">
        <v>661</v>
      </c>
      <c r="C101" s="561" t="s">
        <v>661</v>
      </c>
      <c r="D101" s="562"/>
      <c r="E101" s="563"/>
      <c r="F101" s="564"/>
      <c r="G101" s="668">
        <v>5200000590</v>
      </c>
      <c r="H101" s="566"/>
      <c r="I101" s="566">
        <v>226</v>
      </c>
      <c r="J101" s="755"/>
      <c r="K101" s="568"/>
      <c r="L101" s="569"/>
      <c r="M101" s="569"/>
      <c r="N101" s="569"/>
      <c r="O101" s="569"/>
      <c r="P101" s="569"/>
      <c r="Q101" s="572">
        <f t="shared" si="2"/>
        <v>11400</v>
      </c>
      <c r="R101" s="568">
        <v>11400</v>
      </c>
      <c r="S101" s="568"/>
      <c r="T101" s="568">
        <v>0</v>
      </c>
      <c r="U101" s="568"/>
      <c r="V101" s="611"/>
      <c r="W101" s="568" t="s">
        <v>678</v>
      </c>
      <c r="X101" s="612"/>
      <c r="Y101" s="613"/>
      <c r="Z101" s="611">
        <f>150000+12540</f>
        <v>162540</v>
      </c>
      <c r="AA101" s="611">
        <f>150000+25840</f>
        <v>175840</v>
      </c>
      <c r="AB101" s="573"/>
      <c r="AC101" s="573"/>
      <c r="AD101" s="573"/>
      <c r="AE101" s="573">
        <v>266022.71</v>
      </c>
      <c r="AF101" s="573">
        <v>0</v>
      </c>
      <c r="AG101" s="573"/>
      <c r="AH101" s="574"/>
      <c r="AI101" s="575">
        <v>0.9790250383415676</v>
      </c>
      <c r="AJ101" s="558" t="s">
        <v>594</v>
      </c>
      <c r="AK101" s="576"/>
      <c r="AL101" s="576"/>
      <c r="AM101" s="434"/>
      <c r="AN101" s="434"/>
      <c r="AO101" s="434"/>
      <c r="AP101" s="434"/>
      <c r="AQ101" s="434"/>
      <c r="AR101" s="434"/>
      <c r="AS101" s="434"/>
      <c r="AT101" s="434"/>
      <c r="AU101" s="434"/>
      <c r="AV101" s="434"/>
      <c r="AW101" s="434"/>
      <c r="AX101" s="434"/>
      <c r="AY101" s="434"/>
      <c r="AZ101" s="434"/>
      <c r="BA101" s="434"/>
      <c r="BB101" s="434"/>
      <c r="BC101" s="434"/>
      <c r="BD101" s="434"/>
      <c r="BE101" s="434"/>
      <c r="BF101" s="434"/>
    </row>
    <row r="102" spans="1:58" s="578" customFormat="1" ht="12.75" customHeight="1">
      <c r="A102" s="559"/>
      <c r="B102" s="560"/>
      <c r="C102" s="561"/>
      <c r="D102" s="562"/>
      <c r="E102" s="563"/>
      <c r="F102" s="564"/>
      <c r="G102" s="668">
        <v>5200000590</v>
      </c>
      <c r="H102" s="566"/>
      <c r="I102" s="566">
        <v>226</v>
      </c>
      <c r="J102" s="755"/>
      <c r="K102" s="568"/>
      <c r="L102" s="569"/>
      <c r="M102" s="569"/>
      <c r="N102" s="569"/>
      <c r="O102" s="569"/>
      <c r="P102" s="569"/>
      <c r="Q102" s="572">
        <f t="shared" si="2"/>
        <v>8000</v>
      </c>
      <c r="R102" s="568">
        <v>8000</v>
      </c>
      <c r="S102" s="568">
        <v>0</v>
      </c>
      <c r="T102" s="568">
        <v>0</v>
      </c>
      <c r="U102" s="568">
        <v>0</v>
      </c>
      <c r="V102" s="611">
        <v>60000</v>
      </c>
      <c r="W102" s="568" t="s">
        <v>679</v>
      </c>
      <c r="X102" s="612"/>
      <c r="Y102" s="613"/>
      <c r="Z102" s="611">
        <v>60000</v>
      </c>
      <c r="AA102" s="611">
        <v>60000</v>
      </c>
      <c r="AB102" s="573"/>
      <c r="AC102" s="573"/>
      <c r="AD102" s="573"/>
      <c r="AE102" s="573"/>
      <c r="AF102" s="573"/>
      <c r="AG102" s="573"/>
      <c r="AH102" s="574"/>
      <c r="AI102" s="575"/>
      <c r="AJ102" s="558"/>
      <c r="AK102" s="576"/>
      <c r="AL102" s="576"/>
      <c r="AM102" s="434"/>
      <c r="AN102" s="434"/>
      <c r="AO102" s="434"/>
      <c r="AP102" s="434"/>
      <c r="AQ102" s="434"/>
      <c r="AR102" s="434"/>
      <c r="AS102" s="434"/>
      <c r="AT102" s="434"/>
      <c r="AU102" s="434"/>
      <c r="AV102" s="434"/>
      <c r="AW102" s="434"/>
      <c r="AX102" s="434"/>
      <c r="AY102" s="434"/>
      <c r="AZ102" s="434"/>
      <c r="BA102" s="434"/>
      <c r="BB102" s="434"/>
      <c r="BC102" s="434"/>
      <c r="BD102" s="434"/>
      <c r="BE102" s="434"/>
      <c r="BF102" s="434"/>
    </row>
    <row r="103" spans="1:58" s="578" customFormat="1" ht="12.75" customHeight="1">
      <c r="A103" s="559"/>
      <c r="B103" s="560"/>
      <c r="C103" s="561"/>
      <c r="D103" s="562"/>
      <c r="E103" s="563"/>
      <c r="F103" s="564"/>
      <c r="G103" s="668">
        <v>5200000590</v>
      </c>
      <c r="H103" s="566"/>
      <c r="I103" s="566">
        <v>226</v>
      </c>
      <c r="J103" s="755"/>
      <c r="K103" s="568"/>
      <c r="L103" s="569"/>
      <c r="M103" s="569"/>
      <c r="N103" s="569"/>
      <c r="O103" s="569"/>
      <c r="P103" s="569"/>
      <c r="Q103" s="572">
        <f t="shared" si="2"/>
        <v>9000</v>
      </c>
      <c r="R103" s="568">
        <v>2250</v>
      </c>
      <c r="S103" s="568">
        <v>2250</v>
      </c>
      <c r="T103" s="568">
        <v>2250</v>
      </c>
      <c r="U103" s="568">
        <v>2250</v>
      </c>
      <c r="V103" s="611">
        <v>10000</v>
      </c>
      <c r="W103" s="568" t="s">
        <v>680</v>
      </c>
      <c r="X103" s="612"/>
      <c r="Y103" s="613"/>
      <c r="Z103" s="611">
        <v>10000</v>
      </c>
      <c r="AA103" s="611">
        <v>10000</v>
      </c>
      <c r="AB103" s="573"/>
      <c r="AC103" s="573"/>
      <c r="AD103" s="573"/>
      <c r="AE103" s="573"/>
      <c r="AF103" s="573"/>
      <c r="AG103" s="573"/>
      <c r="AH103" s="574"/>
      <c r="AI103" s="575"/>
      <c r="AJ103" s="558"/>
      <c r="AK103" s="576"/>
      <c r="AL103" s="576"/>
      <c r="AM103" s="434"/>
      <c r="AN103" s="434"/>
      <c r="AO103" s="434"/>
      <c r="AP103" s="434"/>
      <c r="AQ103" s="434"/>
      <c r="AR103" s="434"/>
      <c r="AS103" s="434"/>
      <c r="AT103" s="434"/>
      <c r="AU103" s="434"/>
      <c r="AV103" s="434"/>
      <c r="AW103" s="434"/>
      <c r="AX103" s="434"/>
      <c r="AY103" s="434"/>
      <c r="AZ103" s="434"/>
      <c r="BA103" s="434"/>
      <c r="BB103" s="434"/>
      <c r="BC103" s="434"/>
      <c r="BD103" s="434"/>
      <c r="BE103" s="434"/>
      <c r="BF103" s="434"/>
    </row>
    <row r="104" spans="1:58" s="578" customFormat="1" ht="12.75" customHeight="1">
      <c r="A104" s="559"/>
      <c r="B104" s="560"/>
      <c r="C104" s="561"/>
      <c r="D104" s="562"/>
      <c r="E104" s="563"/>
      <c r="F104" s="564"/>
      <c r="G104" s="668">
        <v>5200000590</v>
      </c>
      <c r="H104" s="566"/>
      <c r="I104" s="566">
        <v>226</v>
      </c>
      <c r="J104" s="755"/>
      <c r="K104" s="568"/>
      <c r="L104" s="569"/>
      <c r="M104" s="569"/>
      <c r="N104" s="569"/>
      <c r="O104" s="569"/>
      <c r="P104" s="569"/>
      <c r="Q104" s="572">
        <f t="shared" si="2"/>
        <v>6000</v>
      </c>
      <c r="R104" s="568">
        <v>6000</v>
      </c>
      <c r="S104" s="568"/>
      <c r="T104" s="568"/>
      <c r="U104" s="568"/>
      <c r="V104" s="611">
        <v>5000</v>
      </c>
      <c r="W104" s="568" t="s">
        <v>681</v>
      </c>
      <c r="X104" s="612"/>
      <c r="Y104" s="613"/>
      <c r="Z104" s="611">
        <v>5000</v>
      </c>
      <c r="AA104" s="611">
        <v>5000</v>
      </c>
      <c r="AB104" s="573"/>
      <c r="AC104" s="573"/>
      <c r="AD104" s="573"/>
      <c r="AE104" s="573"/>
      <c r="AF104" s="573"/>
      <c r="AG104" s="573"/>
      <c r="AH104" s="574"/>
      <c r="AI104" s="575"/>
      <c r="AJ104" s="558"/>
      <c r="AK104" s="576"/>
      <c r="AL104" s="576"/>
      <c r="AM104" s="434"/>
      <c r="AN104" s="434"/>
      <c r="AO104" s="434"/>
      <c r="AP104" s="434"/>
      <c r="AQ104" s="434"/>
      <c r="AR104" s="434"/>
      <c r="AS104" s="434"/>
      <c r="AT104" s="434"/>
      <c r="AU104" s="434"/>
      <c r="AV104" s="434"/>
      <c r="AW104" s="434"/>
      <c r="AX104" s="434"/>
      <c r="AY104" s="434"/>
      <c r="AZ104" s="434"/>
      <c r="BA104" s="434"/>
      <c r="BB104" s="434"/>
      <c r="BC104" s="434"/>
      <c r="BD104" s="434"/>
      <c r="BE104" s="434"/>
      <c r="BF104" s="434"/>
    </row>
    <row r="105" spans="1:58" s="578" customFormat="1" ht="12.75" customHeight="1">
      <c r="A105" s="559"/>
      <c r="B105" s="560"/>
      <c r="C105" s="561"/>
      <c r="D105" s="562"/>
      <c r="E105" s="563"/>
      <c r="F105" s="564"/>
      <c r="G105" s="668">
        <v>5200000590</v>
      </c>
      <c r="H105" s="566"/>
      <c r="I105" s="566">
        <v>226</v>
      </c>
      <c r="J105" s="755"/>
      <c r="K105" s="568"/>
      <c r="L105" s="569"/>
      <c r="M105" s="569"/>
      <c r="N105" s="569"/>
      <c r="O105" s="569"/>
      <c r="P105" s="569"/>
      <c r="Q105" s="572">
        <f t="shared" si="2"/>
        <v>30000</v>
      </c>
      <c r="R105" s="568">
        <v>30000</v>
      </c>
      <c r="S105" s="568">
        <v>0</v>
      </c>
      <c r="T105" s="568"/>
      <c r="U105" s="568"/>
      <c r="V105" s="611">
        <v>0</v>
      </c>
      <c r="W105" s="568" t="s">
        <v>644</v>
      </c>
      <c r="X105" s="612"/>
      <c r="Y105" s="613"/>
      <c r="Z105" s="611">
        <v>0</v>
      </c>
      <c r="AA105" s="611">
        <v>0</v>
      </c>
      <c r="AB105" s="573"/>
      <c r="AC105" s="573"/>
      <c r="AD105" s="573"/>
      <c r="AE105" s="573"/>
      <c r="AF105" s="573"/>
      <c r="AG105" s="573"/>
      <c r="AH105" s="574"/>
      <c r="AI105" s="575"/>
      <c r="AJ105" s="558"/>
      <c r="AK105" s="576"/>
      <c r="AL105" s="576"/>
      <c r="AM105" s="434"/>
      <c r="AN105" s="434"/>
      <c r="AO105" s="434"/>
      <c r="AP105" s="434"/>
      <c r="AQ105" s="434"/>
      <c r="AR105" s="434"/>
      <c r="AS105" s="434"/>
      <c r="AT105" s="434"/>
      <c r="AU105" s="434"/>
      <c r="AV105" s="434"/>
      <c r="AW105" s="434"/>
      <c r="AX105" s="434"/>
      <c r="AY105" s="434"/>
      <c r="AZ105" s="434"/>
      <c r="BA105" s="434"/>
      <c r="BB105" s="434"/>
      <c r="BC105" s="434"/>
      <c r="BD105" s="434"/>
      <c r="BE105" s="434"/>
      <c r="BF105" s="434"/>
    </row>
    <row r="106" spans="1:58" s="578" customFormat="1" ht="12.75" customHeight="1">
      <c r="A106" s="559"/>
      <c r="B106" s="560"/>
      <c r="C106" s="561"/>
      <c r="D106" s="562"/>
      <c r="E106" s="563"/>
      <c r="F106" s="564"/>
      <c r="G106" s="668">
        <v>5200000590</v>
      </c>
      <c r="H106" s="566"/>
      <c r="I106" s="566">
        <v>226</v>
      </c>
      <c r="J106" s="755"/>
      <c r="K106" s="568"/>
      <c r="L106" s="569"/>
      <c r="M106" s="569"/>
      <c r="N106" s="569"/>
      <c r="O106" s="569"/>
      <c r="P106" s="569"/>
      <c r="Q106" s="572">
        <f t="shared" si="2"/>
        <v>52620</v>
      </c>
      <c r="R106" s="568">
        <v>13155</v>
      </c>
      <c r="S106" s="568">
        <v>13155</v>
      </c>
      <c r="T106" s="568">
        <v>13155</v>
      </c>
      <c r="U106" s="568">
        <v>13155</v>
      </c>
      <c r="V106" s="611">
        <v>13500</v>
      </c>
      <c r="W106" s="568" t="s">
        <v>682</v>
      </c>
      <c r="X106" s="612"/>
      <c r="Y106" s="613"/>
      <c r="Z106" s="611">
        <v>13500</v>
      </c>
      <c r="AA106" s="611">
        <v>13500</v>
      </c>
      <c r="AB106" s="573"/>
      <c r="AC106" s="573"/>
      <c r="AD106" s="573"/>
      <c r="AE106" s="573"/>
      <c r="AF106" s="573"/>
      <c r="AG106" s="573"/>
      <c r="AH106" s="574"/>
      <c r="AI106" s="575"/>
      <c r="AJ106" s="558"/>
      <c r="AK106" s="576"/>
      <c r="AL106" s="576"/>
      <c r="AM106" s="434"/>
      <c r="AN106" s="434"/>
      <c r="AO106" s="434"/>
      <c r="AP106" s="434"/>
      <c r="AQ106" s="434"/>
      <c r="AR106" s="434"/>
      <c r="AS106" s="434"/>
      <c r="AT106" s="434"/>
      <c r="AU106" s="434"/>
      <c r="AV106" s="434"/>
      <c r="AW106" s="434"/>
      <c r="AX106" s="434"/>
      <c r="AY106" s="434"/>
      <c r="AZ106" s="434"/>
      <c r="BA106" s="434"/>
      <c r="BB106" s="434"/>
      <c r="BC106" s="434"/>
      <c r="BD106" s="434"/>
      <c r="BE106" s="434"/>
      <c r="BF106" s="434"/>
    </row>
    <row r="107" spans="1:58" s="578" customFormat="1" ht="12.75" customHeight="1">
      <c r="A107" s="559"/>
      <c r="B107" s="560"/>
      <c r="C107" s="561"/>
      <c r="D107" s="562"/>
      <c r="E107" s="563"/>
      <c r="F107" s="564"/>
      <c r="G107" s="668">
        <v>5200000590</v>
      </c>
      <c r="H107" s="566"/>
      <c r="I107" s="566">
        <v>226</v>
      </c>
      <c r="J107" s="755"/>
      <c r="K107" s="568"/>
      <c r="L107" s="569"/>
      <c r="M107" s="569"/>
      <c r="N107" s="569"/>
      <c r="O107" s="569"/>
      <c r="P107" s="569"/>
      <c r="Q107" s="572">
        <f t="shared" si="2"/>
        <v>87660</v>
      </c>
      <c r="R107" s="568">
        <v>21915</v>
      </c>
      <c r="S107" s="568">
        <v>21915</v>
      </c>
      <c r="T107" s="568">
        <v>21915</v>
      </c>
      <c r="U107" s="568">
        <v>21915</v>
      </c>
      <c r="V107" s="611">
        <v>0</v>
      </c>
      <c r="W107" s="568" t="s">
        <v>641</v>
      </c>
      <c r="X107" s="612"/>
      <c r="Y107" s="613"/>
      <c r="Z107" s="611">
        <v>0</v>
      </c>
      <c r="AA107" s="611">
        <v>0</v>
      </c>
      <c r="AB107" s="573"/>
      <c r="AC107" s="573"/>
      <c r="AD107" s="573"/>
      <c r="AE107" s="573"/>
      <c r="AF107" s="573"/>
      <c r="AG107" s="573"/>
      <c r="AH107" s="574"/>
      <c r="AI107" s="575"/>
      <c r="AJ107" s="558"/>
      <c r="AK107" s="576"/>
      <c r="AL107" s="576"/>
      <c r="AM107" s="434"/>
      <c r="AN107" s="434"/>
      <c r="AO107" s="434"/>
      <c r="AP107" s="434"/>
      <c r="AQ107" s="434"/>
      <c r="AR107" s="434"/>
      <c r="AS107" s="434"/>
      <c r="AT107" s="434"/>
      <c r="AU107" s="434"/>
      <c r="AV107" s="434"/>
      <c r="AW107" s="434"/>
      <c r="AX107" s="434"/>
      <c r="AY107" s="434"/>
      <c r="AZ107" s="434"/>
      <c r="BA107" s="434"/>
      <c r="BB107" s="434"/>
      <c r="BC107" s="434"/>
      <c r="BD107" s="434"/>
      <c r="BE107" s="434"/>
      <c r="BF107" s="434"/>
    </row>
    <row r="108" spans="1:58" s="578" customFormat="1" ht="12.75" customHeight="1">
      <c r="A108" s="559"/>
      <c r="B108" s="560"/>
      <c r="C108" s="561"/>
      <c r="D108" s="562"/>
      <c r="E108" s="563"/>
      <c r="F108" s="564"/>
      <c r="G108" s="668">
        <v>5200000590</v>
      </c>
      <c r="H108" s="566"/>
      <c r="I108" s="566">
        <v>226</v>
      </c>
      <c r="J108" s="755"/>
      <c r="K108" s="568"/>
      <c r="L108" s="569"/>
      <c r="M108" s="569"/>
      <c r="N108" s="569"/>
      <c r="O108" s="569"/>
      <c r="P108" s="569"/>
      <c r="Q108" s="572">
        <f t="shared" si="2"/>
        <v>10000</v>
      </c>
      <c r="R108" s="568">
        <v>10000</v>
      </c>
      <c r="S108" s="568">
        <v>0</v>
      </c>
      <c r="T108" s="568">
        <v>0</v>
      </c>
      <c r="U108" s="568">
        <v>0</v>
      </c>
      <c r="V108" s="611">
        <v>0</v>
      </c>
      <c r="W108" s="568" t="s">
        <v>683</v>
      </c>
      <c r="X108" s="612"/>
      <c r="Y108" s="613"/>
      <c r="Z108" s="611">
        <v>0</v>
      </c>
      <c r="AA108" s="611">
        <v>0</v>
      </c>
      <c r="AB108" s="573"/>
      <c r="AC108" s="573"/>
      <c r="AD108" s="573"/>
      <c r="AE108" s="573"/>
      <c r="AF108" s="573"/>
      <c r="AG108" s="573"/>
      <c r="AH108" s="574"/>
      <c r="AI108" s="575"/>
      <c r="AJ108" s="558"/>
      <c r="AK108" s="576"/>
      <c r="AL108" s="576"/>
      <c r="AM108" s="434"/>
      <c r="AN108" s="434"/>
      <c r="AO108" s="434"/>
      <c r="AP108" s="434"/>
      <c r="AQ108" s="434"/>
      <c r="AR108" s="434"/>
      <c r="AS108" s="434"/>
      <c r="AT108" s="434"/>
      <c r="AU108" s="434"/>
      <c r="AV108" s="434"/>
      <c r="AW108" s="434"/>
      <c r="AX108" s="434"/>
      <c r="AY108" s="434"/>
      <c r="AZ108" s="434"/>
      <c r="BA108" s="434"/>
      <c r="BB108" s="434"/>
      <c r="BC108" s="434"/>
      <c r="BD108" s="434"/>
      <c r="BE108" s="434"/>
      <c r="BF108" s="434"/>
    </row>
    <row r="109" spans="1:58" s="578" customFormat="1" ht="12.75" customHeight="1">
      <c r="A109" s="559"/>
      <c r="B109" s="560"/>
      <c r="C109" s="561"/>
      <c r="D109" s="562"/>
      <c r="E109" s="563"/>
      <c r="F109" s="564"/>
      <c r="G109" s="668">
        <v>5200000590</v>
      </c>
      <c r="H109" s="566"/>
      <c r="I109" s="566">
        <v>226</v>
      </c>
      <c r="J109" s="755"/>
      <c r="K109" s="568"/>
      <c r="L109" s="569"/>
      <c r="M109" s="569"/>
      <c r="N109" s="569"/>
      <c r="O109" s="569"/>
      <c r="P109" s="569"/>
      <c r="Q109" s="572">
        <f t="shared" si="2"/>
        <v>50000</v>
      </c>
      <c r="R109" s="611">
        <v>50000</v>
      </c>
      <c r="S109" s="568"/>
      <c r="T109" s="568"/>
      <c r="U109" s="568"/>
      <c r="V109" s="611">
        <v>10000</v>
      </c>
      <c r="W109" s="568" t="s">
        <v>684</v>
      </c>
      <c r="X109" s="612"/>
      <c r="Y109" s="613"/>
      <c r="Z109" s="611">
        <v>10000</v>
      </c>
      <c r="AA109" s="611">
        <v>10000</v>
      </c>
      <c r="AB109" s="573"/>
      <c r="AC109" s="573"/>
      <c r="AD109" s="573"/>
      <c r="AE109" s="573"/>
      <c r="AF109" s="573"/>
      <c r="AG109" s="573"/>
      <c r="AH109" s="574"/>
      <c r="AI109" s="575"/>
      <c r="AJ109" s="558"/>
      <c r="AK109" s="576"/>
      <c r="AL109" s="576"/>
      <c r="AM109" s="434"/>
      <c r="AN109" s="434"/>
      <c r="AO109" s="434"/>
      <c r="AP109" s="434"/>
      <c r="AQ109" s="434"/>
      <c r="AR109" s="434"/>
      <c r="AS109" s="434"/>
      <c r="AT109" s="434"/>
      <c r="AU109" s="434"/>
      <c r="AV109" s="434"/>
      <c r="AW109" s="434"/>
      <c r="AX109" s="434"/>
      <c r="AY109" s="434"/>
      <c r="AZ109" s="434"/>
      <c r="BA109" s="434"/>
      <c r="BB109" s="434"/>
      <c r="BC109" s="434"/>
      <c r="BD109" s="434"/>
      <c r="BE109" s="434"/>
      <c r="BF109" s="434"/>
    </row>
    <row r="110" spans="1:58" s="578" customFormat="1" ht="12.75" customHeight="1">
      <c r="A110" s="559"/>
      <c r="B110" s="560"/>
      <c r="C110" s="561"/>
      <c r="D110" s="562"/>
      <c r="E110" s="563"/>
      <c r="F110" s="564"/>
      <c r="G110" s="668">
        <v>5200000590</v>
      </c>
      <c r="H110" s="566"/>
      <c r="I110" s="566">
        <v>226</v>
      </c>
      <c r="J110" s="755"/>
      <c r="K110" s="568"/>
      <c r="L110" s="569"/>
      <c r="M110" s="569"/>
      <c r="N110" s="569"/>
      <c r="O110" s="569"/>
      <c r="P110" s="569"/>
      <c r="Q110" s="572">
        <f t="shared" si="2"/>
        <v>15000</v>
      </c>
      <c r="R110" s="568">
        <v>15000</v>
      </c>
      <c r="S110" s="568">
        <v>0</v>
      </c>
      <c r="T110" s="568">
        <v>0</v>
      </c>
      <c r="U110" s="568"/>
      <c r="V110" s="611">
        <v>30000</v>
      </c>
      <c r="W110" s="568" t="s">
        <v>685</v>
      </c>
      <c r="X110" s="612"/>
      <c r="Y110" s="613"/>
      <c r="Z110" s="611">
        <v>30000</v>
      </c>
      <c r="AA110" s="611">
        <v>30000</v>
      </c>
      <c r="AB110" s="573"/>
      <c r="AC110" s="573"/>
      <c r="AD110" s="573"/>
      <c r="AE110" s="573"/>
      <c r="AF110" s="573"/>
      <c r="AG110" s="573"/>
      <c r="AH110" s="574"/>
      <c r="AI110" s="575"/>
      <c r="AJ110" s="558"/>
      <c r="AK110" s="576"/>
      <c r="AL110" s="576"/>
      <c r="AM110" s="434"/>
      <c r="AN110" s="434"/>
      <c r="AO110" s="434"/>
      <c r="AP110" s="434"/>
      <c r="AQ110" s="434"/>
      <c r="AR110" s="434"/>
      <c r="AS110" s="434"/>
      <c r="AT110" s="434"/>
      <c r="AU110" s="434"/>
      <c r="AV110" s="434"/>
      <c r="AW110" s="434"/>
      <c r="AX110" s="434"/>
      <c r="AY110" s="434"/>
      <c r="AZ110" s="434"/>
      <c r="BA110" s="434"/>
      <c r="BB110" s="434"/>
      <c r="BC110" s="434"/>
      <c r="BD110" s="434"/>
      <c r="BE110" s="434"/>
      <c r="BF110" s="434"/>
    </row>
    <row r="111" spans="1:58" s="578" customFormat="1" ht="12.75" customHeight="1">
      <c r="A111" s="559"/>
      <c r="B111" s="560"/>
      <c r="C111" s="561"/>
      <c r="D111" s="562"/>
      <c r="E111" s="563"/>
      <c r="F111" s="564"/>
      <c r="G111" s="668">
        <v>5200000590</v>
      </c>
      <c r="H111" s="566"/>
      <c r="I111" s="566">
        <v>226</v>
      </c>
      <c r="J111" s="755"/>
      <c r="K111" s="568"/>
      <c r="L111" s="569"/>
      <c r="M111" s="569"/>
      <c r="N111" s="569"/>
      <c r="O111" s="569"/>
      <c r="P111" s="569"/>
      <c r="Q111" s="572">
        <f t="shared" si="2"/>
        <v>12000</v>
      </c>
      <c r="R111" s="568">
        <v>6000</v>
      </c>
      <c r="S111" s="568">
        <v>3000</v>
      </c>
      <c r="T111" s="568">
        <v>3000</v>
      </c>
      <c r="U111" s="568"/>
      <c r="V111" s="611">
        <v>12000</v>
      </c>
      <c r="W111" s="568" t="s">
        <v>686</v>
      </c>
      <c r="X111" s="612"/>
      <c r="Y111" s="613"/>
      <c r="Z111" s="611">
        <v>12000</v>
      </c>
      <c r="AA111" s="611">
        <v>12000</v>
      </c>
      <c r="AB111" s="573"/>
      <c r="AC111" s="573"/>
      <c r="AD111" s="573"/>
      <c r="AE111" s="573"/>
      <c r="AF111" s="573"/>
      <c r="AG111" s="573"/>
      <c r="AH111" s="574"/>
      <c r="AI111" s="575"/>
      <c r="AJ111" s="558"/>
      <c r="AK111" s="576"/>
      <c r="AL111" s="576"/>
      <c r="AM111" s="434"/>
      <c r="AN111" s="434"/>
      <c r="AO111" s="434"/>
      <c r="AP111" s="434"/>
      <c r="AQ111" s="434"/>
      <c r="AR111" s="434"/>
      <c r="AS111" s="434"/>
      <c r="AT111" s="434"/>
      <c r="AU111" s="434"/>
      <c r="AV111" s="434"/>
      <c r="AW111" s="434"/>
      <c r="AX111" s="434"/>
      <c r="AY111" s="434"/>
      <c r="AZ111" s="434"/>
      <c r="BA111" s="434"/>
      <c r="BB111" s="434"/>
      <c r="BC111" s="434"/>
      <c r="BD111" s="434"/>
      <c r="BE111" s="434"/>
      <c r="BF111" s="434"/>
    </row>
    <row r="112" spans="1:58" s="578" customFormat="1" ht="12.75" customHeight="1">
      <c r="A112" s="559"/>
      <c r="B112" s="790"/>
      <c r="C112" s="791"/>
      <c r="D112" s="792"/>
      <c r="E112" s="793"/>
      <c r="F112" s="794"/>
      <c r="G112" s="668">
        <v>5200000590</v>
      </c>
      <c r="H112" s="795"/>
      <c r="I112" s="795">
        <v>226</v>
      </c>
      <c r="J112" s="796"/>
      <c r="K112" s="707"/>
      <c r="L112" s="797"/>
      <c r="M112" s="797"/>
      <c r="N112" s="797"/>
      <c r="O112" s="797"/>
      <c r="P112" s="797"/>
      <c r="Q112" s="798">
        <f>R112+S112+T112+U112</f>
        <v>0</v>
      </c>
      <c r="R112" s="707"/>
      <c r="S112" s="707"/>
      <c r="T112" s="707"/>
      <c r="U112" s="707"/>
      <c r="V112" s="799">
        <f>461161.55-200500</f>
        <v>260661.55</v>
      </c>
      <c r="W112" s="707" t="s">
        <v>687</v>
      </c>
      <c r="X112" s="612"/>
      <c r="Y112" s="800"/>
      <c r="Z112" s="799"/>
      <c r="AA112" s="799"/>
      <c r="AB112" s="801"/>
      <c r="AC112" s="801"/>
      <c r="AD112" s="801"/>
      <c r="AE112" s="801"/>
      <c r="AF112" s="801"/>
      <c r="AG112" s="801"/>
      <c r="AH112" s="802"/>
      <c r="AI112" s="803"/>
      <c r="AJ112" s="558"/>
      <c r="AK112" s="576"/>
      <c r="AL112" s="576"/>
      <c r="AM112" s="434"/>
      <c r="AN112" s="434"/>
      <c r="AO112" s="434"/>
      <c r="AP112" s="434"/>
      <c r="AQ112" s="434"/>
      <c r="AR112" s="434"/>
      <c r="AS112" s="434"/>
      <c r="AT112" s="434"/>
      <c r="AU112" s="434"/>
      <c r="AV112" s="434"/>
      <c r="AW112" s="434"/>
      <c r="AX112" s="434"/>
      <c r="AY112" s="434"/>
      <c r="AZ112" s="434"/>
      <c r="BA112" s="434"/>
      <c r="BB112" s="434"/>
      <c r="BC112" s="434"/>
      <c r="BD112" s="434"/>
      <c r="BE112" s="434"/>
      <c r="BF112" s="434"/>
    </row>
    <row r="113" spans="1:58" s="578" customFormat="1" ht="12.75" customHeight="1">
      <c r="A113" s="559"/>
      <c r="B113" s="560"/>
      <c r="C113" s="561"/>
      <c r="D113" s="788" t="s">
        <v>688</v>
      </c>
      <c r="E113" s="773"/>
      <c r="F113" s="774"/>
      <c r="G113" s="668">
        <v>5200000590</v>
      </c>
      <c r="H113" s="775"/>
      <c r="I113" s="775"/>
      <c r="J113" s="776"/>
      <c r="K113" s="680"/>
      <c r="L113" s="583"/>
      <c r="M113" s="583"/>
      <c r="N113" s="583"/>
      <c r="O113" s="583"/>
      <c r="P113" s="583"/>
      <c r="Q113" s="584">
        <f t="shared" si="2"/>
        <v>361680</v>
      </c>
      <c r="R113" s="777">
        <f>R100+R101+R102+R103+R104+R105+R106+R107+R108+R109+R110+R111</f>
        <v>243720</v>
      </c>
      <c r="S113" s="777">
        <f>S100+S101+S102+S103+S104+S105+S106+S107+S108+S109+S110+S111</f>
        <v>40320</v>
      </c>
      <c r="T113" s="777">
        <f>T100+T101+T102+T103+T104+T105+T106+T107+T108+T109+T110+T111</f>
        <v>40320</v>
      </c>
      <c r="U113" s="777">
        <f>U100+U101+U102+U103+U104+U105+U106+U107+U108+U109+U110+U111</f>
        <v>37320</v>
      </c>
      <c r="V113" s="777">
        <f>SUM(V100:V112)</f>
        <v>461161.55</v>
      </c>
      <c r="W113" s="680"/>
      <c r="X113" s="789">
        <v>56876.85</v>
      </c>
      <c r="Y113" s="779"/>
      <c r="Z113" s="777">
        <f>SUM(Z100:Z112)</f>
        <v>363040</v>
      </c>
      <c r="AA113" s="777">
        <f>SUM(AA100:AA112)</f>
        <v>376340</v>
      </c>
      <c r="AB113" s="573"/>
      <c r="AC113" s="573"/>
      <c r="AD113" s="573"/>
      <c r="AE113" s="573"/>
      <c r="AF113" s="573"/>
      <c r="AG113" s="573"/>
      <c r="AH113" s="574"/>
      <c r="AI113" s="575"/>
      <c r="AJ113" s="558"/>
      <c r="AK113" s="576"/>
      <c r="AL113" s="576"/>
      <c r="AM113" s="434"/>
      <c r="AN113" s="434"/>
      <c r="AO113" s="434"/>
      <c r="AP113" s="434"/>
      <c r="AQ113" s="434"/>
      <c r="AR113" s="434"/>
      <c r="AS113" s="434"/>
      <c r="AT113" s="434"/>
      <c r="AU113" s="434"/>
      <c r="AV113" s="434"/>
      <c r="AW113" s="434"/>
      <c r="AX113" s="434"/>
      <c r="AY113" s="434"/>
      <c r="AZ113" s="434"/>
      <c r="BA113" s="434"/>
      <c r="BB113" s="434"/>
      <c r="BC113" s="434"/>
      <c r="BD113" s="434"/>
      <c r="BE113" s="434"/>
      <c r="BF113" s="434"/>
    </row>
    <row r="114" spans="1:58" s="786" customFormat="1" ht="12.75" customHeight="1">
      <c r="A114" s="772"/>
      <c r="B114" s="561"/>
      <c r="C114" s="561"/>
      <c r="D114" s="562">
        <v>656520075</v>
      </c>
      <c r="E114" s="563">
        <v>113</v>
      </c>
      <c r="F114" s="564">
        <v>656</v>
      </c>
      <c r="G114" s="668">
        <v>5200000590</v>
      </c>
      <c r="H114" s="566">
        <v>851</v>
      </c>
      <c r="I114" s="566">
        <v>290</v>
      </c>
      <c r="J114" s="755"/>
      <c r="K114" s="568"/>
      <c r="L114" s="569">
        <v>20000</v>
      </c>
      <c r="M114" s="569">
        <v>0</v>
      </c>
      <c r="N114" s="569">
        <v>-2800</v>
      </c>
      <c r="O114" s="569">
        <v>0</v>
      </c>
      <c r="P114" s="569">
        <v>17200</v>
      </c>
      <c r="Q114" s="572">
        <f t="shared" si="2"/>
        <v>1000</v>
      </c>
      <c r="R114" s="568">
        <v>1000</v>
      </c>
      <c r="S114" s="568"/>
      <c r="T114" s="568"/>
      <c r="U114" s="568"/>
      <c r="V114" s="611">
        <v>1000</v>
      </c>
      <c r="W114" s="707" t="s">
        <v>689</v>
      </c>
      <c r="X114" s="612">
        <v>0</v>
      </c>
      <c r="Y114" s="613"/>
      <c r="Z114" s="611"/>
      <c r="AA114" s="611"/>
      <c r="AB114" s="780"/>
      <c r="AC114" s="780"/>
      <c r="AD114" s="780"/>
      <c r="AE114" s="780"/>
      <c r="AF114" s="780"/>
      <c r="AG114" s="780"/>
      <c r="AH114" s="781"/>
      <c r="AI114" s="782"/>
      <c r="AJ114" s="783"/>
      <c r="AK114" s="784"/>
      <c r="AL114" s="784"/>
      <c r="AM114" s="785"/>
      <c r="AN114" s="785"/>
      <c r="AO114" s="785"/>
      <c r="AP114" s="785"/>
      <c r="AQ114" s="785"/>
      <c r="AR114" s="785"/>
      <c r="AS114" s="785"/>
      <c r="AT114" s="785"/>
      <c r="AU114" s="785"/>
      <c r="AV114" s="785"/>
      <c r="AW114" s="785"/>
      <c r="AX114" s="785"/>
      <c r="AY114" s="785"/>
      <c r="AZ114" s="785"/>
      <c r="BA114" s="785"/>
      <c r="BB114" s="785"/>
      <c r="BC114" s="785"/>
      <c r="BD114" s="785"/>
      <c r="BE114" s="785"/>
      <c r="BF114" s="785"/>
    </row>
    <row r="115" spans="1:58" s="786" customFormat="1" ht="12.75" customHeight="1">
      <c r="A115" s="772"/>
      <c r="B115" s="561"/>
      <c r="C115" s="561"/>
      <c r="D115" s="670">
        <v>656520075</v>
      </c>
      <c r="E115" s="671">
        <v>113</v>
      </c>
      <c r="F115" s="672">
        <v>656</v>
      </c>
      <c r="G115" s="673">
        <v>5200000590</v>
      </c>
      <c r="H115" s="674">
        <v>852</v>
      </c>
      <c r="I115" s="674">
        <v>290</v>
      </c>
      <c r="J115" s="804"/>
      <c r="K115" s="676"/>
      <c r="L115" s="677">
        <v>20000</v>
      </c>
      <c r="M115" s="677">
        <v>0</v>
      </c>
      <c r="N115" s="677">
        <v>-2800</v>
      </c>
      <c r="O115" s="677">
        <v>0</v>
      </c>
      <c r="P115" s="677">
        <v>17200</v>
      </c>
      <c r="Q115" s="805">
        <f t="shared" si="2"/>
        <v>1000</v>
      </c>
      <c r="R115" s="676">
        <v>1000</v>
      </c>
      <c r="S115" s="676"/>
      <c r="T115" s="676"/>
      <c r="U115" s="676"/>
      <c r="V115" s="679">
        <v>8000</v>
      </c>
      <c r="W115" s="676"/>
      <c r="X115" s="806">
        <v>0</v>
      </c>
      <c r="Y115" s="613"/>
      <c r="Z115" s="611"/>
      <c r="AA115" s="611"/>
      <c r="AB115" s="780"/>
      <c r="AC115" s="780"/>
      <c r="AD115" s="780"/>
      <c r="AE115" s="780"/>
      <c r="AF115" s="780"/>
      <c r="AG115" s="780"/>
      <c r="AH115" s="781"/>
      <c r="AI115" s="782"/>
      <c r="AJ115" s="783"/>
      <c r="AK115" s="784"/>
      <c r="AL115" s="784"/>
      <c r="AM115" s="785"/>
      <c r="AN115" s="785"/>
      <c r="AO115" s="785"/>
      <c r="AP115" s="785"/>
      <c r="AQ115" s="785"/>
      <c r="AR115" s="785"/>
      <c r="AS115" s="785"/>
      <c r="AT115" s="785"/>
      <c r="AU115" s="785"/>
      <c r="AV115" s="785"/>
      <c r="AW115" s="785"/>
      <c r="AX115" s="785"/>
      <c r="AY115" s="785"/>
      <c r="AZ115" s="785"/>
      <c r="BA115" s="785"/>
      <c r="BB115" s="785"/>
      <c r="BC115" s="785"/>
      <c r="BD115" s="785"/>
      <c r="BE115" s="785"/>
      <c r="BF115" s="785"/>
    </row>
    <row r="116" spans="1:58" s="786" customFormat="1" ht="12.75" customHeight="1">
      <c r="A116" s="772"/>
      <c r="B116" s="561"/>
      <c r="C116" s="561"/>
      <c r="D116" s="562">
        <v>656520075</v>
      </c>
      <c r="E116" s="563">
        <v>113</v>
      </c>
      <c r="F116" s="564">
        <v>656</v>
      </c>
      <c r="G116" s="668">
        <v>5200000590</v>
      </c>
      <c r="H116" s="566">
        <v>853</v>
      </c>
      <c r="I116" s="566">
        <v>290</v>
      </c>
      <c r="J116" s="755"/>
      <c r="K116" s="568"/>
      <c r="L116" s="569">
        <v>20000</v>
      </c>
      <c r="M116" s="569">
        <v>0</v>
      </c>
      <c r="N116" s="569">
        <v>-2800</v>
      </c>
      <c r="O116" s="569">
        <v>0</v>
      </c>
      <c r="P116" s="569">
        <v>17200</v>
      </c>
      <c r="Q116" s="572">
        <f t="shared" si="2"/>
        <v>1000</v>
      </c>
      <c r="R116" s="568">
        <v>1000</v>
      </c>
      <c r="S116" s="568"/>
      <c r="T116" s="568"/>
      <c r="U116" s="568"/>
      <c r="V116" s="611">
        <v>8000</v>
      </c>
      <c r="W116" s="707" t="s">
        <v>690</v>
      </c>
      <c r="X116" s="612">
        <v>0</v>
      </c>
      <c r="Y116" s="613"/>
      <c r="Z116" s="611"/>
      <c r="AA116" s="611"/>
      <c r="AB116" s="780"/>
      <c r="AC116" s="780"/>
      <c r="AD116" s="780"/>
      <c r="AE116" s="780"/>
      <c r="AF116" s="780"/>
      <c r="AG116" s="780"/>
      <c r="AH116" s="781"/>
      <c r="AI116" s="782"/>
      <c r="AJ116" s="783"/>
      <c r="AK116" s="784"/>
      <c r="AL116" s="784"/>
      <c r="AM116" s="785"/>
      <c r="AN116" s="785"/>
      <c r="AO116" s="785"/>
      <c r="AP116" s="785"/>
      <c r="AQ116" s="785"/>
      <c r="AR116" s="785"/>
      <c r="AS116" s="785"/>
      <c r="AT116" s="785"/>
      <c r="AU116" s="785"/>
      <c r="AV116" s="785"/>
      <c r="AW116" s="785"/>
      <c r="AX116" s="785"/>
      <c r="AY116" s="785"/>
      <c r="AZ116" s="785"/>
      <c r="BA116" s="785"/>
      <c r="BB116" s="785"/>
      <c r="BC116" s="785"/>
      <c r="BD116" s="785"/>
      <c r="BE116" s="785"/>
      <c r="BF116" s="785"/>
    </row>
    <row r="117" spans="1:58" s="578" customFormat="1" ht="12.75" customHeight="1">
      <c r="A117" s="559"/>
      <c r="B117" s="560" t="s">
        <v>661</v>
      </c>
      <c r="C117" s="561" t="s">
        <v>661</v>
      </c>
      <c r="D117" s="562"/>
      <c r="E117" s="563"/>
      <c r="F117" s="564"/>
      <c r="G117" s="668">
        <v>5200000590</v>
      </c>
      <c r="H117" s="566">
        <v>244</v>
      </c>
      <c r="I117" s="566">
        <v>290</v>
      </c>
      <c r="J117" s="755"/>
      <c r="K117" s="568"/>
      <c r="L117" s="569"/>
      <c r="M117" s="569"/>
      <c r="N117" s="569"/>
      <c r="O117" s="569"/>
      <c r="P117" s="569"/>
      <c r="Q117" s="572">
        <f t="shared" si="2"/>
        <v>7500</v>
      </c>
      <c r="R117" s="568"/>
      <c r="S117" s="568"/>
      <c r="T117" s="568"/>
      <c r="U117" s="568">
        <v>7500</v>
      </c>
      <c r="V117" s="611">
        <v>0</v>
      </c>
      <c r="W117" s="707" t="s">
        <v>691</v>
      </c>
      <c r="X117" s="612">
        <v>0</v>
      </c>
      <c r="Y117" s="613"/>
      <c r="Z117" s="611">
        <v>0</v>
      </c>
      <c r="AA117" s="611">
        <v>0</v>
      </c>
      <c r="AB117" s="573"/>
      <c r="AC117" s="573"/>
      <c r="AD117" s="573"/>
      <c r="AE117" s="573">
        <v>358.11</v>
      </c>
      <c r="AF117" s="573">
        <v>0</v>
      </c>
      <c r="AG117" s="573"/>
      <c r="AH117" s="574"/>
      <c r="AI117" s="575">
        <v>0.020820348837209304</v>
      </c>
      <c r="AJ117" s="558" t="s">
        <v>594</v>
      </c>
      <c r="AK117" s="576"/>
      <c r="AL117" s="576"/>
      <c r="AM117" s="434"/>
      <c r="AN117" s="434"/>
      <c r="AO117" s="479"/>
      <c r="AP117" s="434"/>
      <c r="AQ117" s="434"/>
      <c r="AR117" s="434"/>
      <c r="AS117" s="434"/>
      <c r="AT117" s="434"/>
      <c r="AU117" s="434"/>
      <c r="AV117" s="434"/>
      <c r="AW117" s="434"/>
      <c r="AX117" s="434"/>
      <c r="AY117" s="434"/>
      <c r="AZ117" s="434"/>
      <c r="BA117" s="434"/>
      <c r="BB117" s="434"/>
      <c r="BC117" s="434"/>
      <c r="BD117" s="434"/>
      <c r="BE117" s="434"/>
      <c r="BF117" s="434"/>
    </row>
    <row r="118" spans="1:58" s="578" customFormat="1" ht="12.75" customHeight="1">
      <c r="A118" s="559"/>
      <c r="B118" s="560"/>
      <c r="C118" s="561"/>
      <c r="D118" s="788" t="s">
        <v>692</v>
      </c>
      <c r="E118" s="773"/>
      <c r="F118" s="774"/>
      <c r="G118" s="668">
        <v>5200000590</v>
      </c>
      <c r="H118" s="775"/>
      <c r="I118" s="775"/>
      <c r="J118" s="776"/>
      <c r="K118" s="680"/>
      <c r="L118" s="583"/>
      <c r="M118" s="583"/>
      <c r="N118" s="583"/>
      <c r="O118" s="583"/>
      <c r="P118" s="583"/>
      <c r="Q118" s="584">
        <f t="shared" si="2"/>
        <v>8500</v>
      </c>
      <c r="R118" s="777">
        <f>R114+R117</f>
        <v>1000</v>
      </c>
      <c r="S118" s="777">
        <f>S114+S117</f>
        <v>0</v>
      </c>
      <c r="T118" s="777">
        <f>T114+T117</f>
        <v>0</v>
      </c>
      <c r="U118" s="777">
        <f>U114+U117</f>
        <v>7500</v>
      </c>
      <c r="V118" s="777">
        <f>SUM(V114:V117)</f>
        <v>17000</v>
      </c>
      <c r="W118" s="807"/>
      <c r="X118" s="789">
        <v>0</v>
      </c>
      <c r="Y118" s="779"/>
      <c r="Z118" s="777">
        <f>Z117+Z116+Z114</f>
        <v>0</v>
      </c>
      <c r="AA118" s="777">
        <f>AA117+AA116+AA114</f>
        <v>0</v>
      </c>
      <c r="AB118" s="573"/>
      <c r="AC118" s="573"/>
      <c r="AD118" s="573"/>
      <c r="AE118" s="573"/>
      <c r="AF118" s="573"/>
      <c r="AG118" s="573"/>
      <c r="AH118" s="574"/>
      <c r="AI118" s="575"/>
      <c r="AJ118" s="558"/>
      <c r="AK118" s="576"/>
      <c r="AL118" s="576"/>
      <c r="AM118" s="434"/>
      <c r="AN118" s="434"/>
      <c r="AO118" s="434"/>
      <c r="AP118" s="434"/>
      <c r="AQ118" s="434"/>
      <c r="AR118" s="434"/>
      <c r="AS118" s="434"/>
      <c r="AT118" s="434"/>
      <c r="AU118" s="434"/>
      <c r="AV118" s="434"/>
      <c r="AW118" s="434"/>
      <c r="AX118" s="434"/>
      <c r="AY118" s="434"/>
      <c r="AZ118" s="434"/>
      <c r="BA118" s="434"/>
      <c r="BB118" s="434"/>
      <c r="BC118" s="434"/>
      <c r="BD118" s="434"/>
      <c r="BE118" s="434"/>
      <c r="BF118" s="434"/>
    </row>
    <row r="119" spans="1:58" s="578" customFormat="1" ht="12.75" customHeight="1">
      <c r="A119" s="559"/>
      <c r="B119" s="560"/>
      <c r="C119" s="561"/>
      <c r="D119" s="788"/>
      <c r="E119" s="773"/>
      <c r="F119" s="774"/>
      <c r="G119" s="668"/>
      <c r="H119" s="775"/>
      <c r="I119" s="775">
        <v>310</v>
      </c>
      <c r="J119" s="776"/>
      <c r="K119" s="680"/>
      <c r="L119" s="583"/>
      <c r="M119" s="583"/>
      <c r="N119" s="583"/>
      <c r="O119" s="583"/>
      <c r="P119" s="583"/>
      <c r="Q119" s="584"/>
      <c r="R119" s="777"/>
      <c r="S119" s="777"/>
      <c r="T119" s="777"/>
      <c r="U119" s="777"/>
      <c r="V119" s="777">
        <v>209400</v>
      </c>
      <c r="W119" s="808" t="s">
        <v>693</v>
      </c>
      <c r="X119" s="809">
        <v>111130</v>
      </c>
      <c r="Y119" s="779" t="s">
        <v>989</v>
      </c>
      <c r="Z119" s="777">
        <v>0</v>
      </c>
      <c r="AA119" s="777">
        <v>0</v>
      </c>
      <c r="AB119" s="573"/>
      <c r="AC119" s="573"/>
      <c r="AD119" s="573"/>
      <c r="AE119" s="573"/>
      <c r="AF119" s="573"/>
      <c r="AG119" s="573"/>
      <c r="AH119" s="574"/>
      <c r="AI119" s="575"/>
      <c r="AJ119" s="558"/>
      <c r="AK119" s="576"/>
      <c r="AL119" s="576"/>
      <c r="AM119" s="434"/>
      <c r="AN119" s="434"/>
      <c r="AO119" s="434"/>
      <c r="AP119" s="434"/>
      <c r="AQ119" s="434"/>
      <c r="AR119" s="434"/>
      <c r="AS119" s="434"/>
      <c r="AT119" s="434"/>
      <c r="AU119" s="434"/>
      <c r="AV119" s="434"/>
      <c r="AW119" s="434"/>
      <c r="AX119" s="434"/>
      <c r="AY119" s="434"/>
      <c r="AZ119" s="434"/>
      <c r="BA119" s="434"/>
      <c r="BB119" s="434"/>
      <c r="BC119" s="434"/>
      <c r="BD119" s="434"/>
      <c r="BE119" s="434"/>
      <c r="BF119" s="434"/>
    </row>
    <row r="120" spans="1:58" s="786" customFormat="1" ht="12.75" customHeight="1">
      <c r="A120" s="772"/>
      <c r="B120" s="561"/>
      <c r="C120" s="561"/>
      <c r="D120" s="562">
        <v>656520075</v>
      </c>
      <c r="E120" s="563">
        <v>113</v>
      </c>
      <c r="F120" s="564">
        <v>656</v>
      </c>
      <c r="G120" s="668">
        <v>5200000590</v>
      </c>
      <c r="H120" s="566" t="s">
        <v>625</v>
      </c>
      <c r="I120" s="566">
        <v>342</v>
      </c>
      <c r="J120" s="755"/>
      <c r="K120" s="568"/>
      <c r="L120" s="569">
        <v>3319.34</v>
      </c>
      <c r="M120" s="569">
        <v>0</v>
      </c>
      <c r="N120" s="569">
        <v>0</v>
      </c>
      <c r="O120" s="569">
        <v>0</v>
      </c>
      <c r="P120" s="569">
        <v>3319.34</v>
      </c>
      <c r="Q120" s="572">
        <f t="shared" si="2"/>
        <v>0</v>
      </c>
      <c r="R120" s="568"/>
      <c r="S120" s="568"/>
      <c r="T120" s="568"/>
      <c r="U120" s="568"/>
      <c r="V120" s="611">
        <v>0</v>
      </c>
      <c r="W120" s="707" t="s">
        <v>694</v>
      </c>
      <c r="X120" s="612"/>
      <c r="Y120" s="613"/>
      <c r="Z120" s="611">
        <v>0</v>
      </c>
      <c r="AA120" s="611">
        <v>0</v>
      </c>
      <c r="AB120" s="780"/>
      <c r="AC120" s="780"/>
      <c r="AD120" s="780"/>
      <c r="AE120" s="780"/>
      <c r="AF120" s="780"/>
      <c r="AG120" s="780"/>
      <c r="AH120" s="781"/>
      <c r="AI120" s="782"/>
      <c r="AJ120" s="783"/>
      <c r="AK120" s="784"/>
      <c r="AL120" s="784"/>
      <c r="AM120" s="785"/>
      <c r="AN120" s="785"/>
      <c r="AO120" s="785"/>
      <c r="AP120" s="785"/>
      <c r="AQ120" s="785"/>
      <c r="AR120" s="785"/>
      <c r="AS120" s="785"/>
      <c r="AT120" s="785"/>
      <c r="AU120" s="785"/>
      <c r="AV120" s="785"/>
      <c r="AW120" s="785"/>
      <c r="AX120" s="785"/>
      <c r="AY120" s="785"/>
      <c r="AZ120" s="785"/>
      <c r="BA120" s="785"/>
      <c r="BB120" s="785"/>
      <c r="BC120" s="785"/>
      <c r="BD120" s="785"/>
      <c r="BE120" s="785"/>
      <c r="BF120" s="785"/>
    </row>
    <row r="121" spans="1:58" s="578" customFormat="1" ht="23.25" customHeight="1">
      <c r="A121" s="559"/>
      <c r="B121" s="560" t="s">
        <v>661</v>
      </c>
      <c r="C121" s="561" t="s">
        <v>661</v>
      </c>
      <c r="D121" s="562">
        <v>656520075</v>
      </c>
      <c r="E121" s="563">
        <v>113</v>
      </c>
      <c r="F121" s="564">
        <v>656</v>
      </c>
      <c r="G121" s="668">
        <v>5200000590</v>
      </c>
      <c r="H121" s="566" t="s">
        <v>625</v>
      </c>
      <c r="I121" s="566">
        <v>340</v>
      </c>
      <c r="J121" s="755" t="s">
        <v>695</v>
      </c>
      <c r="K121" s="568"/>
      <c r="L121" s="569">
        <v>89992.66</v>
      </c>
      <c r="M121" s="569">
        <v>60000</v>
      </c>
      <c r="N121" s="569">
        <v>50000</v>
      </c>
      <c r="O121" s="569">
        <v>0</v>
      </c>
      <c r="P121" s="569">
        <v>199992.66</v>
      </c>
      <c r="Q121" s="572">
        <f t="shared" si="2"/>
        <v>70000</v>
      </c>
      <c r="R121" s="611">
        <v>70000</v>
      </c>
      <c r="S121" s="568"/>
      <c r="T121" s="568"/>
      <c r="U121" s="568"/>
      <c r="V121" s="611">
        <v>70000</v>
      </c>
      <c r="W121" s="810" t="s">
        <v>696</v>
      </c>
      <c r="X121" s="612"/>
      <c r="Y121" s="613">
        <v>47.8</v>
      </c>
      <c r="Z121" s="611">
        <v>70000</v>
      </c>
      <c r="AA121" s="611">
        <v>70000</v>
      </c>
      <c r="AB121" s="573"/>
      <c r="AC121" s="573"/>
      <c r="AD121" s="573"/>
      <c r="AE121" s="573">
        <v>41471</v>
      </c>
      <c r="AF121" s="573">
        <v>0</v>
      </c>
      <c r="AG121" s="573"/>
      <c r="AH121" s="574"/>
      <c r="AI121" s="575">
        <v>1</v>
      </c>
      <c r="AJ121" s="558" t="s">
        <v>594</v>
      </c>
      <c r="AK121" s="576"/>
      <c r="AL121" s="576"/>
      <c r="AM121" s="434"/>
      <c r="AN121" s="434"/>
      <c r="AO121" s="434"/>
      <c r="AP121" s="434"/>
      <c r="AQ121" s="434"/>
      <c r="AR121" s="434"/>
      <c r="AS121" s="434"/>
      <c r="AT121" s="434"/>
      <c r="AU121" s="434"/>
      <c r="AV121" s="434"/>
      <c r="AW121" s="434"/>
      <c r="AX121" s="434"/>
      <c r="AY121" s="434"/>
      <c r="AZ121" s="434"/>
      <c r="BA121" s="434"/>
      <c r="BB121" s="434"/>
      <c r="BC121" s="434"/>
      <c r="BD121" s="434"/>
      <c r="BE121" s="434"/>
      <c r="BF121" s="434"/>
    </row>
    <row r="122" spans="1:58" s="578" customFormat="1" ht="12.75" customHeight="1">
      <c r="A122" s="559"/>
      <c r="B122" s="560" t="s">
        <v>661</v>
      </c>
      <c r="C122" s="561" t="s">
        <v>661</v>
      </c>
      <c r="D122" s="562"/>
      <c r="E122" s="763"/>
      <c r="F122" s="764"/>
      <c r="G122" s="668">
        <v>5200000590</v>
      </c>
      <c r="H122" s="765"/>
      <c r="I122" s="765">
        <v>340</v>
      </c>
      <c r="J122" s="768">
        <v>69.5</v>
      </c>
      <c r="K122" s="667"/>
      <c r="L122" s="767"/>
      <c r="M122" s="569"/>
      <c r="N122" s="569"/>
      <c r="O122" s="767"/>
      <c r="P122" s="569"/>
      <c r="Q122" s="572">
        <f t="shared" si="2"/>
        <v>34000</v>
      </c>
      <c r="R122" s="768">
        <v>34000</v>
      </c>
      <c r="S122" s="667"/>
      <c r="T122" s="568"/>
      <c r="U122" s="667"/>
      <c r="V122" s="768">
        <v>10000</v>
      </c>
      <c r="W122" s="811" t="s">
        <v>697</v>
      </c>
      <c r="X122" s="770"/>
      <c r="Y122" s="771"/>
      <c r="Z122" s="768">
        <v>10000</v>
      </c>
      <c r="AA122" s="768">
        <v>10000</v>
      </c>
      <c r="AB122" s="573"/>
      <c r="AC122" s="573"/>
      <c r="AD122" s="573"/>
      <c r="AE122" s="573">
        <v>3319.34</v>
      </c>
      <c r="AF122" s="573">
        <v>0</v>
      </c>
      <c r="AG122" s="573"/>
      <c r="AH122" s="574"/>
      <c r="AI122" s="575">
        <v>1</v>
      </c>
      <c r="AJ122" s="558" t="s">
        <v>594</v>
      </c>
      <c r="AK122" s="576"/>
      <c r="AL122" s="576"/>
      <c r="AM122" s="434"/>
      <c r="AN122" s="434"/>
      <c r="AO122" s="434"/>
      <c r="AP122" s="434"/>
      <c r="AQ122" s="434"/>
      <c r="AR122" s="434"/>
      <c r="AS122" s="434"/>
      <c r="AT122" s="434"/>
      <c r="AU122" s="434"/>
      <c r="AV122" s="434"/>
      <c r="AW122" s="434"/>
      <c r="AX122" s="434"/>
      <c r="AY122" s="434"/>
      <c r="AZ122" s="434"/>
      <c r="BA122" s="434"/>
      <c r="BB122" s="434"/>
      <c r="BC122" s="434"/>
      <c r="BD122" s="434"/>
      <c r="BE122" s="434"/>
      <c r="BF122" s="434"/>
    </row>
    <row r="123" spans="1:58" s="578" customFormat="1" ht="12.75" customHeight="1">
      <c r="A123" s="559"/>
      <c r="B123" s="560" t="s">
        <v>661</v>
      </c>
      <c r="C123" s="561" t="s">
        <v>661</v>
      </c>
      <c r="D123" s="562"/>
      <c r="E123" s="763"/>
      <c r="F123" s="764"/>
      <c r="G123" s="668">
        <v>5200000590</v>
      </c>
      <c r="H123" s="765"/>
      <c r="I123" s="765">
        <v>340</v>
      </c>
      <c r="J123" s="768"/>
      <c r="K123" s="667"/>
      <c r="L123" s="767"/>
      <c r="M123" s="569"/>
      <c r="N123" s="569"/>
      <c r="O123" s="767"/>
      <c r="P123" s="569"/>
      <c r="Q123" s="572">
        <f t="shared" si="2"/>
        <v>803.39</v>
      </c>
      <c r="R123" s="768">
        <v>803.39</v>
      </c>
      <c r="S123" s="568"/>
      <c r="T123" s="568"/>
      <c r="U123" s="568"/>
      <c r="V123" s="768">
        <v>10000</v>
      </c>
      <c r="W123" s="769" t="s">
        <v>698</v>
      </c>
      <c r="X123" s="770"/>
      <c r="Y123" s="771"/>
      <c r="Z123" s="768">
        <v>10000</v>
      </c>
      <c r="AA123" s="768">
        <v>10000</v>
      </c>
      <c r="AB123" s="573"/>
      <c r="AC123" s="573"/>
      <c r="AD123" s="573"/>
      <c r="AE123" s="573">
        <v>166333.11</v>
      </c>
      <c r="AF123" s="573">
        <v>0</v>
      </c>
      <c r="AG123" s="573"/>
      <c r="AH123" s="574"/>
      <c r="AI123" s="575">
        <v>0.831696073245888</v>
      </c>
      <c r="AJ123" s="558" t="s">
        <v>594</v>
      </c>
      <c r="AK123" s="576"/>
      <c r="AL123" s="576"/>
      <c r="AM123" s="434"/>
      <c r="AN123" s="434"/>
      <c r="AO123" s="434"/>
      <c r="AP123" s="434"/>
      <c r="AQ123" s="434"/>
      <c r="AR123" s="434"/>
      <c r="AS123" s="434"/>
      <c r="AT123" s="434"/>
      <c r="AU123" s="434"/>
      <c r="AV123" s="434"/>
      <c r="AW123" s="434"/>
      <c r="AX123" s="434"/>
      <c r="AY123" s="434"/>
      <c r="AZ123" s="434"/>
      <c r="BA123" s="434"/>
      <c r="BB123" s="434"/>
      <c r="BC123" s="434"/>
      <c r="BD123" s="434"/>
      <c r="BE123" s="434"/>
      <c r="BF123" s="434"/>
    </row>
    <row r="124" spans="1:58" s="578" customFormat="1" ht="12.75" customHeight="1">
      <c r="A124" s="559"/>
      <c r="B124" s="762"/>
      <c r="C124" s="579"/>
      <c r="D124" s="562"/>
      <c r="E124" s="763"/>
      <c r="F124" s="764"/>
      <c r="G124" s="668">
        <v>5200000590</v>
      </c>
      <c r="H124" s="765"/>
      <c r="I124" s="765">
        <v>340</v>
      </c>
      <c r="J124" s="768"/>
      <c r="K124" s="667"/>
      <c r="L124" s="767"/>
      <c r="M124" s="569"/>
      <c r="N124" s="569"/>
      <c r="O124" s="767"/>
      <c r="P124" s="569"/>
      <c r="Q124" s="572">
        <f t="shared" si="2"/>
        <v>0</v>
      </c>
      <c r="R124" s="768"/>
      <c r="S124" s="568"/>
      <c r="T124" s="568"/>
      <c r="U124" s="568"/>
      <c r="V124" s="768">
        <f>209976-90000</f>
        <v>119976</v>
      </c>
      <c r="W124" s="769" t="s">
        <v>699</v>
      </c>
      <c r="X124" s="770"/>
      <c r="Y124" s="771"/>
      <c r="Z124" s="768">
        <v>0</v>
      </c>
      <c r="AA124" s="768">
        <v>0</v>
      </c>
      <c r="AB124" s="573"/>
      <c r="AC124" s="573"/>
      <c r="AD124" s="573"/>
      <c r="AE124" s="588"/>
      <c r="AF124" s="589"/>
      <c r="AG124" s="573"/>
      <c r="AH124" s="574"/>
      <c r="AI124" s="590"/>
      <c r="AJ124" s="558"/>
      <c r="AK124" s="576"/>
      <c r="AL124" s="576"/>
      <c r="AM124" s="434"/>
      <c r="AN124" s="434"/>
      <c r="AO124" s="434"/>
      <c r="AP124" s="434"/>
      <c r="AQ124" s="434"/>
      <c r="AR124" s="434"/>
      <c r="AS124" s="434"/>
      <c r="AT124" s="434"/>
      <c r="AU124" s="434"/>
      <c r="AV124" s="434"/>
      <c r="AW124" s="434"/>
      <c r="AX124" s="434"/>
      <c r="AY124" s="434"/>
      <c r="AZ124" s="434"/>
      <c r="BA124" s="434"/>
      <c r="BB124" s="434"/>
      <c r="BC124" s="434"/>
      <c r="BD124" s="434"/>
      <c r="BE124" s="434"/>
      <c r="BF124" s="434"/>
    </row>
    <row r="125" spans="1:58" s="578" customFormat="1" ht="12.75" customHeight="1">
      <c r="A125" s="559"/>
      <c r="B125" s="762"/>
      <c r="C125" s="579"/>
      <c r="D125" s="788" t="s">
        <v>700</v>
      </c>
      <c r="E125" s="812"/>
      <c r="F125" s="813"/>
      <c r="G125" s="668"/>
      <c r="H125" s="814"/>
      <c r="I125" s="814"/>
      <c r="J125" s="815"/>
      <c r="K125" s="587"/>
      <c r="L125" s="582"/>
      <c r="M125" s="583"/>
      <c r="N125" s="583"/>
      <c r="O125" s="582"/>
      <c r="P125" s="583"/>
      <c r="Q125" s="584">
        <f>R125+S125+T125+U125</f>
        <v>104803.39</v>
      </c>
      <c r="R125" s="681">
        <f>R121+R122+R123+R124</f>
        <v>104803.39</v>
      </c>
      <c r="S125" s="681">
        <f>S121+S122+S123+S124</f>
        <v>0</v>
      </c>
      <c r="T125" s="681">
        <f>T121+T122+T123+T124</f>
        <v>0</v>
      </c>
      <c r="U125" s="681">
        <f>U121+U122+U123+U124</f>
        <v>0</v>
      </c>
      <c r="V125" s="681">
        <f>SUM(V120:V124)</f>
        <v>209976</v>
      </c>
      <c r="W125" s="682"/>
      <c r="X125" s="816">
        <v>139206.62</v>
      </c>
      <c r="Y125" s="684" t="s">
        <v>701</v>
      </c>
      <c r="Z125" s="681">
        <f>SUM(Z120:Z124)</f>
        <v>90000</v>
      </c>
      <c r="AA125" s="681">
        <f>SUM(AA120:AA124)</f>
        <v>90000</v>
      </c>
      <c r="AB125" s="573"/>
      <c r="AC125" s="573"/>
      <c r="AD125" s="573"/>
      <c r="AE125" s="588"/>
      <c r="AF125" s="589"/>
      <c r="AG125" s="573"/>
      <c r="AH125" s="574"/>
      <c r="AI125" s="590"/>
      <c r="AJ125" s="558"/>
      <c r="AK125" s="576"/>
      <c r="AL125" s="576"/>
      <c r="AM125" s="434"/>
      <c r="AN125" s="434"/>
      <c r="AO125" s="434"/>
      <c r="AP125" s="434"/>
      <c r="AQ125" s="434"/>
      <c r="AR125" s="434"/>
      <c r="AS125" s="434"/>
      <c r="AT125" s="434"/>
      <c r="AU125" s="434"/>
      <c r="AV125" s="434"/>
      <c r="AW125" s="434"/>
      <c r="AX125" s="434"/>
      <c r="AY125" s="434"/>
      <c r="AZ125" s="434"/>
      <c r="BA125" s="434"/>
      <c r="BB125" s="434"/>
      <c r="BC125" s="434"/>
      <c r="BD125" s="434"/>
      <c r="BE125" s="434"/>
      <c r="BF125" s="434"/>
    </row>
    <row r="126" spans="1:58" s="578" customFormat="1" ht="12.75" customHeight="1">
      <c r="A126" s="559"/>
      <c r="B126" s="762"/>
      <c r="C126" s="579"/>
      <c r="D126" s="562"/>
      <c r="E126" s="763"/>
      <c r="F126" s="764"/>
      <c r="G126" s="668"/>
      <c r="H126" s="765"/>
      <c r="I126" s="765"/>
      <c r="J126" s="766"/>
      <c r="K126" s="667"/>
      <c r="L126" s="767"/>
      <c r="M126" s="569"/>
      <c r="N126" s="569"/>
      <c r="O126" s="767"/>
      <c r="P126" s="569"/>
      <c r="Q126" s="572">
        <f t="shared" si="2"/>
        <v>0</v>
      </c>
      <c r="R126" s="568"/>
      <c r="S126" s="568"/>
      <c r="T126" s="568"/>
      <c r="U126" s="568"/>
      <c r="V126" s="768"/>
      <c r="W126" s="769"/>
      <c r="X126" s="770"/>
      <c r="Y126" s="817">
        <f>Y123+Y116+Y97+Y86+Y81+Y110+Y79+Y72+Y68+Y117</f>
        <v>0</v>
      </c>
      <c r="Z126" s="768"/>
      <c r="AA126" s="768"/>
      <c r="AB126" s="573"/>
      <c r="AC126" s="573"/>
      <c r="AD126" s="573"/>
      <c r="AE126" s="588"/>
      <c r="AF126" s="589"/>
      <c r="AG126" s="573"/>
      <c r="AH126" s="574"/>
      <c r="AI126" s="590"/>
      <c r="AJ126" s="558"/>
      <c r="AK126" s="576"/>
      <c r="AL126" s="576"/>
      <c r="AM126" s="434"/>
      <c r="AN126" s="434"/>
      <c r="AO126" s="434"/>
      <c r="AP126" s="434"/>
      <c r="AQ126" s="434"/>
      <c r="AR126" s="434"/>
      <c r="AS126" s="434"/>
      <c r="AT126" s="434"/>
      <c r="AU126" s="434"/>
      <c r="AV126" s="434"/>
      <c r="AW126" s="434"/>
      <c r="AX126" s="434"/>
      <c r="AY126" s="434"/>
      <c r="AZ126" s="434"/>
      <c r="BA126" s="434"/>
      <c r="BB126" s="434"/>
      <c r="BC126" s="434"/>
      <c r="BD126" s="434"/>
      <c r="BE126" s="434"/>
      <c r="BF126" s="434"/>
    </row>
    <row r="127" spans="1:58" s="786" customFormat="1" ht="12.75" customHeight="1">
      <c r="A127" s="772"/>
      <c r="B127" s="579"/>
      <c r="C127" s="579"/>
      <c r="D127" s="788" t="s">
        <v>700</v>
      </c>
      <c r="E127" s="812"/>
      <c r="F127" s="813"/>
      <c r="G127" s="668"/>
      <c r="H127" s="814"/>
      <c r="I127" s="814"/>
      <c r="J127" s="815" t="s">
        <v>702</v>
      </c>
      <c r="K127" s="587"/>
      <c r="L127" s="582"/>
      <c r="M127" s="583"/>
      <c r="N127" s="583"/>
      <c r="O127" s="582"/>
      <c r="P127" s="583"/>
      <c r="Q127" s="572"/>
      <c r="R127" s="681"/>
      <c r="S127" s="681"/>
      <c r="T127" s="681"/>
      <c r="U127" s="681"/>
      <c r="V127" s="681">
        <f>V88+V99+V113+V117+V119+V125</f>
        <v>1295792.55</v>
      </c>
      <c r="W127" s="681">
        <f>V127+V128</f>
        <v>1312792.55</v>
      </c>
      <c r="X127" s="816">
        <f>X88+X99+X113+X117+X119+X125</f>
        <v>483276.32999999996</v>
      </c>
      <c r="Y127" s="582"/>
      <c r="Z127" s="681">
        <f>Z88+Z99+Z113+Z117+Z119+Z125</f>
        <v>899980</v>
      </c>
      <c r="AA127" s="681">
        <f>AA88+AA99+AA113+AA117+AA119+AA125</f>
        <v>913280</v>
      </c>
      <c r="AB127" s="582"/>
      <c r="AC127" s="583"/>
      <c r="AD127" s="572"/>
      <c r="AE127" s="681"/>
      <c r="AF127" s="681"/>
      <c r="AG127" s="681"/>
      <c r="AH127" s="681"/>
      <c r="AI127" s="681">
        <f>AI88+AI99+AI113+AI117+AI119+AI125</f>
        <v>0.020820348837209304</v>
      </c>
      <c r="AJ127" s="783"/>
      <c r="AK127" s="784"/>
      <c r="AL127" s="784"/>
      <c r="AM127" s="785"/>
      <c r="AN127" s="785"/>
      <c r="AO127" s="785"/>
      <c r="AP127" s="785"/>
      <c r="AQ127" s="785"/>
      <c r="AR127" s="785"/>
      <c r="AS127" s="785"/>
      <c r="AT127" s="785"/>
      <c r="AU127" s="785"/>
      <c r="AV127" s="785"/>
      <c r="AW127" s="785"/>
      <c r="AX127" s="785"/>
      <c r="AY127" s="785"/>
      <c r="AZ127" s="785"/>
      <c r="BA127" s="785"/>
      <c r="BB127" s="785"/>
      <c r="BC127" s="785"/>
      <c r="BD127" s="785"/>
      <c r="BE127" s="785"/>
      <c r="BF127" s="785"/>
    </row>
    <row r="128" spans="1:58" s="786" customFormat="1" ht="12.75" customHeight="1">
      <c r="A128" s="772"/>
      <c r="B128" s="579"/>
      <c r="C128" s="580"/>
      <c r="D128" s="818"/>
      <c r="E128" s="819"/>
      <c r="F128" s="820"/>
      <c r="G128" s="821"/>
      <c r="H128" s="822"/>
      <c r="I128" s="822"/>
      <c r="J128" s="815" t="s">
        <v>703</v>
      </c>
      <c r="K128" s="823"/>
      <c r="L128" s="824"/>
      <c r="M128" s="825"/>
      <c r="N128" s="825"/>
      <c r="O128" s="824"/>
      <c r="P128" s="825"/>
      <c r="Q128" s="826"/>
      <c r="R128" s="817"/>
      <c r="S128" s="817"/>
      <c r="T128" s="817"/>
      <c r="U128" s="817"/>
      <c r="V128" s="817">
        <f>V114+V116+V115</f>
        <v>17000</v>
      </c>
      <c r="W128" s="817"/>
      <c r="X128" s="827"/>
      <c r="Y128" s="824"/>
      <c r="Z128" s="817"/>
      <c r="AA128" s="817"/>
      <c r="AB128" s="828"/>
      <c r="AC128" s="828"/>
      <c r="AD128" s="570"/>
      <c r="AE128" s="829"/>
      <c r="AF128" s="829"/>
      <c r="AG128" s="829"/>
      <c r="AH128" s="829"/>
      <c r="AI128" s="829"/>
      <c r="AJ128" s="783"/>
      <c r="AK128" s="784"/>
      <c r="AL128" s="784"/>
      <c r="AM128" s="785"/>
      <c r="AN128" s="785"/>
      <c r="AO128" s="785"/>
      <c r="AP128" s="785"/>
      <c r="AQ128" s="785"/>
      <c r="AR128" s="785"/>
      <c r="AS128" s="785"/>
      <c r="AT128" s="785"/>
      <c r="AU128" s="785"/>
      <c r="AV128" s="785"/>
      <c r="AW128" s="785"/>
      <c r="AX128" s="785"/>
      <c r="AY128" s="785"/>
      <c r="AZ128" s="785"/>
      <c r="BA128" s="785"/>
      <c r="BB128" s="785"/>
      <c r="BC128" s="785"/>
      <c r="BD128" s="785"/>
      <c r="BE128" s="785"/>
      <c r="BF128" s="785"/>
    </row>
    <row r="129" spans="1:58" s="578" customFormat="1" ht="12.75" customHeight="1" thickBot="1">
      <c r="A129" s="559"/>
      <c r="B129" s="1274" t="s">
        <v>613</v>
      </c>
      <c r="C129" s="1279"/>
      <c r="D129" s="1302"/>
      <c r="E129" s="1302"/>
      <c r="F129" s="1302"/>
      <c r="G129" s="1302"/>
      <c r="H129" s="1302"/>
      <c r="I129" s="1302"/>
      <c r="J129" s="1302"/>
      <c r="K129" s="1303"/>
      <c r="L129" s="824">
        <v>554000</v>
      </c>
      <c r="M129" s="825">
        <v>230600</v>
      </c>
      <c r="N129" s="825">
        <v>181395.45</v>
      </c>
      <c r="O129" s="824">
        <v>116640</v>
      </c>
      <c r="P129" s="825">
        <v>1082635.45</v>
      </c>
      <c r="Q129" s="830">
        <f>R129+S129+T129+U129</f>
        <v>797983.39</v>
      </c>
      <c r="R129" s="817">
        <f>R125+R118+R99+R88+R83+R113</f>
        <v>649023.39</v>
      </c>
      <c r="S129" s="817">
        <f>S125+S118+S99+S88+S83+S113</f>
        <v>58820</v>
      </c>
      <c r="T129" s="817">
        <f>T125+T118+T99+T88+T83+T113</f>
        <v>42820</v>
      </c>
      <c r="U129" s="817">
        <f>U125+U118+U99+U88+U83+U113</f>
        <v>47320</v>
      </c>
      <c r="V129" s="817">
        <f>V125+V118+V99+V88+V83+V113+V81+V74+V70+V119</f>
        <v>5418689.55</v>
      </c>
      <c r="W129" s="831"/>
      <c r="X129" s="832">
        <f>X125+X118+X99+X88+X83+X113+X81+X74+X70+X119</f>
        <v>914074.6299999999</v>
      </c>
      <c r="Y129" s="833">
        <f>V129+X129</f>
        <v>6332764.18</v>
      </c>
      <c r="Z129" s="817">
        <f>Z125+Z118+Z99+Z88+Z83+Z113+Z81+Z74+Z70+Z119</f>
        <v>4754359.9</v>
      </c>
      <c r="AA129" s="817">
        <f>AA125+AA118+AA99+AA88+AA83+AA113+AA81+AA74+AA70+AA119</f>
        <v>2778056</v>
      </c>
      <c r="AB129" s="1281"/>
      <c r="AC129" s="1282"/>
      <c r="AD129" s="1283"/>
      <c r="AE129" s="588">
        <v>696167.33</v>
      </c>
      <c r="AF129" s="589">
        <v>1000</v>
      </c>
      <c r="AG129" s="1281"/>
      <c r="AH129" s="1283"/>
      <c r="AI129" s="590">
        <v>0.6421065650492048</v>
      </c>
      <c r="AJ129" s="558" t="s">
        <v>594</v>
      </c>
      <c r="AK129" s="576"/>
      <c r="AL129" s="576"/>
      <c r="AM129" s="577">
        <f>V129+X129</f>
        <v>6332764.18</v>
      </c>
      <c r="AN129" s="434"/>
      <c r="AO129" s="434"/>
      <c r="AP129" s="434"/>
      <c r="AQ129" s="434"/>
      <c r="AR129" s="434"/>
      <c r="AS129" s="434"/>
      <c r="AT129" s="434"/>
      <c r="AU129" s="434"/>
      <c r="AV129" s="434"/>
      <c r="AW129" s="434"/>
      <c r="AX129" s="434"/>
      <c r="AY129" s="434"/>
      <c r="AZ129" s="434"/>
      <c r="BA129" s="434"/>
      <c r="BB129" s="434"/>
      <c r="BC129" s="434"/>
      <c r="BD129" s="434"/>
      <c r="BE129" s="434"/>
      <c r="BF129" s="434"/>
    </row>
    <row r="130" spans="1:58" s="578" customFormat="1" ht="12.75" customHeight="1" thickBot="1">
      <c r="A130" s="559"/>
      <c r="B130" s="579"/>
      <c r="C130" s="580"/>
      <c r="D130" s="1304" t="s">
        <v>633</v>
      </c>
      <c r="E130" s="1305"/>
      <c r="F130" s="1305"/>
      <c r="G130" s="1305"/>
      <c r="H130" s="1305"/>
      <c r="I130" s="1305"/>
      <c r="J130" s="1305"/>
      <c r="K130" s="1305"/>
      <c r="L130" s="1305"/>
      <c r="M130" s="1305"/>
      <c r="N130" s="1305"/>
      <c r="O130" s="1305"/>
      <c r="P130" s="1305"/>
      <c r="Q130" s="1305"/>
      <c r="R130" s="1305"/>
      <c r="S130" s="1305"/>
      <c r="T130" s="1305"/>
      <c r="U130" s="1305"/>
      <c r="V130" s="1305"/>
      <c r="W130" s="1305"/>
      <c r="X130" s="1305"/>
      <c r="Y130" s="1305"/>
      <c r="Z130" s="1305"/>
      <c r="AA130" s="1306"/>
      <c r="AB130" s="587"/>
      <c r="AC130" s="587"/>
      <c r="AD130" s="587"/>
      <c r="AE130" s="667"/>
      <c r="AF130" s="667"/>
      <c r="AG130" s="587"/>
      <c r="AH130" s="587"/>
      <c r="AI130" s="590"/>
      <c r="AJ130" s="558"/>
      <c r="AK130" s="576"/>
      <c r="AL130" s="576"/>
      <c r="AM130" s="434"/>
      <c r="AN130" s="434"/>
      <c r="AO130" s="434"/>
      <c r="AP130" s="434"/>
      <c r="AQ130" s="434"/>
      <c r="AR130" s="434"/>
      <c r="AS130" s="434"/>
      <c r="AT130" s="434"/>
      <c r="AU130" s="434"/>
      <c r="AV130" s="434"/>
      <c r="AW130" s="434"/>
      <c r="AX130" s="434"/>
      <c r="AY130" s="434"/>
      <c r="AZ130" s="434"/>
      <c r="BA130" s="434"/>
      <c r="BB130" s="434"/>
      <c r="BC130" s="434"/>
      <c r="BD130" s="434"/>
      <c r="BE130" s="434"/>
      <c r="BF130" s="434"/>
    </row>
    <row r="131" spans="1:58" s="578" customFormat="1" ht="12.75" customHeight="1">
      <c r="A131" s="559"/>
      <c r="B131" s="1274" t="s">
        <v>704</v>
      </c>
      <c r="C131" s="1279"/>
      <c r="D131" s="1285"/>
      <c r="E131" s="1285"/>
      <c r="F131" s="1285"/>
      <c r="G131" s="1285"/>
      <c r="H131" s="1285"/>
      <c r="I131" s="1285"/>
      <c r="J131" s="1285"/>
      <c r="K131" s="1285"/>
      <c r="L131" s="1285"/>
      <c r="M131" s="1285"/>
      <c r="N131" s="1285"/>
      <c r="O131" s="1285"/>
      <c r="P131" s="1285"/>
      <c r="Q131" s="1285"/>
      <c r="R131" s="1285"/>
      <c r="S131" s="1285"/>
      <c r="T131" s="1285"/>
      <c r="U131" s="1285"/>
      <c r="V131" s="1285"/>
      <c r="W131" s="1285"/>
      <c r="X131" s="1285"/>
      <c r="Y131" s="1285"/>
      <c r="Z131" s="1285"/>
      <c r="AA131" s="1285"/>
      <c r="AB131" s="1279"/>
      <c r="AC131" s="1279"/>
      <c r="AD131" s="1279"/>
      <c r="AE131" s="1279"/>
      <c r="AF131" s="1279"/>
      <c r="AG131" s="1279"/>
      <c r="AH131" s="1279"/>
      <c r="AI131" s="1301"/>
      <c r="AJ131" s="558" t="s">
        <v>594</v>
      </c>
      <c r="AK131" s="576"/>
      <c r="AL131" s="576"/>
      <c r="AM131" s="434"/>
      <c r="AN131" s="434"/>
      <c r="AO131" s="434"/>
      <c r="AP131" s="434"/>
      <c r="AQ131" s="434"/>
      <c r="AR131" s="434"/>
      <c r="AS131" s="434"/>
      <c r="AT131" s="434"/>
      <c r="AU131" s="434"/>
      <c r="AV131" s="434"/>
      <c r="AW131" s="434"/>
      <c r="AX131" s="434"/>
      <c r="AY131" s="434"/>
      <c r="AZ131" s="434"/>
      <c r="BA131" s="434"/>
      <c r="BB131" s="434"/>
      <c r="BC131" s="434"/>
      <c r="BD131" s="434"/>
      <c r="BE131" s="434"/>
      <c r="BF131" s="434"/>
    </row>
    <row r="132" spans="1:58" s="578" customFormat="1" ht="12.75" customHeight="1">
      <c r="A132" s="559"/>
      <c r="B132" s="560" t="s">
        <v>704</v>
      </c>
      <c r="C132" s="561" t="s">
        <v>704</v>
      </c>
      <c r="D132" s="562">
        <v>656510012</v>
      </c>
      <c r="E132" s="563">
        <v>113</v>
      </c>
      <c r="F132" s="564">
        <v>656</v>
      </c>
      <c r="G132" s="668">
        <v>5100999</v>
      </c>
      <c r="H132" s="566" t="s">
        <v>636</v>
      </c>
      <c r="I132" s="566">
        <v>290</v>
      </c>
      <c r="J132" s="567">
        <v>292</v>
      </c>
      <c r="K132" s="568"/>
      <c r="L132" s="569">
        <v>0</v>
      </c>
      <c r="M132" s="569">
        <v>0</v>
      </c>
      <c r="N132" s="569">
        <v>0</v>
      </c>
      <c r="O132" s="569">
        <v>0</v>
      </c>
      <c r="P132" s="569">
        <v>0</v>
      </c>
      <c r="Q132" s="572"/>
      <c r="R132" s="568">
        <v>0</v>
      </c>
      <c r="S132" s="568">
        <v>0</v>
      </c>
      <c r="T132" s="568">
        <v>0</v>
      </c>
      <c r="U132" s="568">
        <v>0</v>
      </c>
      <c r="V132" s="611">
        <v>0</v>
      </c>
      <c r="W132" s="568">
        <v>0</v>
      </c>
      <c r="X132" s="612"/>
      <c r="Y132" s="613"/>
      <c r="Z132" s="835">
        <v>650000</v>
      </c>
      <c r="AA132" s="836">
        <f>1326000+12000</f>
        <v>1338000</v>
      </c>
      <c r="AB132" s="573"/>
      <c r="AC132" s="573"/>
      <c r="AD132" s="573"/>
      <c r="AE132" s="573">
        <v>0</v>
      </c>
      <c r="AF132" s="573">
        <v>0</v>
      </c>
      <c r="AG132" s="573"/>
      <c r="AH132" s="574"/>
      <c r="AI132" s="575"/>
      <c r="AJ132" s="558" t="s">
        <v>594</v>
      </c>
      <c r="AK132" s="576"/>
      <c r="AL132" s="576"/>
      <c r="AM132" s="577">
        <f>(Z428-Z210-Z213-Z270-Z142-Z152-Z157)*2.5%</f>
        <v>648825.7142500001</v>
      </c>
      <c r="AN132" s="577">
        <f>AA428-AA270</f>
        <v>26743760</v>
      </c>
      <c r="AO132" s="434"/>
      <c r="AP132" s="434"/>
      <c r="AQ132" s="434"/>
      <c r="AR132" s="434"/>
      <c r="AS132" s="434"/>
      <c r="AT132" s="434"/>
      <c r="AU132" s="434"/>
      <c r="AV132" s="434"/>
      <c r="AW132" s="434"/>
      <c r="AX132" s="434"/>
      <c r="AY132" s="434"/>
      <c r="AZ132" s="434"/>
      <c r="BA132" s="434"/>
      <c r="BB132" s="434"/>
      <c r="BC132" s="434"/>
      <c r="BD132" s="434"/>
      <c r="BE132" s="434"/>
      <c r="BF132" s="434"/>
    </row>
    <row r="133" spans="1:58" s="578" customFormat="1" ht="12.75" customHeight="1">
      <c r="A133" s="559"/>
      <c r="B133" s="1274" t="s">
        <v>613</v>
      </c>
      <c r="C133" s="1279"/>
      <c r="D133" s="1279"/>
      <c r="E133" s="1279"/>
      <c r="F133" s="1279"/>
      <c r="G133" s="1279"/>
      <c r="H133" s="1279"/>
      <c r="I133" s="1279"/>
      <c r="J133" s="1279"/>
      <c r="K133" s="1280"/>
      <c r="L133" s="582">
        <v>0</v>
      </c>
      <c r="M133" s="583">
        <v>0</v>
      </c>
      <c r="N133" s="583">
        <v>0</v>
      </c>
      <c r="O133" s="582">
        <v>0</v>
      </c>
      <c r="P133" s="583">
        <v>0</v>
      </c>
      <c r="Q133" s="570"/>
      <c r="R133" s="680">
        <v>0</v>
      </c>
      <c r="S133" s="667">
        <v>0</v>
      </c>
      <c r="T133" s="680">
        <v>0</v>
      </c>
      <c r="U133" s="667">
        <v>0</v>
      </c>
      <c r="V133" s="681">
        <v>0</v>
      </c>
      <c r="W133" s="682">
        <v>0</v>
      </c>
      <c r="X133" s="683"/>
      <c r="Y133" s="684"/>
      <c r="Z133" s="837">
        <f>Z132</f>
        <v>650000</v>
      </c>
      <c r="AA133" s="838">
        <f>AA132</f>
        <v>1338000</v>
      </c>
      <c r="AB133" s="1281"/>
      <c r="AC133" s="1282"/>
      <c r="AD133" s="1283"/>
      <c r="AE133" s="588">
        <v>0</v>
      </c>
      <c r="AF133" s="589">
        <v>0</v>
      </c>
      <c r="AG133" s="1281"/>
      <c r="AH133" s="1283"/>
      <c r="AI133" s="590"/>
      <c r="AJ133" s="558" t="s">
        <v>594</v>
      </c>
      <c r="AK133" s="576"/>
      <c r="AL133" s="576"/>
      <c r="AM133" s="434"/>
      <c r="AN133" s="479">
        <f>AN132*5%</f>
        <v>1337188</v>
      </c>
      <c r="AO133" s="434"/>
      <c r="AP133" s="434"/>
      <c r="AQ133" s="434"/>
      <c r="AR133" s="434"/>
      <c r="AS133" s="434"/>
      <c r="AT133" s="434"/>
      <c r="AU133" s="434"/>
      <c r="AV133" s="434"/>
      <c r="AW133" s="434"/>
      <c r="AX133" s="434"/>
      <c r="AY133" s="434"/>
      <c r="AZ133" s="434"/>
      <c r="BA133" s="434"/>
      <c r="BB133" s="434"/>
      <c r="BC133" s="434"/>
      <c r="BD133" s="434"/>
      <c r="BE133" s="434"/>
      <c r="BF133" s="434"/>
    </row>
    <row r="134" ht="0.75" customHeight="1"/>
    <row r="135" ht="12.75" customHeight="1" hidden="1"/>
    <row r="136" spans="1:38" ht="0.75" customHeight="1">
      <c r="A136" s="557"/>
      <c r="B136" s="1274" t="s">
        <v>613</v>
      </c>
      <c r="C136" s="1279"/>
      <c r="D136" s="1279"/>
      <c r="E136" s="1279"/>
      <c r="F136" s="1279"/>
      <c r="G136" s="1279"/>
      <c r="H136" s="1279"/>
      <c r="I136" s="1279"/>
      <c r="J136" s="1279"/>
      <c r="K136" s="1280"/>
      <c r="L136" s="845">
        <v>0</v>
      </c>
      <c r="M136" s="608">
        <v>0</v>
      </c>
      <c r="N136" s="608">
        <v>0</v>
      </c>
      <c r="O136" s="845">
        <v>0</v>
      </c>
      <c r="P136" s="608">
        <v>0</v>
      </c>
      <c r="Q136" s="570"/>
      <c r="R136" s="846"/>
      <c r="S136" s="847">
        <v>0</v>
      </c>
      <c r="T136" s="846">
        <v>0</v>
      </c>
      <c r="U136" s="847">
        <v>0</v>
      </c>
      <c r="V136" s="848">
        <v>0</v>
      </c>
      <c r="W136" s="849">
        <v>0</v>
      </c>
      <c r="X136" s="683"/>
      <c r="Y136" s="850"/>
      <c r="Z136" s="849">
        <v>0</v>
      </c>
      <c r="AA136" s="851">
        <v>0</v>
      </c>
      <c r="AB136" s="1281"/>
      <c r="AC136" s="1282"/>
      <c r="AD136" s="1283"/>
      <c r="AE136" s="588">
        <v>0</v>
      </c>
      <c r="AF136" s="589">
        <v>0</v>
      </c>
      <c r="AG136" s="1281"/>
      <c r="AH136" s="1283"/>
      <c r="AI136" s="590"/>
      <c r="AJ136" s="558" t="s">
        <v>594</v>
      </c>
      <c r="AK136" s="426"/>
      <c r="AL136" s="426"/>
    </row>
    <row r="137" spans="1:38" ht="14.25" customHeight="1">
      <c r="A137" s="557"/>
      <c r="B137" s="579"/>
      <c r="C137" s="580"/>
      <c r="D137" s="1340" t="s">
        <v>705</v>
      </c>
      <c r="E137" s="1314"/>
      <c r="F137" s="1314"/>
      <c r="G137" s="1314"/>
      <c r="H137" s="1314"/>
      <c r="I137" s="1314"/>
      <c r="J137" s="1314"/>
      <c r="K137" s="1314"/>
      <c r="L137" s="1314"/>
      <c r="M137" s="1314"/>
      <c r="N137" s="1314"/>
      <c r="O137" s="1314"/>
      <c r="P137" s="1314"/>
      <c r="Q137" s="1314"/>
      <c r="R137" s="1314"/>
      <c r="S137" s="1314"/>
      <c r="T137" s="1314"/>
      <c r="U137" s="1314"/>
      <c r="V137" s="1314"/>
      <c r="W137" s="1314"/>
      <c r="X137" s="1314"/>
      <c r="Y137" s="1314"/>
      <c r="Z137" s="1314"/>
      <c r="AA137" s="1341"/>
      <c r="AB137" s="587"/>
      <c r="AC137" s="587"/>
      <c r="AD137" s="587"/>
      <c r="AE137" s="667"/>
      <c r="AF137" s="667"/>
      <c r="AG137" s="587"/>
      <c r="AH137" s="587"/>
      <c r="AI137" s="590"/>
      <c r="AJ137" s="558"/>
      <c r="AK137" s="426"/>
      <c r="AL137" s="426"/>
    </row>
    <row r="138" spans="1:38" ht="14.25" customHeight="1">
      <c r="A138" s="557"/>
      <c r="B138" s="579"/>
      <c r="C138" s="580"/>
      <c r="D138" s="1290" t="s">
        <v>706</v>
      </c>
      <c r="E138" s="1290"/>
      <c r="F138" s="1290"/>
      <c r="G138" s="1290"/>
      <c r="H138" s="1290"/>
      <c r="I138" s="1290"/>
      <c r="J138" s="1290"/>
      <c r="K138" s="1290"/>
      <c r="L138" s="1290"/>
      <c r="M138" s="1290"/>
      <c r="N138" s="1290"/>
      <c r="O138" s="1290"/>
      <c r="P138" s="1290"/>
      <c r="Q138" s="1290"/>
      <c r="R138" s="1290"/>
      <c r="S138" s="1290"/>
      <c r="T138" s="1290"/>
      <c r="U138" s="1290"/>
      <c r="V138" s="1290"/>
      <c r="W138" s="1290"/>
      <c r="X138" s="1290"/>
      <c r="Y138" s="852"/>
      <c r="Z138" s="853"/>
      <c r="AA138" s="853"/>
      <c r="AB138" s="587"/>
      <c r="AC138" s="587"/>
      <c r="AD138" s="587"/>
      <c r="AE138" s="667"/>
      <c r="AF138" s="667"/>
      <c r="AG138" s="587"/>
      <c r="AH138" s="587"/>
      <c r="AI138" s="590"/>
      <c r="AJ138" s="558"/>
      <c r="AK138" s="426"/>
      <c r="AL138" s="426"/>
    </row>
    <row r="139" spans="1:38" ht="12.75" customHeight="1">
      <c r="A139" s="557"/>
      <c r="B139" s="1274" t="s">
        <v>707</v>
      </c>
      <c r="C139" s="1279"/>
      <c r="D139" s="1279"/>
      <c r="E139" s="1279"/>
      <c r="F139" s="1279"/>
      <c r="G139" s="1279"/>
      <c r="H139" s="1279"/>
      <c r="I139" s="1279"/>
      <c r="J139" s="1279"/>
      <c r="K139" s="1279"/>
      <c r="L139" s="1279"/>
      <c r="M139" s="1279"/>
      <c r="N139" s="1279"/>
      <c r="O139" s="1279"/>
      <c r="P139" s="1279"/>
      <c r="Q139" s="1279"/>
      <c r="R139" s="1279"/>
      <c r="S139" s="1279"/>
      <c r="T139" s="1279"/>
      <c r="U139" s="1279"/>
      <c r="V139" s="1279"/>
      <c r="W139" s="1279"/>
      <c r="X139" s="1279"/>
      <c r="Y139" s="1279"/>
      <c r="Z139" s="1279"/>
      <c r="AA139" s="1279"/>
      <c r="AB139" s="1279"/>
      <c r="AC139" s="1279"/>
      <c r="AD139" s="1279"/>
      <c r="AE139" s="1279"/>
      <c r="AF139" s="1279"/>
      <c r="AG139" s="1279"/>
      <c r="AH139" s="1279"/>
      <c r="AI139" s="1301"/>
      <c r="AJ139" s="558" t="s">
        <v>594</v>
      </c>
      <c r="AK139" s="426"/>
      <c r="AL139" s="426"/>
    </row>
    <row r="140" spans="1:58" s="578" customFormat="1" ht="12.75" customHeight="1">
      <c r="A140" s="559"/>
      <c r="B140" s="560" t="s">
        <v>707</v>
      </c>
      <c r="C140" s="561" t="s">
        <v>707</v>
      </c>
      <c r="D140" s="562">
        <v>656500051</v>
      </c>
      <c r="E140" s="563">
        <v>203</v>
      </c>
      <c r="F140" s="564">
        <v>656</v>
      </c>
      <c r="G140" s="668">
        <v>500005118</v>
      </c>
      <c r="H140" s="566" t="s">
        <v>611</v>
      </c>
      <c r="I140" s="566">
        <v>211</v>
      </c>
      <c r="J140" s="567">
        <v>0</v>
      </c>
      <c r="K140" s="568"/>
      <c r="L140" s="569">
        <v>124000</v>
      </c>
      <c r="M140" s="569">
        <v>0</v>
      </c>
      <c r="N140" s="569">
        <v>0</v>
      </c>
      <c r="O140" s="569">
        <v>0</v>
      </c>
      <c r="P140" s="569">
        <v>124000</v>
      </c>
      <c r="Q140" s="572">
        <f>R140+S140+T140+U140</f>
        <v>118000</v>
      </c>
      <c r="R140" s="611">
        <v>118000</v>
      </c>
      <c r="S140" s="568"/>
      <c r="T140" s="568"/>
      <c r="U140" s="568"/>
      <c r="V140" s="611">
        <v>128500</v>
      </c>
      <c r="W140" s="611" t="s">
        <v>708</v>
      </c>
      <c r="X140" s="612"/>
      <c r="Y140" s="613"/>
      <c r="Z140" s="611">
        <v>128500</v>
      </c>
      <c r="AA140" s="611">
        <v>128500</v>
      </c>
      <c r="AB140" s="573"/>
      <c r="AC140" s="573"/>
      <c r="AD140" s="573"/>
      <c r="AE140" s="573">
        <v>84094.68</v>
      </c>
      <c r="AF140" s="573">
        <v>0</v>
      </c>
      <c r="AG140" s="573"/>
      <c r="AH140" s="574"/>
      <c r="AI140" s="575">
        <v>0.6504608064516127</v>
      </c>
      <c r="AJ140" s="558" t="s">
        <v>594</v>
      </c>
      <c r="AK140" s="576"/>
      <c r="AL140" s="576"/>
      <c r="AM140" s="434"/>
      <c r="AN140" s="434"/>
      <c r="AO140" s="434"/>
      <c r="AP140" s="434"/>
      <c r="AQ140" s="434"/>
      <c r="AR140" s="434"/>
      <c r="AS140" s="434"/>
      <c r="AT140" s="434"/>
      <c r="AU140" s="434"/>
      <c r="AV140" s="434"/>
      <c r="AW140" s="434"/>
      <c r="AX140" s="434"/>
      <c r="AY140" s="434"/>
      <c r="AZ140" s="434"/>
      <c r="BA140" s="434"/>
      <c r="BB140" s="434"/>
      <c r="BC140" s="434"/>
      <c r="BD140" s="434"/>
      <c r="BE140" s="434"/>
      <c r="BF140" s="434"/>
    </row>
    <row r="141" spans="1:58" s="578" customFormat="1" ht="12.75" customHeight="1">
      <c r="A141" s="559"/>
      <c r="B141" s="560" t="s">
        <v>707</v>
      </c>
      <c r="C141" s="561" t="s">
        <v>707</v>
      </c>
      <c r="D141" s="562">
        <v>656500051</v>
      </c>
      <c r="E141" s="563">
        <v>203</v>
      </c>
      <c r="F141" s="564">
        <v>656</v>
      </c>
      <c r="G141" s="668">
        <v>500005118</v>
      </c>
      <c r="H141" s="566" t="s">
        <v>611</v>
      </c>
      <c r="I141" s="566">
        <v>213</v>
      </c>
      <c r="J141" s="567">
        <v>0</v>
      </c>
      <c r="K141" s="568"/>
      <c r="L141" s="569">
        <v>38000</v>
      </c>
      <c r="M141" s="569">
        <v>0</v>
      </c>
      <c r="N141" s="569">
        <v>0</v>
      </c>
      <c r="O141" s="569">
        <v>0</v>
      </c>
      <c r="P141" s="569">
        <v>38000</v>
      </c>
      <c r="Q141" s="572">
        <f>R141+S141+T141+U141</f>
        <v>35600</v>
      </c>
      <c r="R141" s="611">
        <v>35600</v>
      </c>
      <c r="S141" s="568"/>
      <c r="T141" s="568"/>
      <c r="U141" s="568"/>
      <c r="V141" s="611">
        <v>38700</v>
      </c>
      <c r="W141" s="611" t="s">
        <v>709</v>
      </c>
      <c r="X141" s="612"/>
      <c r="Y141" s="613"/>
      <c r="Z141" s="611">
        <v>38700</v>
      </c>
      <c r="AA141" s="611">
        <v>38700</v>
      </c>
      <c r="AB141" s="573"/>
      <c r="AC141" s="573"/>
      <c r="AD141" s="573"/>
      <c r="AE141" s="573">
        <v>28128.94</v>
      </c>
      <c r="AF141" s="573">
        <v>0</v>
      </c>
      <c r="AG141" s="573"/>
      <c r="AH141" s="574"/>
      <c r="AI141" s="575">
        <v>0.639921052631579</v>
      </c>
      <c r="AJ141" s="558" t="s">
        <v>594</v>
      </c>
      <c r="AK141" s="576"/>
      <c r="AL141" s="576"/>
      <c r="AM141" s="434"/>
      <c r="AN141" s="434"/>
      <c r="AO141" s="434"/>
      <c r="AP141" s="434"/>
      <c r="AQ141" s="434"/>
      <c r="AR141" s="434"/>
      <c r="AS141" s="434"/>
      <c r="AT141" s="434"/>
      <c r="AU141" s="434"/>
      <c r="AV141" s="434"/>
      <c r="AW141" s="434"/>
      <c r="AX141" s="434"/>
      <c r="AY141" s="434"/>
      <c r="AZ141" s="434"/>
      <c r="BA141" s="434"/>
      <c r="BB141" s="434"/>
      <c r="BC141" s="434"/>
      <c r="BD141" s="434"/>
      <c r="BE141" s="434"/>
      <c r="BF141" s="434"/>
    </row>
    <row r="142" spans="1:58" s="578" customFormat="1" ht="12.75" customHeight="1">
      <c r="A142" s="559"/>
      <c r="B142" s="1274" t="s">
        <v>613</v>
      </c>
      <c r="C142" s="1279"/>
      <c r="D142" s="1279"/>
      <c r="E142" s="1279"/>
      <c r="F142" s="1279"/>
      <c r="G142" s="1279"/>
      <c r="H142" s="1279"/>
      <c r="I142" s="1279"/>
      <c r="J142" s="1279"/>
      <c r="K142" s="1280"/>
      <c r="L142" s="582">
        <v>162000</v>
      </c>
      <c r="M142" s="583">
        <v>0</v>
      </c>
      <c r="N142" s="583">
        <v>0</v>
      </c>
      <c r="O142" s="582">
        <v>0</v>
      </c>
      <c r="P142" s="583">
        <v>162000</v>
      </c>
      <c r="Q142" s="756">
        <f>R142+S142+T142+U142</f>
        <v>153600</v>
      </c>
      <c r="R142" s="681">
        <f>R140+R141</f>
        <v>153600</v>
      </c>
      <c r="S142" s="667"/>
      <c r="T142" s="680"/>
      <c r="U142" s="667"/>
      <c r="V142" s="681">
        <f>V140+V141</f>
        <v>167200</v>
      </c>
      <c r="W142" s="681"/>
      <c r="X142" s="683"/>
      <c r="Y142" s="684"/>
      <c r="Z142" s="681">
        <f>Z140+Z141</f>
        <v>167200</v>
      </c>
      <c r="AA142" s="681">
        <f>AA140+AA141</f>
        <v>167200</v>
      </c>
      <c r="AB142" s="1281"/>
      <c r="AC142" s="1282"/>
      <c r="AD142" s="1283"/>
      <c r="AE142" s="588">
        <v>112223.62</v>
      </c>
      <c r="AF142" s="589">
        <v>0</v>
      </c>
      <c r="AG142" s="1281"/>
      <c r="AH142" s="1283"/>
      <c r="AI142" s="590">
        <v>0.6479885185185185</v>
      </c>
      <c r="AJ142" s="558" t="s">
        <v>594</v>
      </c>
      <c r="AK142" s="576"/>
      <c r="AL142" s="576"/>
      <c r="AM142" s="577"/>
      <c r="AN142" s="434"/>
      <c r="AO142" s="434"/>
      <c r="AP142" s="434"/>
      <c r="AQ142" s="434"/>
      <c r="AR142" s="434"/>
      <c r="AS142" s="434"/>
      <c r="AT142" s="434"/>
      <c r="AU142" s="434"/>
      <c r="AV142" s="434"/>
      <c r="AW142" s="434"/>
      <c r="AX142" s="434"/>
      <c r="AY142" s="434"/>
      <c r="AZ142" s="434"/>
      <c r="BA142" s="434"/>
      <c r="BB142" s="434"/>
      <c r="BC142" s="434"/>
      <c r="BD142" s="434"/>
      <c r="BE142" s="434"/>
      <c r="BF142" s="434"/>
    </row>
    <row r="143" spans="1:58" s="578" customFormat="1" ht="24.75" customHeight="1">
      <c r="A143" s="559"/>
      <c r="B143" s="1274" t="s">
        <v>710</v>
      </c>
      <c r="C143" s="1279"/>
      <c r="D143" s="1279"/>
      <c r="E143" s="1279"/>
      <c r="F143" s="1279"/>
      <c r="G143" s="1279"/>
      <c r="H143" s="1279"/>
      <c r="I143" s="1279"/>
      <c r="J143" s="1279"/>
      <c r="K143" s="1279"/>
      <c r="L143" s="1279"/>
      <c r="M143" s="1279"/>
      <c r="N143" s="1279"/>
      <c r="O143" s="1279"/>
      <c r="P143" s="1279"/>
      <c r="Q143" s="1279"/>
      <c r="R143" s="1279"/>
      <c r="S143" s="1279"/>
      <c r="T143" s="1279"/>
      <c r="U143" s="1279"/>
      <c r="V143" s="1279"/>
      <c r="W143" s="1279"/>
      <c r="X143" s="1279"/>
      <c r="Y143" s="1279"/>
      <c r="Z143" s="1279"/>
      <c r="AA143" s="1279"/>
      <c r="AB143" s="1279"/>
      <c r="AC143" s="1279"/>
      <c r="AD143" s="1279"/>
      <c r="AE143" s="1279"/>
      <c r="AF143" s="1279"/>
      <c r="AG143" s="1279"/>
      <c r="AH143" s="1279"/>
      <c r="AI143" s="1301"/>
      <c r="AJ143" s="558" t="s">
        <v>594</v>
      </c>
      <c r="AK143" s="576"/>
      <c r="AL143" s="576"/>
      <c r="AM143" s="434"/>
      <c r="AN143" s="434"/>
      <c r="AO143" s="434"/>
      <c r="AP143" s="434"/>
      <c r="AQ143" s="434"/>
      <c r="AR143" s="434"/>
      <c r="AS143" s="434"/>
      <c r="AT143" s="434"/>
      <c r="AU143" s="434"/>
      <c r="AV143" s="434"/>
      <c r="AW143" s="434"/>
      <c r="AX143" s="434"/>
      <c r="AY143" s="434"/>
      <c r="AZ143" s="434"/>
      <c r="BA143" s="434"/>
      <c r="BB143" s="434"/>
      <c r="BC143" s="434"/>
      <c r="BD143" s="434"/>
      <c r="BE143" s="434"/>
      <c r="BF143" s="434"/>
    </row>
    <row r="144" spans="1:58" s="578" customFormat="1" ht="37.5" customHeight="1">
      <c r="A144" s="559"/>
      <c r="B144" s="560" t="s">
        <v>710</v>
      </c>
      <c r="C144" s="561" t="s">
        <v>710</v>
      </c>
      <c r="D144" s="562">
        <v>656500052</v>
      </c>
      <c r="E144" s="563">
        <v>203</v>
      </c>
      <c r="F144" s="564">
        <v>656</v>
      </c>
      <c r="G144" s="668">
        <v>500005118</v>
      </c>
      <c r="H144" s="566" t="s">
        <v>625</v>
      </c>
      <c r="I144" s="619">
        <v>225</v>
      </c>
      <c r="J144" s="620" t="s">
        <v>711</v>
      </c>
      <c r="K144" s="621"/>
      <c r="L144" s="622">
        <v>0</v>
      </c>
      <c r="M144" s="622">
        <v>0</v>
      </c>
      <c r="N144" s="622">
        <v>0</v>
      </c>
      <c r="O144" s="622">
        <v>0</v>
      </c>
      <c r="P144" s="622">
        <v>0</v>
      </c>
      <c r="Q144" s="854"/>
      <c r="R144" s="855">
        <v>1400</v>
      </c>
      <c r="S144" s="621"/>
      <c r="T144" s="621"/>
      <c r="U144" s="621"/>
      <c r="V144" s="855"/>
      <c r="W144" s="856" t="s">
        <v>712</v>
      </c>
      <c r="X144" s="612"/>
      <c r="Y144" s="613"/>
      <c r="Z144" s="611"/>
      <c r="AA144" s="611"/>
      <c r="AB144" s="573"/>
      <c r="AC144" s="573"/>
      <c r="AD144" s="573"/>
      <c r="AE144" s="573">
        <v>0</v>
      </c>
      <c r="AF144" s="573">
        <v>0</v>
      </c>
      <c r="AG144" s="573"/>
      <c r="AH144" s="574"/>
      <c r="AI144" s="575">
        <v>0</v>
      </c>
      <c r="AJ144" s="558" t="s">
        <v>594</v>
      </c>
      <c r="AK144" s="576"/>
      <c r="AL144" s="576"/>
      <c r="AM144" s="577">
        <f>Z142+Z152</f>
        <v>214000</v>
      </c>
      <c r="AN144" s="434"/>
      <c r="AO144" s="434"/>
      <c r="AP144" s="434"/>
      <c r="AQ144" s="434"/>
      <c r="AR144" s="434"/>
      <c r="AS144" s="434"/>
      <c r="AT144" s="434"/>
      <c r="AU144" s="434"/>
      <c r="AV144" s="434"/>
      <c r="AW144" s="434"/>
      <c r="AX144" s="434"/>
      <c r="AY144" s="434"/>
      <c r="AZ144" s="434"/>
      <c r="BA144" s="434"/>
      <c r="BB144" s="434"/>
      <c r="BC144" s="434"/>
      <c r="BD144" s="434"/>
      <c r="BE144" s="434"/>
      <c r="BF144" s="434"/>
    </row>
    <row r="145" spans="1:58" s="578" customFormat="1" ht="12.75" customHeight="1">
      <c r="A145" s="559"/>
      <c r="B145" s="560" t="s">
        <v>710</v>
      </c>
      <c r="C145" s="561" t="s">
        <v>710</v>
      </c>
      <c r="D145" s="562">
        <v>656500052</v>
      </c>
      <c r="E145" s="563">
        <v>203</v>
      </c>
      <c r="F145" s="564">
        <v>656</v>
      </c>
      <c r="G145" s="668">
        <v>500005118</v>
      </c>
      <c r="H145" s="566" t="s">
        <v>625</v>
      </c>
      <c r="I145" s="619">
        <v>226</v>
      </c>
      <c r="J145" s="620" t="s">
        <v>711</v>
      </c>
      <c r="K145" s="621"/>
      <c r="L145" s="622">
        <v>0</v>
      </c>
      <c r="M145" s="622">
        <v>0</v>
      </c>
      <c r="N145" s="622">
        <v>0</v>
      </c>
      <c r="O145" s="622">
        <v>0</v>
      </c>
      <c r="P145" s="622">
        <v>0</v>
      </c>
      <c r="Q145" s="854"/>
      <c r="R145" s="855">
        <v>1400</v>
      </c>
      <c r="S145" s="621"/>
      <c r="T145" s="621"/>
      <c r="U145" s="621"/>
      <c r="V145" s="855"/>
      <c r="W145" s="855"/>
      <c r="X145" s="612"/>
      <c r="Y145" s="613"/>
      <c r="Z145" s="611"/>
      <c r="AA145" s="611"/>
      <c r="AB145" s="573"/>
      <c r="AC145" s="573"/>
      <c r="AD145" s="573"/>
      <c r="AE145" s="573">
        <v>0</v>
      </c>
      <c r="AF145" s="573">
        <v>0</v>
      </c>
      <c r="AG145" s="573"/>
      <c r="AH145" s="574"/>
      <c r="AI145" s="575">
        <v>0</v>
      </c>
      <c r="AJ145" s="558" t="s">
        <v>594</v>
      </c>
      <c r="AK145" s="576"/>
      <c r="AL145" s="576"/>
      <c r="AM145" s="577">
        <f>AA142+AA152</f>
        <v>227300</v>
      </c>
      <c r="AN145" s="434"/>
      <c r="AO145" s="434"/>
      <c r="AP145" s="434"/>
      <c r="AQ145" s="434"/>
      <c r="AR145" s="434"/>
      <c r="AS145" s="434"/>
      <c r="AT145" s="434"/>
      <c r="AU145" s="434"/>
      <c r="AV145" s="434"/>
      <c r="AW145" s="434"/>
      <c r="AX145" s="434"/>
      <c r="AY145" s="434"/>
      <c r="AZ145" s="434"/>
      <c r="BA145" s="434"/>
      <c r="BB145" s="434"/>
      <c r="BC145" s="434"/>
      <c r="BD145" s="434"/>
      <c r="BE145" s="434"/>
      <c r="BF145" s="434"/>
    </row>
    <row r="146" spans="1:58" s="578" customFormat="1" ht="15.75" customHeight="1">
      <c r="A146" s="559"/>
      <c r="B146" s="560" t="s">
        <v>710</v>
      </c>
      <c r="C146" s="561" t="s">
        <v>710</v>
      </c>
      <c r="D146" s="562">
        <v>656500052</v>
      </c>
      <c r="E146" s="617">
        <v>203</v>
      </c>
      <c r="F146" s="618">
        <v>656</v>
      </c>
      <c r="G146" s="668">
        <v>500005118</v>
      </c>
      <c r="H146" s="619" t="s">
        <v>625</v>
      </c>
      <c r="I146" s="619">
        <v>310</v>
      </c>
      <c r="J146" s="620" t="s">
        <v>711</v>
      </c>
      <c r="K146" s="621"/>
      <c r="L146" s="622">
        <v>0</v>
      </c>
      <c r="M146" s="622">
        <v>0</v>
      </c>
      <c r="N146" s="622">
        <v>0</v>
      </c>
      <c r="O146" s="622">
        <v>0</v>
      </c>
      <c r="P146" s="622">
        <v>0</v>
      </c>
      <c r="Q146" s="854"/>
      <c r="R146" s="855">
        <v>1400</v>
      </c>
      <c r="S146" s="621"/>
      <c r="T146" s="621"/>
      <c r="U146" s="621"/>
      <c r="V146" s="855">
        <v>42900</v>
      </c>
      <c r="W146" s="855" t="s">
        <v>713</v>
      </c>
      <c r="X146" s="857"/>
      <c r="Y146" s="858"/>
      <c r="Z146" s="855">
        <v>46800</v>
      </c>
      <c r="AA146" s="855">
        <v>60100</v>
      </c>
      <c r="AB146" s="573"/>
      <c r="AC146" s="573"/>
      <c r="AD146" s="573"/>
      <c r="AE146" s="573">
        <v>0</v>
      </c>
      <c r="AF146" s="573">
        <v>0</v>
      </c>
      <c r="AG146" s="573"/>
      <c r="AH146" s="574"/>
      <c r="AI146" s="575">
        <v>0</v>
      </c>
      <c r="AJ146" s="558" t="s">
        <v>594</v>
      </c>
      <c r="AK146" s="576"/>
      <c r="AL146" s="576"/>
      <c r="AM146" s="434"/>
      <c r="AN146" s="434"/>
      <c r="AO146" s="434"/>
      <c r="AP146" s="434"/>
      <c r="AQ146" s="434"/>
      <c r="AR146" s="434"/>
      <c r="AS146" s="434"/>
      <c r="AT146" s="434"/>
      <c r="AU146" s="434"/>
      <c r="AV146" s="434"/>
      <c r="AW146" s="434"/>
      <c r="AX146" s="434"/>
      <c r="AY146" s="434"/>
      <c r="AZ146" s="434"/>
      <c r="BA146" s="434"/>
      <c r="BB146" s="434"/>
      <c r="BC146" s="434"/>
      <c r="BD146" s="434"/>
      <c r="BE146" s="434"/>
      <c r="BF146" s="434"/>
    </row>
    <row r="147" spans="1:58" s="578" customFormat="1" ht="15.75" customHeight="1" hidden="1">
      <c r="A147" s="559"/>
      <c r="B147" s="560" t="s">
        <v>710</v>
      </c>
      <c r="C147" s="561" t="s">
        <v>710</v>
      </c>
      <c r="D147" s="859">
        <v>656020012</v>
      </c>
      <c r="E147" s="626">
        <v>203</v>
      </c>
      <c r="F147" s="627">
        <v>656</v>
      </c>
      <c r="G147" s="860">
        <v>13600</v>
      </c>
      <c r="H147" s="628" t="s">
        <v>625</v>
      </c>
      <c r="I147" s="628">
        <v>340</v>
      </c>
      <c r="J147" s="629" t="s">
        <v>152</v>
      </c>
      <c r="K147" s="630"/>
      <c r="L147" s="631">
        <v>4100</v>
      </c>
      <c r="M147" s="631">
        <v>0</v>
      </c>
      <c r="N147" s="631">
        <v>0</v>
      </c>
      <c r="O147" s="631">
        <v>0</v>
      </c>
      <c r="P147" s="631">
        <v>4100</v>
      </c>
      <c r="Q147" s="861"/>
      <c r="R147" s="862"/>
      <c r="S147" s="630"/>
      <c r="T147" s="630"/>
      <c r="U147" s="630"/>
      <c r="V147" s="862"/>
      <c r="W147" s="862">
        <v>0</v>
      </c>
      <c r="X147" s="863"/>
      <c r="Y147" s="864"/>
      <c r="Z147" s="862"/>
      <c r="AA147" s="862"/>
      <c r="AB147" s="573"/>
      <c r="AC147" s="573"/>
      <c r="AD147" s="573"/>
      <c r="AE147" s="573">
        <v>0</v>
      </c>
      <c r="AF147" s="573">
        <v>0</v>
      </c>
      <c r="AG147" s="573"/>
      <c r="AH147" s="574"/>
      <c r="AI147" s="575">
        <v>0</v>
      </c>
      <c r="AJ147" s="558" t="s">
        <v>594</v>
      </c>
      <c r="AK147" s="576"/>
      <c r="AL147" s="576"/>
      <c r="AM147" s="434"/>
      <c r="AN147" s="434"/>
      <c r="AO147" s="434"/>
      <c r="AP147" s="434"/>
      <c r="AQ147" s="434"/>
      <c r="AR147" s="434"/>
      <c r="AS147" s="434"/>
      <c r="AT147" s="434"/>
      <c r="AU147" s="434"/>
      <c r="AV147" s="434"/>
      <c r="AW147" s="434"/>
      <c r="AX147" s="434"/>
      <c r="AY147" s="434"/>
      <c r="AZ147" s="434"/>
      <c r="BA147" s="434"/>
      <c r="BB147" s="434"/>
      <c r="BC147" s="434"/>
      <c r="BD147" s="434"/>
      <c r="BE147" s="434"/>
      <c r="BF147" s="434"/>
    </row>
    <row r="148" spans="1:58" s="578" customFormat="1" ht="15.75" customHeight="1" hidden="1">
      <c r="A148" s="559"/>
      <c r="B148" s="560" t="s">
        <v>710</v>
      </c>
      <c r="C148" s="561" t="s">
        <v>710</v>
      </c>
      <c r="D148" s="562"/>
      <c r="E148" s="563"/>
      <c r="F148" s="564"/>
      <c r="G148" s="668"/>
      <c r="H148" s="566"/>
      <c r="I148" s="566">
        <v>340</v>
      </c>
      <c r="J148" s="567" t="s">
        <v>152</v>
      </c>
      <c r="K148" s="568"/>
      <c r="L148" s="569">
        <v>4100</v>
      </c>
      <c r="M148" s="569">
        <v>0</v>
      </c>
      <c r="N148" s="569">
        <v>0</v>
      </c>
      <c r="O148" s="569">
        <v>0</v>
      </c>
      <c r="P148" s="569">
        <v>4100</v>
      </c>
      <c r="Q148" s="572"/>
      <c r="R148" s="611"/>
      <c r="S148" s="568"/>
      <c r="T148" s="568"/>
      <c r="U148" s="568"/>
      <c r="V148" s="611"/>
      <c r="W148" s="611">
        <v>0</v>
      </c>
      <c r="X148" s="612"/>
      <c r="Y148" s="613"/>
      <c r="Z148" s="611"/>
      <c r="AA148" s="611"/>
      <c r="AB148" s="573"/>
      <c r="AC148" s="573"/>
      <c r="AD148" s="573"/>
      <c r="AE148" s="573">
        <v>0</v>
      </c>
      <c r="AF148" s="573">
        <v>0</v>
      </c>
      <c r="AG148" s="573"/>
      <c r="AH148" s="574"/>
      <c r="AI148" s="575">
        <v>0</v>
      </c>
      <c r="AJ148" s="558" t="s">
        <v>594</v>
      </c>
      <c r="AK148" s="576"/>
      <c r="AL148" s="576"/>
      <c r="AM148" s="434"/>
      <c r="AN148" s="434"/>
      <c r="AO148" s="434"/>
      <c r="AP148" s="434"/>
      <c r="AQ148" s="434"/>
      <c r="AR148" s="434"/>
      <c r="AS148" s="434"/>
      <c r="AT148" s="434"/>
      <c r="AU148" s="434"/>
      <c r="AV148" s="434"/>
      <c r="AW148" s="434"/>
      <c r="AX148" s="434"/>
      <c r="AY148" s="434"/>
      <c r="AZ148" s="434"/>
      <c r="BA148" s="434"/>
      <c r="BB148" s="434"/>
      <c r="BC148" s="434"/>
      <c r="BD148" s="434"/>
      <c r="BE148" s="434"/>
      <c r="BF148" s="434"/>
    </row>
    <row r="149" spans="1:58" s="578" customFormat="1" ht="12.75" customHeight="1" hidden="1">
      <c r="A149" s="559"/>
      <c r="B149" s="560" t="s">
        <v>710</v>
      </c>
      <c r="C149" s="561" t="s">
        <v>710</v>
      </c>
      <c r="D149" s="562"/>
      <c r="E149" s="563"/>
      <c r="F149" s="564"/>
      <c r="G149" s="668"/>
      <c r="H149" s="566"/>
      <c r="I149" s="566">
        <v>340</v>
      </c>
      <c r="J149" s="567" t="s">
        <v>152</v>
      </c>
      <c r="K149" s="568"/>
      <c r="L149" s="569">
        <v>4100</v>
      </c>
      <c r="M149" s="569">
        <v>0</v>
      </c>
      <c r="N149" s="569">
        <v>0</v>
      </c>
      <c r="O149" s="569">
        <v>0</v>
      </c>
      <c r="P149" s="569">
        <v>4100</v>
      </c>
      <c r="Q149" s="572"/>
      <c r="R149" s="611"/>
      <c r="S149" s="568"/>
      <c r="T149" s="568"/>
      <c r="U149" s="568"/>
      <c r="V149" s="611"/>
      <c r="W149" s="611">
        <v>0</v>
      </c>
      <c r="X149" s="612"/>
      <c r="Y149" s="613"/>
      <c r="Z149" s="611"/>
      <c r="AA149" s="611"/>
      <c r="AB149" s="573"/>
      <c r="AC149" s="573"/>
      <c r="AD149" s="573"/>
      <c r="AE149" s="573">
        <v>0</v>
      </c>
      <c r="AF149" s="573">
        <v>0</v>
      </c>
      <c r="AG149" s="573"/>
      <c r="AH149" s="574"/>
      <c r="AI149" s="575">
        <v>0</v>
      </c>
      <c r="AJ149" s="558" t="s">
        <v>594</v>
      </c>
      <c r="AK149" s="576"/>
      <c r="AL149" s="576"/>
      <c r="AM149" s="434"/>
      <c r="AN149" s="434"/>
      <c r="AO149" s="434"/>
      <c r="AP149" s="434"/>
      <c r="AQ149" s="434"/>
      <c r="AR149" s="434"/>
      <c r="AS149" s="434"/>
      <c r="AT149" s="434"/>
      <c r="AU149" s="434"/>
      <c r="AV149" s="434"/>
      <c r="AW149" s="434"/>
      <c r="AX149" s="434"/>
      <c r="AY149" s="434"/>
      <c r="AZ149" s="434"/>
      <c r="BA149" s="434"/>
      <c r="BB149" s="434"/>
      <c r="BC149" s="434"/>
      <c r="BD149" s="434"/>
      <c r="BE149" s="434"/>
      <c r="BF149" s="434"/>
    </row>
    <row r="150" spans="1:58" s="656" customFormat="1" ht="12.75" customHeight="1" hidden="1">
      <c r="A150" s="639"/>
      <c r="B150" s="865"/>
      <c r="C150" s="579"/>
      <c r="D150" s="866" t="s">
        <v>700</v>
      </c>
      <c r="E150" s="867"/>
      <c r="F150" s="868"/>
      <c r="G150" s="869"/>
      <c r="H150" s="870"/>
      <c r="I150" s="870">
        <v>340</v>
      </c>
      <c r="J150" s="871"/>
      <c r="K150" s="872"/>
      <c r="L150" s="873"/>
      <c r="M150" s="644"/>
      <c r="N150" s="644"/>
      <c r="O150" s="873"/>
      <c r="P150" s="644"/>
      <c r="Q150" s="874"/>
      <c r="R150" s="875"/>
      <c r="S150" s="872"/>
      <c r="T150" s="643"/>
      <c r="U150" s="872"/>
      <c r="V150" s="875"/>
      <c r="W150" s="875">
        <f>W147+W148+W149</f>
        <v>0</v>
      </c>
      <c r="X150" s="876"/>
      <c r="Y150" s="877"/>
      <c r="Z150" s="875"/>
      <c r="AA150" s="875"/>
      <c r="AB150" s="650"/>
      <c r="AC150" s="650"/>
      <c r="AD150" s="650"/>
      <c r="AE150" s="878"/>
      <c r="AF150" s="879"/>
      <c r="AG150" s="650"/>
      <c r="AH150" s="651"/>
      <c r="AI150" s="880"/>
      <c r="AJ150" s="653"/>
      <c r="AK150" s="654"/>
      <c r="AL150" s="654"/>
      <c r="AM150" s="655"/>
      <c r="AN150" s="655"/>
      <c r="AO150" s="655"/>
      <c r="AP150" s="655"/>
      <c r="AQ150" s="655"/>
      <c r="AR150" s="655"/>
      <c r="AS150" s="655"/>
      <c r="AT150" s="655"/>
      <c r="AU150" s="655"/>
      <c r="AV150" s="655"/>
      <c r="AW150" s="655"/>
      <c r="AX150" s="655"/>
      <c r="AY150" s="655"/>
      <c r="AZ150" s="655"/>
      <c r="BA150" s="655"/>
      <c r="BB150" s="655"/>
      <c r="BC150" s="655"/>
      <c r="BD150" s="655"/>
      <c r="BE150" s="655"/>
      <c r="BF150" s="655"/>
    </row>
    <row r="151" spans="1:58" s="578" customFormat="1" ht="12.75" customHeight="1">
      <c r="A151" s="559"/>
      <c r="B151" s="560" t="s">
        <v>710</v>
      </c>
      <c r="C151" s="561" t="s">
        <v>710</v>
      </c>
      <c r="D151" s="562">
        <v>656500052</v>
      </c>
      <c r="E151" s="563">
        <v>203</v>
      </c>
      <c r="F151" s="564">
        <v>656</v>
      </c>
      <c r="G151" s="668">
        <v>500005118</v>
      </c>
      <c r="H151" s="566" t="s">
        <v>625</v>
      </c>
      <c r="I151" s="619">
        <v>340</v>
      </c>
      <c r="J151" s="620" t="s">
        <v>152</v>
      </c>
      <c r="K151" s="621"/>
      <c r="L151" s="622">
        <v>0</v>
      </c>
      <c r="M151" s="622">
        <v>0</v>
      </c>
      <c r="N151" s="622">
        <v>0</v>
      </c>
      <c r="O151" s="622">
        <v>0</v>
      </c>
      <c r="P151" s="622">
        <v>0</v>
      </c>
      <c r="Q151" s="854"/>
      <c r="R151" s="855">
        <v>1400</v>
      </c>
      <c r="S151" s="621"/>
      <c r="T151" s="621"/>
      <c r="U151" s="621"/>
      <c r="V151" s="855"/>
      <c r="W151" s="855" t="s">
        <v>714</v>
      </c>
      <c r="X151" s="612"/>
      <c r="Y151" s="613"/>
      <c r="Z151" s="611"/>
      <c r="AA151" s="611"/>
      <c r="AB151" s="573"/>
      <c r="AC151" s="573"/>
      <c r="AD151" s="573"/>
      <c r="AE151" s="573">
        <v>0</v>
      </c>
      <c r="AF151" s="573">
        <v>0</v>
      </c>
      <c r="AG151" s="573"/>
      <c r="AH151" s="574"/>
      <c r="AI151" s="575">
        <v>0</v>
      </c>
      <c r="AJ151" s="558" t="s">
        <v>594</v>
      </c>
      <c r="AK151" s="576"/>
      <c r="AL151" s="576"/>
      <c r="AM151" s="434"/>
      <c r="AN151" s="434"/>
      <c r="AO151" s="434"/>
      <c r="AP151" s="434"/>
      <c r="AQ151" s="434"/>
      <c r="AR151" s="434"/>
      <c r="AS151" s="434"/>
      <c r="AT151" s="434"/>
      <c r="AU151" s="434"/>
      <c r="AV151" s="434"/>
      <c r="AW151" s="434"/>
      <c r="AX151" s="434"/>
      <c r="AY151" s="434"/>
      <c r="AZ151" s="434"/>
      <c r="BA151" s="434"/>
      <c r="BB151" s="434"/>
      <c r="BC151" s="434"/>
      <c r="BD151" s="434"/>
      <c r="BE151" s="434"/>
      <c r="BF151" s="434"/>
    </row>
    <row r="152" spans="1:58" s="578" customFormat="1" ht="12.75" customHeight="1">
      <c r="A152" s="559"/>
      <c r="B152" s="1284" t="s">
        <v>613</v>
      </c>
      <c r="C152" s="1285"/>
      <c r="D152" s="1285"/>
      <c r="E152" s="1285"/>
      <c r="F152" s="1285"/>
      <c r="G152" s="1285"/>
      <c r="H152" s="1285"/>
      <c r="I152" s="1285"/>
      <c r="J152" s="1285"/>
      <c r="K152" s="1339"/>
      <c r="L152" s="882">
        <v>5100</v>
      </c>
      <c r="M152" s="883">
        <v>0</v>
      </c>
      <c r="N152" s="883">
        <v>0</v>
      </c>
      <c r="O152" s="882">
        <v>0</v>
      </c>
      <c r="P152" s="883">
        <v>5100</v>
      </c>
      <c r="Q152" s="756">
        <f>R152+S152+T152+U152</f>
        <v>2800</v>
      </c>
      <c r="R152" s="884">
        <f>R150+R146+R145</f>
        <v>2800</v>
      </c>
      <c r="S152" s="885"/>
      <c r="T152" s="886"/>
      <c r="U152" s="885"/>
      <c r="V152" s="884">
        <f>V145+V146+V151+V144</f>
        <v>42900</v>
      </c>
      <c r="W152" s="887"/>
      <c r="X152" s="888"/>
      <c r="Y152" s="889"/>
      <c r="Z152" s="884">
        <f>Z150+Z146+Z145</f>
        <v>46800</v>
      </c>
      <c r="AA152" s="884">
        <f>AA150+AA146+AA145</f>
        <v>60100</v>
      </c>
      <c r="AB152" s="1281"/>
      <c r="AC152" s="1282"/>
      <c r="AD152" s="1283"/>
      <c r="AE152" s="588">
        <v>0</v>
      </c>
      <c r="AF152" s="589">
        <v>0</v>
      </c>
      <c r="AG152" s="1281"/>
      <c r="AH152" s="1283"/>
      <c r="AI152" s="590">
        <v>0</v>
      </c>
      <c r="AJ152" s="558" t="s">
        <v>594</v>
      </c>
      <c r="AK152" s="576"/>
      <c r="AL152" s="576"/>
      <c r="AM152" s="577"/>
      <c r="AN152" s="434"/>
      <c r="AO152" s="434"/>
      <c r="AP152" s="434"/>
      <c r="AQ152" s="434"/>
      <c r="AR152" s="434"/>
      <c r="AS152" s="434"/>
      <c r="AT152" s="434"/>
      <c r="AU152" s="434"/>
      <c r="AV152" s="434"/>
      <c r="AW152" s="434"/>
      <c r="AX152" s="434"/>
      <c r="AY152" s="434"/>
      <c r="AZ152" s="434"/>
      <c r="BA152" s="434"/>
      <c r="BB152" s="434"/>
      <c r="BC152" s="434"/>
      <c r="BD152" s="434"/>
      <c r="BE152" s="434"/>
      <c r="BF152" s="434"/>
    </row>
    <row r="153" spans="1:58" s="578" customFormat="1" ht="12.75" customHeight="1">
      <c r="A153" s="559"/>
      <c r="B153" s="881"/>
      <c r="C153" s="834"/>
      <c r="D153" s="1338" t="s">
        <v>715</v>
      </c>
      <c r="E153" s="1338"/>
      <c r="F153" s="1338"/>
      <c r="G153" s="1338"/>
      <c r="H153" s="1338"/>
      <c r="I153" s="1338"/>
      <c r="J153" s="1338"/>
      <c r="K153" s="1338"/>
      <c r="L153" s="1338"/>
      <c r="M153" s="1338"/>
      <c r="N153" s="1338"/>
      <c r="O153" s="1338"/>
      <c r="P153" s="1338"/>
      <c r="Q153" s="1338"/>
      <c r="R153" s="1338"/>
      <c r="S153" s="1338"/>
      <c r="T153" s="1338"/>
      <c r="U153" s="1338"/>
      <c r="V153" s="1338"/>
      <c r="W153" s="1338"/>
      <c r="X153" s="890"/>
      <c r="Y153" s="891"/>
      <c r="Z153" s="892"/>
      <c r="AA153" s="892"/>
      <c r="AB153" s="587"/>
      <c r="AC153" s="587"/>
      <c r="AD153" s="587"/>
      <c r="AE153" s="667"/>
      <c r="AF153" s="667"/>
      <c r="AG153" s="587"/>
      <c r="AH153" s="587"/>
      <c r="AI153" s="590"/>
      <c r="AJ153" s="558"/>
      <c r="AK153" s="576"/>
      <c r="AL153" s="576"/>
      <c r="AM153" s="434"/>
      <c r="AN153" s="434"/>
      <c r="AO153" s="434"/>
      <c r="AP153" s="434"/>
      <c r="AQ153" s="434"/>
      <c r="AR153" s="434"/>
      <c r="AS153" s="434"/>
      <c r="AT153" s="434"/>
      <c r="AU153" s="434"/>
      <c r="AV153" s="434"/>
      <c r="AW153" s="434"/>
      <c r="AX153" s="434"/>
      <c r="AY153" s="434"/>
      <c r="AZ153" s="434"/>
      <c r="BA153" s="434"/>
      <c r="BB153" s="434"/>
      <c r="BC153" s="434"/>
      <c r="BD153" s="434"/>
      <c r="BE153" s="434"/>
      <c r="BF153" s="434"/>
    </row>
    <row r="154" spans="1:58" s="578" customFormat="1" ht="12.75" customHeight="1">
      <c r="A154" s="559"/>
      <c r="B154" s="1274" t="s">
        <v>716</v>
      </c>
      <c r="C154" s="1279"/>
      <c r="D154" s="1279"/>
      <c r="E154" s="1279"/>
      <c r="F154" s="1279"/>
      <c r="G154" s="1279"/>
      <c r="H154" s="1279"/>
      <c r="I154" s="1279"/>
      <c r="J154" s="1279"/>
      <c r="K154" s="1279"/>
      <c r="L154" s="1279"/>
      <c r="M154" s="1279"/>
      <c r="N154" s="1279"/>
      <c r="O154" s="1279"/>
      <c r="P154" s="1279"/>
      <c r="Q154" s="1279"/>
      <c r="R154" s="1279"/>
      <c r="S154" s="1279"/>
      <c r="T154" s="1279"/>
      <c r="U154" s="1279"/>
      <c r="V154" s="1279"/>
      <c r="W154" s="1279"/>
      <c r="X154" s="1279"/>
      <c r="Y154" s="1279"/>
      <c r="Z154" s="1279"/>
      <c r="AA154" s="1279"/>
      <c r="AB154" s="1279"/>
      <c r="AC154" s="1279"/>
      <c r="AD154" s="1279"/>
      <c r="AE154" s="1279"/>
      <c r="AF154" s="1279"/>
      <c r="AG154" s="1279"/>
      <c r="AH154" s="1279"/>
      <c r="AI154" s="1301"/>
      <c r="AJ154" s="558" t="s">
        <v>594</v>
      </c>
      <c r="AK154" s="576"/>
      <c r="AL154" s="576"/>
      <c r="AM154" s="434"/>
      <c r="AN154" s="434"/>
      <c r="AO154" s="434"/>
      <c r="AP154" s="434"/>
      <c r="AQ154" s="434"/>
      <c r="AR154" s="434"/>
      <c r="AS154" s="434"/>
      <c r="AT154" s="434"/>
      <c r="AU154" s="434"/>
      <c r="AV154" s="434"/>
      <c r="AW154" s="434"/>
      <c r="AX154" s="434"/>
      <c r="AY154" s="434"/>
      <c r="AZ154" s="434"/>
      <c r="BA154" s="434"/>
      <c r="BB154" s="434"/>
      <c r="BC154" s="434"/>
      <c r="BD154" s="434"/>
      <c r="BE154" s="434"/>
      <c r="BF154" s="434"/>
    </row>
    <row r="155" spans="1:58" s="578" customFormat="1" ht="12.75" customHeight="1">
      <c r="A155" s="559"/>
      <c r="B155" s="560" t="s">
        <v>716</v>
      </c>
      <c r="C155" s="561" t="s">
        <v>716</v>
      </c>
      <c r="D155" s="562">
        <v>656500061</v>
      </c>
      <c r="E155" s="563">
        <v>304</v>
      </c>
      <c r="F155" s="564">
        <v>656</v>
      </c>
      <c r="G155" s="668" t="s">
        <v>717</v>
      </c>
      <c r="H155" s="566" t="s">
        <v>625</v>
      </c>
      <c r="I155" s="566">
        <v>290</v>
      </c>
      <c r="J155" s="567" t="s">
        <v>152</v>
      </c>
      <c r="K155" s="568"/>
      <c r="L155" s="569">
        <v>9000</v>
      </c>
      <c r="M155" s="569">
        <v>-2881</v>
      </c>
      <c r="N155" s="569">
        <v>0</v>
      </c>
      <c r="O155" s="569">
        <v>0</v>
      </c>
      <c r="P155" s="569">
        <v>6119</v>
      </c>
      <c r="Q155" s="572">
        <f>R155+S155+T155+U155</f>
        <v>6800</v>
      </c>
      <c r="R155" s="611">
        <v>6800</v>
      </c>
      <c r="S155" s="568"/>
      <c r="T155" s="568"/>
      <c r="U155" s="568"/>
      <c r="V155" s="611">
        <v>1470</v>
      </c>
      <c r="W155" s="568" t="s">
        <v>718</v>
      </c>
      <c r="X155" s="612"/>
      <c r="Y155" s="613"/>
      <c r="Z155" s="611">
        <v>1470</v>
      </c>
      <c r="AA155" s="611">
        <v>1470</v>
      </c>
      <c r="AB155" s="573"/>
      <c r="AC155" s="573"/>
      <c r="AD155" s="573"/>
      <c r="AE155" s="573">
        <v>6119</v>
      </c>
      <c r="AF155" s="573">
        <v>0</v>
      </c>
      <c r="AG155" s="573"/>
      <c r="AH155" s="574"/>
      <c r="AI155" s="575">
        <v>1</v>
      </c>
      <c r="AJ155" s="558" t="s">
        <v>594</v>
      </c>
      <c r="AK155" s="576"/>
      <c r="AL155" s="576"/>
      <c r="AM155" s="434"/>
      <c r="AN155" s="434"/>
      <c r="AO155" s="434"/>
      <c r="AP155" s="434"/>
      <c r="AQ155" s="434"/>
      <c r="AR155" s="434"/>
      <c r="AS155" s="434"/>
      <c r="AT155" s="434"/>
      <c r="AU155" s="434"/>
      <c r="AV155" s="434"/>
      <c r="AW155" s="434"/>
      <c r="AX155" s="434"/>
      <c r="AY155" s="434"/>
      <c r="AZ155" s="434"/>
      <c r="BA155" s="434"/>
      <c r="BB155" s="434"/>
      <c r="BC155" s="434"/>
      <c r="BD155" s="434"/>
      <c r="BE155" s="434"/>
      <c r="BF155" s="434"/>
    </row>
    <row r="156" spans="1:58" s="578" customFormat="1" ht="12.75" customHeight="1">
      <c r="A156" s="559"/>
      <c r="B156" s="560" t="s">
        <v>716</v>
      </c>
      <c r="C156" s="561" t="s">
        <v>716</v>
      </c>
      <c r="D156" s="562">
        <v>656500061</v>
      </c>
      <c r="E156" s="563">
        <v>304</v>
      </c>
      <c r="F156" s="564">
        <v>656</v>
      </c>
      <c r="G156" s="668">
        <v>5000059300</v>
      </c>
      <c r="H156" s="566" t="s">
        <v>625</v>
      </c>
      <c r="I156" s="566">
        <v>340</v>
      </c>
      <c r="J156" s="567" t="s">
        <v>152</v>
      </c>
      <c r="K156" s="568"/>
      <c r="L156" s="569">
        <v>0</v>
      </c>
      <c r="M156" s="569">
        <v>2881</v>
      </c>
      <c r="N156" s="569">
        <v>0</v>
      </c>
      <c r="O156" s="569">
        <v>0</v>
      </c>
      <c r="P156" s="569">
        <v>2881</v>
      </c>
      <c r="Q156" s="572">
        <f>R156+S156+T156+U156</f>
        <v>3000</v>
      </c>
      <c r="R156" s="611">
        <v>3000</v>
      </c>
      <c r="S156" s="568"/>
      <c r="T156" s="568"/>
      <c r="U156" s="568"/>
      <c r="V156" s="611">
        <v>10570</v>
      </c>
      <c r="W156" s="568" t="s">
        <v>719</v>
      </c>
      <c r="X156" s="612"/>
      <c r="Y156" s="613"/>
      <c r="Z156" s="611">
        <v>10570</v>
      </c>
      <c r="AA156" s="611">
        <v>10570</v>
      </c>
      <c r="AB156" s="573"/>
      <c r="AC156" s="573"/>
      <c r="AD156" s="573"/>
      <c r="AE156" s="573">
        <v>2881</v>
      </c>
      <c r="AF156" s="573">
        <v>0</v>
      </c>
      <c r="AG156" s="573"/>
      <c r="AH156" s="574"/>
      <c r="AI156" s="575">
        <v>1</v>
      </c>
      <c r="AJ156" s="558" t="s">
        <v>594</v>
      </c>
      <c r="AK156" s="576"/>
      <c r="AL156" s="576"/>
      <c r="AM156" s="434"/>
      <c r="AN156" s="434"/>
      <c r="AO156" s="434"/>
      <c r="AP156" s="434"/>
      <c r="AQ156" s="434"/>
      <c r="AR156" s="434"/>
      <c r="AS156" s="434"/>
      <c r="AT156" s="434"/>
      <c r="AU156" s="434"/>
      <c r="AV156" s="434"/>
      <c r="AW156" s="434"/>
      <c r="AX156" s="434"/>
      <c r="AY156" s="434"/>
      <c r="AZ156" s="434"/>
      <c r="BA156" s="434"/>
      <c r="BB156" s="434"/>
      <c r="BC156" s="434"/>
      <c r="BD156" s="434"/>
      <c r="BE156" s="434"/>
      <c r="BF156" s="434"/>
    </row>
    <row r="157" spans="1:58" s="578" customFormat="1" ht="12.75" customHeight="1">
      <c r="A157" s="559"/>
      <c r="B157" s="1274" t="s">
        <v>613</v>
      </c>
      <c r="C157" s="1279"/>
      <c r="D157" s="1279"/>
      <c r="E157" s="1279"/>
      <c r="F157" s="1279"/>
      <c r="G157" s="1279"/>
      <c r="H157" s="1279"/>
      <c r="I157" s="1279"/>
      <c r="J157" s="1279"/>
      <c r="K157" s="1280"/>
      <c r="L157" s="582">
        <v>9000</v>
      </c>
      <c r="M157" s="583">
        <v>0</v>
      </c>
      <c r="N157" s="583">
        <v>0</v>
      </c>
      <c r="O157" s="582">
        <v>0</v>
      </c>
      <c r="P157" s="583">
        <v>9000</v>
      </c>
      <c r="Q157" s="756">
        <f>R157+S157+T157+U157</f>
        <v>9800</v>
      </c>
      <c r="R157" s="681">
        <f>R155+R156</f>
        <v>9800</v>
      </c>
      <c r="S157" s="667"/>
      <c r="T157" s="680"/>
      <c r="U157" s="667"/>
      <c r="V157" s="681">
        <f>V155+V156</f>
        <v>12040</v>
      </c>
      <c r="W157" s="682"/>
      <c r="X157" s="683"/>
      <c r="Y157" s="684"/>
      <c r="Z157" s="681">
        <f>Z155+Z156</f>
        <v>12040</v>
      </c>
      <c r="AA157" s="681">
        <f>AA155+AA156</f>
        <v>12040</v>
      </c>
      <c r="AB157" s="1281"/>
      <c r="AC157" s="1282"/>
      <c r="AD157" s="1283"/>
      <c r="AE157" s="588">
        <v>9000</v>
      </c>
      <c r="AF157" s="589">
        <v>0</v>
      </c>
      <c r="AG157" s="1281"/>
      <c r="AH157" s="1283"/>
      <c r="AI157" s="590">
        <v>1</v>
      </c>
      <c r="AJ157" s="558" t="s">
        <v>594</v>
      </c>
      <c r="AK157" s="576"/>
      <c r="AL157" s="576"/>
      <c r="AM157" s="434"/>
      <c r="AN157" s="434"/>
      <c r="AO157" s="434"/>
      <c r="AP157" s="434"/>
      <c r="AQ157" s="434"/>
      <c r="AR157" s="434"/>
      <c r="AS157" s="434"/>
      <c r="AT157" s="434"/>
      <c r="AU157" s="434"/>
      <c r="AV157" s="434"/>
      <c r="AW157" s="434"/>
      <c r="AX157" s="434"/>
      <c r="AY157" s="434"/>
      <c r="AZ157" s="434"/>
      <c r="BA157" s="434"/>
      <c r="BB157" s="434"/>
      <c r="BC157" s="434"/>
      <c r="BD157" s="434"/>
      <c r="BE157" s="434"/>
      <c r="BF157" s="434"/>
    </row>
    <row r="158" spans="1:58" s="578" customFormat="1" ht="33" customHeight="1">
      <c r="A158" s="559"/>
      <c r="B158" s="1276" t="s">
        <v>720</v>
      </c>
      <c r="C158" s="1277"/>
      <c r="D158" s="1277"/>
      <c r="E158" s="1277"/>
      <c r="F158" s="1277"/>
      <c r="G158" s="1277"/>
      <c r="H158" s="1277"/>
      <c r="I158" s="1277"/>
      <c r="J158" s="1277"/>
      <c r="K158" s="1277"/>
      <c r="L158" s="1277"/>
      <c r="M158" s="1277"/>
      <c r="N158" s="1277"/>
      <c r="O158" s="1277"/>
      <c r="P158" s="1277"/>
      <c r="Q158" s="1277"/>
      <c r="R158" s="1277"/>
      <c r="S158" s="1277"/>
      <c r="T158" s="1277"/>
      <c r="U158" s="1277"/>
      <c r="V158" s="1277"/>
      <c r="W158" s="1277"/>
      <c r="X158" s="1277"/>
      <c r="Y158" s="1277"/>
      <c r="Z158" s="1277"/>
      <c r="AA158" s="1277"/>
      <c r="AB158" s="1277"/>
      <c r="AC158" s="1277"/>
      <c r="AD158" s="1277"/>
      <c r="AE158" s="1277"/>
      <c r="AF158" s="1277"/>
      <c r="AG158" s="1277"/>
      <c r="AH158" s="1277"/>
      <c r="AI158" s="1278"/>
      <c r="AJ158" s="558" t="s">
        <v>594</v>
      </c>
      <c r="AK158" s="576"/>
      <c r="AL158" s="576"/>
      <c r="AM158" s="434"/>
      <c r="AN158" s="434"/>
      <c r="AO158" s="434"/>
      <c r="AP158" s="434"/>
      <c r="AQ158" s="434"/>
      <c r="AR158" s="434"/>
      <c r="AS158" s="434"/>
      <c r="AT158" s="434"/>
      <c r="AU158" s="434"/>
      <c r="AV158" s="434"/>
      <c r="AW158" s="434"/>
      <c r="AX158" s="434"/>
      <c r="AY158" s="434"/>
      <c r="AZ158" s="434"/>
      <c r="BA158" s="434"/>
      <c r="BB158" s="434"/>
      <c r="BC158" s="434"/>
      <c r="BD158" s="434"/>
      <c r="BE158" s="434"/>
      <c r="BF158" s="434"/>
    </row>
    <row r="159" spans="1:58" s="578" customFormat="1" ht="14.25" customHeight="1">
      <c r="A159" s="559"/>
      <c r="B159" s="893"/>
      <c r="C159" s="894"/>
      <c r="D159" s="1338" t="s">
        <v>721</v>
      </c>
      <c r="E159" s="1338"/>
      <c r="F159" s="1338"/>
      <c r="G159" s="1338"/>
      <c r="H159" s="1338"/>
      <c r="I159" s="1338"/>
      <c r="J159" s="1338"/>
      <c r="K159" s="1338"/>
      <c r="L159" s="1338"/>
      <c r="M159" s="1338"/>
      <c r="N159" s="1338"/>
      <c r="O159" s="1338"/>
      <c r="P159" s="1338"/>
      <c r="Q159" s="1338"/>
      <c r="R159" s="1338"/>
      <c r="S159" s="1338"/>
      <c r="T159" s="1338"/>
      <c r="U159" s="1338"/>
      <c r="V159" s="1338"/>
      <c r="W159" s="1338"/>
      <c r="X159" s="1338"/>
      <c r="Y159" s="1338"/>
      <c r="Z159" s="1338"/>
      <c r="AA159" s="1338"/>
      <c r="AB159" s="894"/>
      <c r="AC159" s="894"/>
      <c r="AD159" s="894"/>
      <c r="AE159" s="894"/>
      <c r="AF159" s="894"/>
      <c r="AG159" s="894"/>
      <c r="AH159" s="894"/>
      <c r="AI159" s="895"/>
      <c r="AJ159" s="558"/>
      <c r="AK159" s="576"/>
      <c r="AL159" s="576"/>
      <c r="AM159" s="434"/>
      <c r="AN159" s="434"/>
      <c r="AO159" s="434"/>
      <c r="AP159" s="434"/>
      <c r="AQ159" s="434"/>
      <c r="AR159" s="434"/>
      <c r="AS159" s="434"/>
      <c r="AT159" s="434"/>
      <c r="AU159" s="434"/>
      <c r="AV159" s="434"/>
      <c r="AW159" s="434"/>
      <c r="AX159" s="434"/>
      <c r="AY159" s="434"/>
      <c r="AZ159" s="434"/>
      <c r="BA159" s="434"/>
      <c r="BB159" s="434"/>
      <c r="BC159" s="434"/>
      <c r="BD159" s="434"/>
      <c r="BE159" s="434"/>
      <c r="BF159" s="434"/>
    </row>
    <row r="160" spans="1:58" s="578" customFormat="1" ht="12.75" customHeight="1">
      <c r="A160" s="559"/>
      <c r="B160" s="560" t="s">
        <v>722</v>
      </c>
      <c r="C160" s="561" t="s">
        <v>722</v>
      </c>
      <c r="D160" s="562">
        <v>656550011</v>
      </c>
      <c r="E160" s="563">
        <v>309</v>
      </c>
      <c r="F160" s="564">
        <v>656</v>
      </c>
      <c r="G160" s="668">
        <v>550009990</v>
      </c>
      <c r="H160" s="566" t="s">
        <v>625</v>
      </c>
      <c r="I160" s="566">
        <v>226</v>
      </c>
      <c r="J160" s="567">
        <v>0</v>
      </c>
      <c r="K160" s="568"/>
      <c r="L160" s="569"/>
      <c r="M160" s="569"/>
      <c r="N160" s="569"/>
      <c r="O160" s="569"/>
      <c r="P160" s="569"/>
      <c r="Q160" s="572">
        <f>R160+S160+T160+U160</f>
        <v>0</v>
      </c>
      <c r="R160" s="568"/>
      <c r="S160" s="568"/>
      <c r="T160" s="568">
        <v>0</v>
      </c>
      <c r="U160" s="568"/>
      <c r="V160" s="799">
        <v>0</v>
      </c>
      <c r="W160" s="707" t="s">
        <v>723</v>
      </c>
      <c r="X160" s="896">
        <v>200000</v>
      </c>
      <c r="Y160" s="800"/>
      <c r="Z160" s="568"/>
      <c r="AA160" s="897"/>
      <c r="AB160" s="573"/>
      <c r="AC160" s="573"/>
      <c r="AD160" s="573"/>
      <c r="AE160" s="573">
        <v>184509.84</v>
      </c>
      <c r="AF160" s="573">
        <v>0</v>
      </c>
      <c r="AG160" s="573"/>
      <c r="AH160" s="574"/>
      <c r="AI160" s="575">
        <v>0.9351600199003604</v>
      </c>
      <c r="AJ160" s="558" t="s">
        <v>594</v>
      </c>
      <c r="AK160" s="576"/>
      <c r="AL160" s="576"/>
      <c r="AM160" s="434"/>
      <c r="AN160" s="434"/>
      <c r="AO160" s="434"/>
      <c r="AP160" s="434"/>
      <c r="AQ160" s="434"/>
      <c r="AR160" s="434"/>
      <c r="AS160" s="434"/>
      <c r="AT160" s="434"/>
      <c r="AU160" s="434"/>
      <c r="AV160" s="434"/>
      <c r="AW160" s="434"/>
      <c r="AX160" s="434"/>
      <c r="AY160" s="434"/>
      <c r="AZ160" s="434"/>
      <c r="BA160" s="434"/>
      <c r="BB160" s="434"/>
      <c r="BC160" s="434"/>
      <c r="BD160" s="434"/>
      <c r="BE160" s="434"/>
      <c r="BF160" s="434"/>
    </row>
    <row r="161" spans="1:58" s="578" customFormat="1" ht="12.75" customHeight="1">
      <c r="A161" s="559"/>
      <c r="B161" s="560"/>
      <c r="C161" s="561"/>
      <c r="D161" s="562"/>
      <c r="E161" s="563"/>
      <c r="F161" s="564"/>
      <c r="G161" s="668">
        <v>550009990</v>
      </c>
      <c r="H161" s="566"/>
      <c r="I161" s="566">
        <v>226</v>
      </c>
      <c r="J161" s="567"/>
      <c r="K161" s="568"/>
      <c r="L161" s="569"/>
      <c r="M161" s="569"/>
      <c r="N161" s="569"/>
      <c r="O161" s="569"/>
      <c r="P161" s="569"/>
      <c r="Q161" s="572"/>
      <c r="R161" s="568"/>
      <c r="S161" s="568"/>
      <c r="T161" s="568"/>
      <c r="U161" s="568"/>
      <c r="V161" s="799"/>
      <c r="W161" s="707" t="s">
        <v>724</v>
      </c>
      <c r="X161" s="896">
        <v>300000</v>
      </c>
      <c r="Y161" s="800"/>
      <c r="Z161" s="568"/>
      <c r="AA161" s="897"/>
      <c r="AB161" s="573"/>
      <c r="AC161" s="573"/>
      <c r="AD161" s="573"/>
      <c r="AE161" s="573"/>
      <c r="AF161" s="573"/>
      <c r="AG161" s="573"/>
      <c r="AH161" s="574"/>
      <c r="AI161" s="575"/>
      <c r="AJ161" s="558"/>
      <c r="AK161" s="576"/>
      <c r="AL161" s="576"/>
      <c r="AM161" s="434"/>
      <c r="AN161" s="434"/>
      <c r="AO161" s="434"/>
      <c r="AP161" s="434"/>
      <c r="AQ161" s="434"/>
      <c r="AR161" s="434"/>
      <c r="AS161" s="434"/>
      <c r="AT161" s="434"/>
      <c r="AU161" s="434"/>
      <c r="AV161" s="434"/>
      <c r="AW161" s="434"/>
      <c r="AX161" s="434"/>
      <c r="AY161" s="434"/>
      <c r="AZ161" s="434"/>
      <c r="BA161" s="434"/>
      <c r="BB161" s="434"/>
      <c r="BC161" s="434"/>
      <c r="BD161" s="434"/>
      <c r="BE161" s="434"/>
      <c r="BF161" s="434"/>
    </row>
    <row r="162" spans="1:58" s="578" customFormat="1" ht="12.75" customHeight="1">
      <c r="A162" s="559"/>
      <c r="B162" s="560"/>
      <c r="C162" s="561"/>
      <c r="D162" s="562"/>
      <c r="E162" s="563"/>
      <c r="F162" s="564"/>
      <c r="G162" s="668"/>
      <c r="H162" s="566"/>
      <c r="I162" s="566"/>
      <c r="J162" s="567"/>
      <c r="K162" s="568"/>
      <c r="L162" s="569"/>
      <c r="M162" s="569"/>
      <c r="N162" s="569"/>
      <c r="O162" s="569"/>
      <c r="P162" s="569"/>
      <c r="Q162" s="572"/>
      <c r="R162" s="568"/>
      <c r="S162" s="568"/>
      <c r="T162" s="568"/>
      <c r="U162" s="568"/>
      <c r="V162" s="799"/>
      <c r="W162" s="707" t="s">
        <v>725</v>
      </c>
      <c r="X162" s="896">
        <v>100000</v>
      </c>
      <c r="Y162" s="800"/>
      <c r="Z162" s="568"/>
      <c r="AA162" s="897"/>
      <c r="AB162" s="573"/>
      <c r="AC162" s="573"/>
      <c r="AD162" s="573"/>
      <c r="AE162" s="573"/>
      <c r="AF162" s="573"/>
      <c r="AG162" s="573"/>
      <c r="AH162" s="574"/>
      <c r="AI162" s="575"/>
      <c r="AJ162" s="558"/>
      <c r="AK162" s="576"/>
      <c r="AL162" s="576"/>
      <c r="AM162" s="434"/>
      <c r="AN162" s="434"/>
      <c r="AO162" s="434"/>
      <c r="AP162" s="434"/>
      <c r="AQ162" s="434"/>
      <c r="AR162" s="434"/>
      <c r="AS162" s="434"/>
      <c r="AT162" s="434"/>
      <c r="AU162" s="434"/>
      <c r="AV162" s="434"/>
      <c r="AW162" s="434"/>
      <c r="AX162" s="434"/>
      <c r="AY162" s="434"/>
      <c r="AZ162" s="434"/>
      <c r="BA162" s="434"/>
      <c r="BB162" s="434"/>
      <c r="BC162" s="434"/>
      <c r="BD162" s="434"/>
      <c r="BE162" s="434"/>
      <c r="BF162" s="434"/>
    </row>
    <row r="163" spans="1:58" s="578" customFormat="1" ht="12.75" customHeight="1">
      <c r="A163" s="559"/>
      <c r="B163" s="560"/>
      <c r="C163" s="561"/>
      <c r="D163" s="562"/>
      <c r="E163" s="563"/>
      <c r="F163" s="564"/>
      <c r="G163" s="668"/>
      <c r="H163" s="566"/>
      <c r="I163" s="566"/>
      <c r="J163" s="567"/>
      <c r="K163" s="568"/>
      <c r="L163" s="569"/>
      <c r="M163" s="569"/>
      <c r="N163" s="569"/>
      <c r="O163" s="569"/>
      <c r="P163" s="569"/>
      <c r="Q163" s="572"/>
      <c r="R163" s="568"/>
      <c r="S163" s="568"/>
      <c r="T163" s="568"/>
      <c r="U163" s="568"/>
      <c r="V163" s="799">
        <v>50000</v>
      </c>
      <c r="W163" s="707" t="s">
        <v>726</v>
      </c>
      <c r="X163" s="896">
        <v>10000</v>
      </c>
      <c r="Y163" s="707" t="s">
        <v>727</v>
      </c>
      <c r="Z163" s="568"/>
      <c r="AA163" s="568"/>
      <c r="AB163" s="573"/>
      <c r="AC163" s="573"/>
      <c r="AD163" s="573"/>
      <c r="AE163" s="573"/>
      <c r="AF163" s="573"/>
      <c r="AG163" s="573"/>
      <c r="AH163" s="574"/>
      <c r="AI163" s="575"/>
      <c r="AJ163" s="558"/>
      <c r="AK163" s="576"/>
      <c r="AL163" s="576"/>
      <c r="AM163" s="434"/>
      <c r="AN163" s="434"/>
      <c r="AO163" s="434"/>
      <c r="AP163" s="434"/>
      <c r="AQ163" s="434"/>
      <c r="AR163" s="434"/>
      <c r="AS163" s="434"/>
      <c r="AT163" s="434"/>
      <c r="AU163" s="434"/>
      <c r="AV163" s="434"/>
      <c r="AW163" s="434"/>
      <c r="AX163" s="434"/>
      <c r="AY163" s="434"/>
      <c r="AZ163" s="434"/>
      <c r="BA163" s="434"/>
      <c r="BB163" s="434"/>
      <c r="BC163" s="434"/>
      <c r="BD163" s="434"/>
      <c r="BE163" s="434"/>
      <c r="BF163" s="434"/>
    </row>
    <row r="164" spans="1:58" s="578" customFormat="1" ht="21.75" customHeight="1">
      <c r="A164" s="559"/>
      <c r="B164" s="560" t="s">
        <v>722</v>
      </c>
      <c r="C164" s="561" t="s">
        <v>722</v>
      </c>
      <c r="D164" s="562">
        <v>656550011</v>
      </c>
      <c r="E164" s="563">
        <v>309</v>
      </c>
      <c r="F164" s="564">
        <v>656</v>
      </c>
      <c r="G164" s="668">
        <v>550009990</v>
      </c>
      <c r="H164" s="566" t="s">
        <v>625</v>
      </c>
      <c r="I164" s="566">
        <v>226</v>
      </c>
      <c r="J164" s="567">
        <v>0</v>
      </c>
      <c r="K164" s="568"/>
      <c r="L164" s="569">
        <v>75370.76</v>
      </c>
      <c r="M164" s="569">
        <v>60799.97</v>
      </c>
      <c r="N164" s="569">
        <v>61132.23</v>
      </c>
      <c r="O164" s="569">
        <v>0</v>
      </c>
      <c r="P164" s="569">
        <v>197302.96</v>
      </c>
      <c r="Q164" s="572">
        <f>R164+S164+T164+U164</f>
        <v>100000</v>
      </c>
      <c r="R164" s="568">
        <v>100000</v>
      </c>
      <c r="S164" s="568"/>
      <c r="T164" s="568">
        <v>0</v>
      </c>
      <c r="U164" s="568">
        <v>0</v>
      </c>
      <c r="V164" s="799">
        <v>0</v>
      </c>
      <c r="W164" s="810" t="s">
        <v>728</v>
      </c>
      <c r="X164" s="896">
        <v>30000</v>
      </c>
      <c r="Y164" s="800"/>
      <c r="Z164" s="568"/>
      <c r="AA164" s="897">
        <v>0</v>
      </c>
      <c r="AB164" s="573"/>
      <c r="AC164" s="573"/>
      <c r="AD164" s="573"/>
      <c r="AE164" s="573">
        <v>184509.84</v>
      </c>
      <c r="AF164" s="573">
        <v>0</v>
      </c>
      <c r="AG164" s="573"/>
      <c r="AH164" s="574"/>
      <c r="AI164" s="575">
        <v>0.9351600199003604</v>
      </c>
      <c r="AJ164" s="558" t="s">
        <v>594</v>
      </c>
      <c r="AK164" s="576"/>
      <c r="AL164" s="576"/>
      <c r="AM164" s="434"/>
      <c r="AN164" s="434"/>
      <c r="AO164" s="434"/>
      <c r="AP164" s="434"/>
      <c r="AQ164" s="434"/>
      <c r="AR164" s="434"/>
      <c r="AS164" s="434"/>
      <c r="AT164" s="434"/>
      <c r="AU164" s="434"/>
      <c r="AV164" s="434"/>
      <c r="AW164" s="434"/>
      <c r="AX164" s="434"/>
      <c r="AY164" s="434"/>
      <c r="AZ164" s="434"/>
      <c r="BA164" s="434"/>
      <c r="BB164" s="434"/>
      <c r="BC164" s="434"/>
      <c r="BD164" s="434"/>
      <c r="BE164" s="434"/>
      <c r="BF164" s="434"/>
    </row>
    <row r="165" spans="1:58" s="578" customFormat="1" ht="19.5" customHeight="1">
      <c r="A165" s="559"/>
      <c r="B165" s="762"/>
      <c r="C165" s="580"/>
      <c r="D165" s="705"/>
      <c r="E165" s="898"/>
      <c r="F165" s="899"/>
      <c r="G165" s="900"/>
      <c r="H165" s="901"/>
      <c r="I165" s="901">
        <v>226</v>
      </c>
      <c r="J165" s="902"/>
      <c r="K165" s="903"/>
      <c r="L165" s="767"/>
      <c r="M165" s="569"/>
      <c r="N165" s="569"/>
      <c r="O165" s="767"/>
      <c r="P165" s="569"/>
      <c r="Q165" s="570"/>
      <c r="R165" s="769"/>
      <c r="S165" s="769"/>
      <c r="T165" s="769"/>
      <c r="U165" s="769"/>
      <c r="V165" s="904">
        <v>22000</v>
      </c>
      <c r="W165" s="905" t="s">
        <v>729</v>
      </c>
      <c r="X165" s="906">
        <v>44000</v>
      </c>
      <c r="Y165" s="907"/>
      <c r="Z165" s="769"/>
      <c r="AA165" s="908"/>
      <c r="AB165" s="589"/>
      <c r="AC165" s="667"/>
      <c r="AD165" s="588"/>
      <c r="AE165" s="588"/>
      <c r="AF165" s="589"/>
      <c r="AG165" s="589"/>
      <c r="AH165" s="909"/>
      <c r="AI165" s="590"/>
      <c r="AJ165" s="558"/>
      <c r="AK165" s="576"/>
      <c r="AL165" s="576"/>
      <c r="AM165" s="434"/>
      <c r="AN165" s="434"/>
      <c r="AO165" s="434"/>
      <c r="AP165" s="434"/>
      <c r="AQ165" s="434"/>
      <c r="AR165" s="434"/>
      <c r="AS165" s="434"/>
      <c r="AT165" s="434"/>
      <c r="AU165" s="434"/>
      <c r="AV165" s="434"/>
      <c r="AW165" s="434"/>
      <c r="AX165" s="434"/>
      <c r="AY165" s="434"/>
      <c r="AZ165" s="434"/>
      <c r="BA165" s="434"/>
      <c r="BB165" s="434"/>
      <c r="BC165" s="434"/>
      <c r="BD165" s="434"/>
      <c r="BE165" s="434"/>
      <c r="BF165" s="434"/>
    </row>
    <row r="166" spans="1:58" s="578" customFormat="1" ht="23.25" customHeight="1">
      <c r="A166" s="559"/>
      <c r="B166" s="560" t="s">
        <v>722</v>
      </c>
      <c r="C166" s="561" t="s">
        <v>722</v>
      </c>
      <c r="D166" s="562">
        <v>656550011</v>
      </c>
      <c r="E166" s="563">
        <v>309</v>
      </c>
      <c r="F166" s="564">
        <v>656</v>
      </c>
      <c r="G166" s="668">
        <v>550009990</v>
      </c>
      <c r="H166" s="566" t="s">
        <v>625</v>
      </c>
      <c r="I166" s="566">
        <v>226</v>
      </c>
      <c r="J166" s="567">
        <v>0</v>
      </c>
      <c r="K166" s="568"/>
      <c r="L166" s="569">
        <v>75370.76</v>
      </c>
      <c r="M166" s="569">
        <v>60799.97</v>
      </c>
      <c r="N166" s="569">
        <v>61132.23</v>
      </c>
      <c r="O166" s="569">
        <v>0</v>
      </c>
      <c r="P166" s="569">
        <v>197302.96</v>
      </c>
      <c r="Q166" s="572">
        <f>R166+S166+T166+U166</f>
        <v>100000</v>
      </c>
      <c r="R166" s="568">
        <v>100000</v>
      </c>
      <c r="S166" s="568"/>
      <c r="T166" s="568">
        <v>0</v>
      </c>
      <c r="U166" s="568">
        <v>0</v>
      </c>
      <c r="V166" s="799">
        <v>0</v>
      </c>
      <c r="W166" s="810" t="s">
        <v>730</v>
      </c>
      <c r="X166" s="896">
        <f>3320*12*2</f>
        <v>79680</v>
      </c>
      <c r="Y166" s="800"/>
      <c r="Z166" s="568"/>
      <c r="AA166" s="897">
        <v>0</v>
      </c>
      <c r="AB166" s="573"/>
      <c r="AC166" s="573"/>
      <c r="AD166" s="573"/>
      <c r="AE166" s="573">
        <v>184509.84</v>
      </c>
      <c r="AF166" s="573">
        <v>0</v>
      </c>
      <c r="AG166" s="573"/>
      <c r="AH166" s="574"/>
      <c r="AI166" s="575">
        <v>0.9351600199003604</v>
      </c>
      <c r="AJ166" s="558" t="s">
        <v>594</v>
      </c>
      <c r="AK166" s="576"/>
      <c r="AL166" s="576"/>
      <c r="AM166" s="434"/>
      <c r="AN166" s="434"/>
      <c r="AO166" s="434"/>
      <c r="AP166" s="434"/>
      <c r="AQ166" s="434"/>
      <c r="AR166" s="434"/>
      <c r="AS166" s="434"/>
      <c r="AT166" s="434"/>
      <c r="AU166" s="434"/>
      <c r="AV166" s="434"/>
      <c r="AW166" s="434"/>
      <c r="AX166" s="434"/>
      <c r="AY166" s="434"/>
      <c r="AZ166" s="434"/>
      <c r="BA166" s="434"/>
      <c r="BB166" s="434"/>
      <c r="BC166" s="434"/>
      <c r="BD166" s="434"/>
      <c r="BE166" s="434"/>
      <c r="BF166" s="434"/>
    </row>
    <row r="167" spans="1:58" s="578" customFormat="1" ht="23.25" customHeight="1">
      <c r="A167" s="559"/>
      <c r="B167" s="560" t="s">
        <v>722</v>
      </c>
      <c r="C167" s="561" t="s">
        <v>722</v>
      </c>
      <c r="D167" s="562">
        <v>656550011</v>
      </c>
      <c r="E167" s="563">
        <v>309</v>
      </c>
      <c r="F167" s="564">
        <v>656</v>
      </c>
      <c r="G167" s="668">
        <v>550009990</v>
      </c>
      <c r="H167" s="566" t="s">
        <v>625</v>
      </c>
      <c r="I167" s="566">
        <v>226</v>
      </c>
      <c r="J167" s="567">
        <v>0</v>
      </c>
      <c r="K167" s="568"/>
      <c r="L167" s="569">
        <v>75370.76</v>
      </c>
      <c r="M167" s="569">
        <v>60799.97</v>
      </c>
      <c r="N167" s="569">
        <v>61132.23</v>
      </c>
      <c r="O167" s="569">
        <v>0</v>
      </c>
      <c r="P167" s="569">
        <v>197302.96</v>
      </c>
      <c r="Q167" s="572">
        <f>R167+S167+T167+U167</f>
        <v>100000</v>
      </c>
      <c r="R167" s="568">
        <v>100000</v>
      </c>
      <c r="S167" s="568"/>
      <c r="T167" s="568">
        <v>0</v>
      </c>
      <c r="U167" s="568">
        <v>0</v>
      </c>
      <c r="V167" s="799">
        <v>0</v>
      </c>
      <c r="W167" s="810" t="s">
        <v>731</v>
      </c>
      <c r="X167" s="896">
        <v>10000</v>
      </c>
      <c r="Y167" s="800"/>
      <c r="Z167" s="568"/>
      <c r="AA167" s="897">
        <v>0</v>
      </c>
      <c r="AB167" s="573"/>
      <c r="AC167" s="573"/>
      <c r="AD167" s="573"/>
      <c r="AE167" s="573">
        <v>184509.84</v>
      </c>
      <c r="AF167" s="573">
        <v>0</v>
      </c>
      <c r="AG167" s="573"/>
      <c r="AH167" s="574"/>
      <c r="AI167" s="575">
        <v>0.9351600199003604</v>
      </c>
      <c r="AJ167" s="558" t="s">
        <v>594</v>
      </c>
      <c r="AK167" s="576"/>
      <c r="AL167" s="576"/>
      <c r="AM167" s="434"/>
      <c r="AN167" s="434"/>
      <c r="AO167" s="434"/>
      <c r="AP167" s="434"/>
      <c r="AQ167" s="434"/>
      <c r="AR167" s="434"/>
      <c r="AS167" s="434"/>
      <c r="AT167" s="434"/>
      <c r="AU167" s="434"/>
      <c r="AV167" s="434"/>
      <c r="AW167" s="434"/>
      <c r="AX167" s="434"/>
      <c r="AY167" s="434"/>
      <c r="AZ167" s="434"/>
      <c r="BA167" s="434"/>
      <c r="BB167" s="434"/>
      <c r="BC167" s="434"/>
      <c r="BD167" s="434"/>
      <c r="BE167" s="434"/>
      <c r="BF167" s="434"/>
    </row>
    <row r="168" spans="1:58" s="578" customFormat="1" ht="12" customHeight="1">
      <c r="A168" s="559"/>
      <c r="B168" s="1274" t="s">
        <v>613</v>
      </c>
      <c r="C168" s="1279"/>
      <c r="D168" s="1279"/>
      <c r="E168" s="1279"/>
      <c r="F168" s="1279"/>
      <c r="G168" s="1279"/>
      <c r="H168" s="1279"/>
      <c r="I168" s="1279"/>
      <c r="J168" s="1279"/>
      <c r="K168" s="1280"/>
      <c r="L168" s="582">
        <v>105370.76</v>
      </c>
      <c r="M168" s="583">
        <v>70000</v>
      </c>
      <c r="N168" s="583">
        <v>61132.23</v>
      </c>
      <c r="O168" s="582">
        <v>0</v>
      </c>
      <c r="P168" s="583">
        <v>236502.99</v>
      </c>
      <c r="Q168" s="756">
        <f>R168+S168+T168+U168</f>
        <v>100000</v>
      </c>
      <c r="R168" s="681">
        <f>R160+R164</f>
        <v>100000</v>
      </c>
      <c r="S168" s="681">
        <f>S160+S164</f>
        <v>0</v>
      </c>
      <c r="T168" s="681">
        <f>T160+T164</f>
        <v>0</v>
      </c>
      <c r="U168" s="681">
        <f>U160+U164</f>
        <v>0</v>
      </c>
      <c r="V168" s="910">
        <f>V160+V164+V163+V165</f>
        <v>72000</v>
      </c>
      <c r="W168" s="911">
        <f>V168+X168</f>
        <v>845680</v>
      </c>
      <c r="X168" s="709">
        <f>SUM(X160:X167)</f>
        <v>773680</v>
      </c>
      <c r="Y168" s="912"/>
      <c r="Z168" s="681">
        <f>Z163+Z160+Z161</f>
        <v>0</v>
      </c>
      <c r="AA168" s="681">
        <f>AA163</f>
        <v>0</v>
      </c>
      <c r="AB168" s="1281"/>
      <c r="AC168" s="1282"/>
      <c r="AD168" s="1283"/>
      <c r="AE168" s="588">
        <v>209409.82</v>
      </c>
      <c r="AF168" s="589">
        <v>0</v>
      </c>
      <c r="AG168" s="1281"/>
      <c r="AH168" s="1283"/>
      <c r="AI168" s="590">
        <v>0.885442589964719</v>
      </c>
      <c r="AJ168" s="558" t="s">
        <v>594</v>
      </c>
      <c r="AK168" s="576"/>
      <c r="AL168" s="576"/>
      <c r="AM168" s="434"/>
      <c r="AN168" s="434"/>
      <c r="AO168" s="434"/>
      <c r="AP168" s="434"/>
      <c r="AQ168" s="434"/>
      <c r="AR168" s="434"/>
      <c r="AS168" s="434"/>
      <c r="AT168" s="434"/>
      <c r="AU168" s="434"/>
      <c r="AV168" s="434"/>
      <c r="AW168" s="434"/>
      <c r="AX168" s="434"/>
      <c r="AY168" s="434"/>
      <c r="AZ168" s="434"/>
      <c r="BA168" s="434"/>
      <c r="BB168" s="434"/>
      <c r="BC168" s="434"/>
      <c r="BD168" s="434"/>
      <c r="BE168" s="434"/>
      <c r="BF168" s="434"/>
    </row>
    <row r="169" spans="1:38" ht="26.25" customHeight="1" hidden="1">
      <c r="A169" s="557"/>
      <c r="B169" s="913"/>
      <c r="C169" s="914"/>
      <c r="D169" s="1337" t="s">
        <v>732</v>
      </c>
      <c r="E169" s="1337"/>
      <c r="F169" s="1337"/>
      <c r="G169" s="1337"/>
      <c r="H169" s="1337"/>
      <c r="I169" s="1337"/>
      <c r="J169" s="1337"/>
      <c r="K169" s="1337"/>
      <c r="L169" s="1337"/>
      <c r="M169" s="1337"/>
      <c r="N169" s="1337"/>
      <c r="O169" s="1337"/>
      <c r="P169" s="1337"/>
      <c r="Q169" s="1337"/>
      <c r="R169" s="1337"/>
      <c r="S169" s="1337"/>
      <c r="T169" s="1337"/>
      <c r="U169" s="1337"/>
      <c r="V169" s="1337"/>
      <c r="W169" s="914"/>
      <c r="X169" s="915"/>
      <c r="Y169" s="916"/>
      <c r="Z169" s="914"/>
      <c r="AA169" s="914"/>
      <c r="AB169" s="914"/>
      <c r="AC169" s="914"/>
      <c r="AD169" s="914"/>
      <c r="AE169" s="914"/>
      <c r="AF169" s="914"/>
      <c r="AG169" s="914"/>
      <c r="AH169" s="914"/>
      <c r="AI169" s="917"/>
      <c r="AJ169" s="558" t="s">
        <v>594</v>
      </c>
      <c r="AK169" s="426"/>
      <c r="AL169" s="426"/>
    </row>
    <row r="170" spans="1:38" ht="12.75" customHeight="1" hidden="1">
      <c r="A170" s="557"/>
      <c r="B170" s="560" t="s">
        <v>732</v>
      </c>
      <c r="C170" s="561" t="s">
        <v>732</v>
      </c>
      <c r="D170" s="562">
        <v>656030031</v>
      </c>
      <c r="E170" s="563">
        <v>309</v>
      </c>
      <c r="F170" s="564">
        <v>656</v>
      </c>
      <c r="G170" s="668">
        <v>7953101</v>
      </c>
      <c r="H170" s="566" t="s">
        <v>625</v>
      </c>
      <c r="I170" s="566">
        <v>226</v>
      </c>
      <c r="J170" s="567">
        <v>0</v>
      </c>
      <c r="K170" s="568"/>
      <c r="L170" s="607">
        <v>13891.92</v>
      </c>
      <c r="M170" s="607">
        <v>0</v>
      </c>
      <c r="N170" s="607">
        <v>8139.89</v>
      </c>
      <c r="O170" s="607">
        <v>0</v>
      </c>
      <c r="P170" s="918">
        <v>22031.81</v>
      </c>
      <c r="Q170" s="572"/>
      <c r="R170" s="919"/>
      <c r="S170" s="919"/>
      <c r="T170" s="919"/>
      <c r="U170" s="919"/>
      <c r="V170" s="920"/>
      <c r="W170" s="921"/>
      <c r="X170" s="612"/>
      <c r="Y170" s="922"/>
      <c r="Z170" s="568"/>
      <c r="AA170" s="897"/>
      <c r="AB170" s="573"/>
      <c r="AC170" s="573"/>
      <c r="AD170" s="573"/>
      <c r="AE170" s="573">
        <v>22031.81</v>
      </c>
      <c r="AF170" s="573">
        <v>0</v>
      </c>
      <c r="AG170" s="573"/>
      <c r="AH170" s="574"/>
      <c r="AI170" s="575">
        <v>1</v>
      </c>
      <c r="AJ170" s="558" t="s">
        <v>594</v>
      </c>
      <c r="AK170" s="426"/>
      <c r="AL170" s="426"/>
    </row>
    <row r="171" spans="1:38" ht="12.75" customHeight="1" hidden="1">
      <c r="A171" s="557"/>
      <c r="B171" s="1274" t="s">
        <v>613</v>
      </c>
      <c r="C171" s="1279"/>
      <c r="D171" s="1279"/>
      <c r="E171" s="1279"/>
      <c r="F171" s="1279"/>
      <c r="G171" s="1279"/>
      <c r="H171" s="1279"/>
      <c r="I171" s="1279"/>
      <c r="J171" s="1279"/>
      <c r="K171" s="1280"/>
      <c r="L171" s="845">
        <v>13891.92</v>
      </c>
      <c r="M171" s="608">
        <v>0</v>
      </c>
      <c r="N171" s="608">
        <v>8139.89</v>
      </c>
      <c r="O171" s="845">
        <v>0</v>
      </c>
      <c r="P171" s="923">
        <v>22031.81</v>
      </c>
      <c r="Q171" s="570"/>
      <c r="R171" s="846"/>
      <c r="S171" s="847"/>
      <c r="T171" s="846"/>
      <c r="U171" s="847"/>
      <c r="V171" s="924"/>
      <c r="W171" s="925"/>
      <c r="X171" s="683"/>
      <c r="Y171" s="926"/>
      <c r="Z171" s="682"/>
      <c r="AA171" s="927"/>
      <c r="AB171" s="1281"/>
      <c r="AC171" s="1282"/>
      <c r="AD171" s="1283"/>
      <c r="AE171" s="588">
        <v>22031.81</v>
      </c>
      <c r="AF171" s="589">
        <v>0</v>
      </c>
      <c r="AG171" s="1281"/>
      <c r="AH171" s="1283"/>
      <c r="AI171" s="590">
        <v>1</v>
      </c>
      <c r="AJ171" s="558" t="s">
        <v>594</v>
      </c>
      <c r="AK171" s="426"/>
      <c r="AL171" s="426"/>
    </row>
    <row r="172" spans="1:38" ht="22.5" customHeight="1" hidden="1">
      <c r="A172" s="557"/>
      <c r="B172" s="1274" t="s">
        <v>733</v>
      </c>
      <c r="C172" s="1279"/>
      <c r="D172" s="1279"/>
      <c r="E172" s="1279"/>
      <c r="F172" s="1279"/>
      <c r="G172" s="1279"/>
      <c r="H172" s="1279"/>
      <c r="I172" s="1279"/>
      <c r="J172" s="1279"/>
      <c r="K172" s="1279"/>
      <c r="L172" s="1279"/>
      <c r="M172" s="1279"/>
      <c r="N172" s="1279"/>
      <c r="O172" s="1279"/>
      <c r="P172" s="1279"/>
      <c r="Q172" s="1279"/>
      <c r="R172" s="1279"/>
      <c r="S172" s="1279"/>
      <c r="T172" s="1279"/>
      <c r="U172" s="1279"/>
      <c r="V172" s="1279"/>
      <c r="W172" s="1279"/>
      <c r="X172" s="1279"/>
      <c r="Y172" s="1279"/>
      <c r="Z172" s="1279"/>
      <c r="AA172" s="1279"/>
      <c r="AB172" s="1279"/>
      <c r="AC172" s="1279"/>
      <c r="AD172" s="1279"/>
      <c r="AE172" s="1279"/>
      <c r="AF172" s="1279"/>
      <c r="AG172" s="1279"/>
      <c r="AH172" s="1279"/>
      <c r="AI172" s="1301"/>
      <c r="AJ172" s="558" t="s">
        <v>594</v>
      </c>
      <c r="AK172" s="426"/>
      <c r="AL172" s="426"/>
    </row>
    <row r="173" spans="1:38" ht="12.75" customHeight="1" hidden="1">
      <c r="A173" s="557"/>
      <c r="B173" s="560" t="s">
        <v>733</v>
      </c>
      <c r="C173" s="561" t="s">
        <v>733</v>
      </c>
      <c r="D173" s="562">
        <v>656030032</v>
      </c>
      <c r="E173" s="563">
        <v>309</v>
      </c>
      <c r="F173" s="564">
        <v>656</v>
      </c>
      <c r="G173" s="668">
        <v>5227601</v>
      </c>
      <c r="H173" s="566" t="s">
        <v>625</v>
      </c>
      <c r="I173" s="566">
        <v>226</v>
      </c>
      <c r="J173" s="567">
        <v>0</v>
      </c>
      <c r="K173" s="568"/>
      <c r="L173" s="607">
        <v>0</v>
      </c>
      <c r="M173" s="607">
        <v>125100</v>
      </c>
      <c r="N173" s="607">
        <v>0</v>
      </c>
      <c r="O173" s="607">
        <v>0</v>
      </c>
      <c r="P173" s="918">
        <v>125100</v>
      </c>
      <c r="Q173" s="572"/>
      <c r="R173" s="919">
        <v>125100</v>
      </c>
      <c r="S173" s="919"/>
      <c r="T173" s="919"/>
      <c r="U173" s="919"/>
      <c r="V173" s="920"/>
      <c r="W173" s="921"/>
      <c r="X173" s="612"/>
      <c r="Y173" s="922"/>
      <c r="Z173" s="568"/>
      <c r="AA173" s="897"/>
      <c r="AB173" s="573"/>
      <c r="AC173" s="573"/>
      <c r="AD173" s="573"/>
      <c r="AE173" s="573">
        <v>125027.31</v>
      </c>
      <c r="AF173" s="573">
        <v>0</v>
      </c>
      <c r="AG173" s="573"/>
      <c r="AH173" s="574"/>
      <c r="AI173" s="575">
        <v>0.9994189448441246</v>
      </c>
      <c r="AJ173" s="558" t="s">
        <v>594</v>
      </c>
      <c r="AK173" s="426"/>
      <c r="AL173" s="426"/>
    </row>
    <row r="174" spans="1:38" ht="12.75" customHeight="1" hidden="1">
      <c r="A174" s="557"/>
      <c r="B174" s="1274" t="s">
        <v>613</v>
      </c>
      <c r="C174" s="1279"/>
      <c r="D174" s="1279"/>
      <c r="E174" s="1279"/>
      <c r="F174" s="1279"/>
      <c r="G174" s="1279"/>
      <c r="H174" s="1279"/>
      <c r="I174" s="1279"/>
      <c r="J174" s="1279"/>
      <c r="K174" s="1280"/>
      <c r="L174" s="845">
        <v>0</v>
      </c>
      <c r="M174" s="608">
        <v>125100</v>
      </c>
      <c r="N174" s="608">
        <v>0</v>
      </c>
      <c r="O174" s="845">
        <v>0</v>
      </c>
      <c r="P174" s="923">
        <v>125100</v>
      </c>
      <c r="Q174" s="570"/>
      <c r="R174" s="846">
        <v>125100</v>
      </c>
      <c r="S174" s="847"/>
      <c r="T174" s="846"/>
      <c r="U174" s="847"/>
      <c r="V174" s="924"/>
      <c r="W174" s="925"/>
      <c r="X174" s="683"/>
      <c r="Y174" s="926"/>
      <c r="Z174" s="682"/>
      <c r="AA174" s="927"/>
      <c r="AB174" s="1281"/>
      <c r="AC174" s="1282"/>
      <c r="AD174" s="1283"/>
      <c r="AE174" s="588">
        <v>125027.31</v>
      </c>
      <c r="AF174" s="589">
        <v>0</v>
      </c>
      <c r="AG174" s="1281"/>
      <c r="AH174" s="1283"/>
      <c r="AI174" s="590">
        <v>0.9994189448441246</v>
      </c>
      <c r="AJ174" s="558" t="s">
        <v>594</v>
      </c>
      <c r="AK174" s="426"/>
      <c r="AL174" s="426"/>
    </row>
    <row r="175" spans="1:58" s="931" customFormat="1" ht="2.25" customHeight="1" hidden="1">
      <c r="A175" s="928"/>
      <c r="B175" s="1334" t="s">
        <v>734</v>
      </c>
      <c r="C175" s="1335"/>
      <c r="D175" s="1335"/>
      <c r="E175" s="1335"/>
      <c r="F175" s="1335"/>
      <c r="G175" s="1335"/>
      <c r="H175" s="1335"/>
      <c r="I175" s="1335"/>
      <c r="J175" s="1335"/>
      <c r="K175" s="1335"/>
      <c r="L175" s="1335"/>
      <c r="M175" s="1335"/>
      <c r="N175" s="1335"/>
      <c r="O175" s="1335"/>
      <c r="P175" s="1335"/>
      <c r="Q175" s="1335"/>
      <c r="R175" s="1335"/>
      <c r="S175" s="1335"/>
      <c r="T175" s="1335"/>
      <c r="U175" s="1335"/>
      <c r="V175" s="1335"/>
      <c r="W175" s="1335"/>
      <c r="X175" s="1335"/>
      <c r="Y175" s="1335"/>
      <c r="Z175" s="1335"/>
      <c r="AA175" s="1335"/>
      <c r="AB175" s="1335"/>
      <c r="AC175" s="1335"/>
      <c r="AD175" s="1335"/>
      <c r="AE175" s="1335"/>
      <c r="AF175" s="1335"/>
      <c r="AG175" s="1335"/>
      <c r="AH175" s="1335"/>
      <c r="AI175" s="1336"/>
      <c r="AJ175" s="929" t="s">
        <v>594</v>
      </c>
      <c r="AK175" s="930"/>
      <c r="AL175" s="930"/>
      <c r="AM175" s="434"/>
      <c r="AN175" s="434"/>
      <c r="AO175" s="434"/>
      <c r="AP175" s="434"/>
      <c r="AQ175" s="434"/>
      <c r="AR175" s="434"/>
      <c r="AS175" s="434"/>
      <c r="AT175" s="434"/>
      <c r="AU175" s="434"/>
      <c r="AV175" s="434"/>
      <c r="AW175" s="434"/>
      <c r="AX175" s="434"/>
      <c r="AY175" s="434"/>
      <c r="AZ175" s="434"/>
      <c r="BA175" s="434"/>
      <c r="BB175" s="434"/>
      <c r="BC175" s="434"/>
      <c r="BD175" s="434"/>
      <c r="BE175" s="434"/>
      <c r="BF175" s="434"/>
    </row>
    <row r="176" spans="1:38" ht="12.75" customHeight="1" hidden="1">
      <c r="A176" s="557"/>
      <c r="B176" s="560" t="s">
        <v>733</v>
      </c>
      <c r="C176" s="561" t="s">
        <v>733</v>
      </c>
      <c r="D176" s="562">
        <v>656030032</v>
      </c>
      <c r="E176" s="563">
        <v>309</v>
      </c>
      <c r="F176" s="564">
        <v>656</v>
      </c>
      <c r="G176" s="932">
        <v>5227601</v>
      </c>
      <c r="H176" s="566" t="s">
        <v>625</v>
      </c>
      <c r="I176" s="566">
        <v>226</v>
      </c>
      <c r="J176" s="567">
        <v>0</v>
      </c>
      <c r="K176" s="568"/>
      <c r="L176" s="607">
        <v>0</v>
      </c>
      <c r="M176" s="607">
        <v>125100</v>
      </c>
      <c r="N176" s="607">
        <v>0</v>
      </c>
      <c r="O176" s="569">
        <v>0</v>
      </c>
      <c r="P176" s="569"/>
      <c r="Q176" s="572"/>
      <c r="R176" s="933"/>
      <c r="S176" s="919">
        <v>133200</v>
      </c>
      <c r="T176" s="919"/>
      <c r="U176" s="919"/>
      <c r="V176" s="934">
        <v>0</v>
      </c>
      <c r="W176" s="935"/>
      <c r="X176" s="612"/>
      <c r="Y176" s="936"/>
      <c r="Z176" s="568"/>
      <c r="AA176" s="897"/>
      <c r="AB176" s="573"/>
      <c r="AC176" s="573"/>
      <c r="AD176" s="573"/>
      <c r="AE176" s="573">
        <v>125027.31</v>
      </c>
      <c r="AF176" s="573">
        <v>0</v>
      </c>
      <c r="AG176" s="573"/>
      <c r="AH176" s="574"/>
      <c r="AI176" s="575">
        <v>0.9994189448441246</v>
      </c>
      <c r="AJ176" s="558" t="s">
        <v>594</v>
      </c>
      <c r="AK176" s="426"/>
      <c r="AL176" s="426"/>
    </row>
    <row r="177" spans="1:38" ht="12.75" customHeight="1" hidden="1">
      <c r="A177" s="557"/>
      <c r="B177" s="1274" t="s">
        <v>613</v>
      </c>
      <c r="C177" s="1279"/>
      <c r="D177" s="1279"/>
      <c r="E177" s="1279"/>
      <c r="F177" s="1279"/>
      <c r="G177" s="1279"/>
      <c r="H177" s="1279"/>
      <c r="I177" s="1279"/>
      <c r="J177" s="1279"/>
      <c r="K177" s="1280"/>
      <c r="L177" s="845">
        <v>0</v>
      </c>
      <c r="M177" s="608">
        <v>125100</v>
      </c>
      <c r="N177" s="608">
        <v>0</v>
      </c>
      <c r="O177" s="582">
        <v>0</v>
      </c>
      <c r="P177" s="583"/>
      <c r="Q177" s="570"/>
      <c r="R177" s="848"/>
      <c r="S177" s="937">
        <f>S176</f>
        <v>133200</v>
      </c>
      <c r="T177" s="846"/>
      <c r="U177" s="847"/>
      <c r="V177" s="938">
        <f>V176</f>
        <v>0</v>
      </c>
      <c r="W177" s="849"/>
      <c r="X177" s="683"/>
      <c r="Y177" s="850"/>
      <c r="Z177" s="682"/>
      <c r="AA177" s="927"/>
      <c r="AB177" s="1281"/>
      <c r="AC177" s="1282"/>
      <c r="AD177" s="1283"/>
      <c r="AE177" s="588">
        <v>125027.31</v>
      </c>
      <c r="AF177" s="589">
        <v>0</v>
      </c>
      <c r="AG177" s="1281"/>
      <c r="AH177" s="1283"/>
      <c r="AI177" s="590">
        <v>0.9994189448441246</v>
      </c>
      <c r="AJ177" s="558" t="s">
        <v>594</v>
      </c>
      <c r="AK177" s="426"/>
      <c r="AL177" s="426"/>
    </row>
    <row r="178" spans="1:58" s="578" customFormat="1" ht="12.75" customHeight="1">
      <c r="A178" s="559"/>
      <c r="B178" s="579"/>
      <c r="C178" s="580"/>
      <c r="D178" s="580"/>
      <c r="E178" s="580"/>
      <c r="F178" s="580"/>
      <c r="G178" s="580"/>
      <c r="H178" s="580"/>
      <c r="I178" s="580"/>
      <c r="J178" s="580"/>
      <c r="K178" s="580"/>
      <c r="L178" s="828"/>
      <c r="M178" s="828"/>
      <c r="N178" s="828"/>
      <c r="O178" s="828"/>
      <c r="P178" s="828"/>
      <c r="Q178" s="570"/>
      <c r="R178" s="829"/>
      <c r="S178" s="688"/>
      <c r="T178" s="587"/>
      <c r="U178" s="667"/>
      <c r="V178" s="829"/>
      <c r="W178" s="587"/>
      <c r="X178" s="939"/>
      <c r="Y178" s="940"/>
      <c r="Z178" s="587"/>
      <c r="AA178" s="941"/>
      <c r="AB178" s="587"/>
      <c r="AC178" s="587"/>
      <c r="AD178" s="587"/>
      <c r="AE178" s="667"/>
      <c r="AF178" s="667"/>
      <c r="AG178" s="587"/>
      <c r="AH178" s="587"/>
      <c r="AI178" s="590"/>
      <c r="AJ178" s="558"/>
      <c r="AK178" s="576"/>
      <c r="AL178" s="576"/>
      <c r="AM178" s="434"/>
      <c r="AN178" s="434"/>
      <c r="AO178" s="434"/>
      <c r="AP178" s="434"/>
      <c r="AQ178" s="434"/>
      <c r="AR178" s="434"/>
      <c r="AS178" s="434"/>
      <c r="AT178" s="434"/>
      <c r="AU178" s="434"/>
      <c r="AV178" s="434"/>
      <c r="AW178" s="434"/>
      <c r="AX178" s="434"/>
      <c r="AY178" s="434"/>
      <c r="AZ178" s="434"/>
      <c r="BA178" s="434"/>
      <c r="BB178" s="434"/>
      <c r="BC178" s="434"/>
      <c r="BD178" s="434"/>
      <c r="BE178" s="434"/>
      <c r="BF178" s="434"/>
    </row>
    <row r="179" spans="1:58" s="578" customFormat="1" ht="12.75" customHeight="1">
      <c r="A179" s="559"/>
      <c r="B179" s="579"/>
      <c r="C179" s="580"/>
      <c r="D179" s="580"/>
      <c r="E179" s="580"/>
      <c r="F179" s="580"/>
      <c r="G179" s="580"/>
      <c r="H179" s="580"/>
      <c r="I179" s="580"/>
      <c r="J179" s="580"/>
      <c r="K179" s="580"/>
      <c r="L179" s="828"/>
      <c r="M179" s="828"/>
      <c r="N179" s="828"/>
      <c r="O179" s="828"/>
      <c r="P179" s="828"/>
      <c r="Q179" s="570"/>
      <c r="R179" s="829"/>
      <c r="S179" s="688"/>
      <c r="T179" s="587"/>
      <c r="U179" s="667"/>
      <c r="V179" s="829"/>
      <c r="W179" s="587"/>
      <c r="X179" s="939"/>
      <c r="Y179" s="940"/>
      <c r="Z179" s="587"/>
      <c r="AA179" s="941"/>
      <c r="AB179" s="587"/>
      <c r="AC179" s="587"/>
      <c r="AD179" s="587"/>
      <c r="AE179" s="667"/>
      <c r="AF179" s="667"/>
      <c r="AG179" s="587"/>
      <c r="AH179" s="587"/>
      <c r="AI179" s="590"/>
      <c r="AJ179" s="558"/>
      <c r="AK179" s="576"/>
      <c r="AL179" s="576"/>
      <c r="AM179" s="434"/>
      <c r="AN179" s="434"/>
      <c r="AO179" s="434"/>
      <c r="AP179" s="434"/>
      <c r="AQ179" s="434"/>
      <c r="AR179" s="434"/>
      <c r="AS179" s="434"/>
      <c r="AT179" s="434"/>
      <c r="AU179" s="434"/>
      <c r="AV179" s="434"/>
      <c r="AW179" s="434"/>
      <c r="AX179" s="434"/>
      <c r="AY179" s="434"/>
      <c r="AZ179" s="434"/>
      <c r="BA179" s="434"/>
      <c r="BB179" s="434"/>
      <c r="BC179" s="434"/>
      <c r="BD179" s="434"/>
      <c r="BE179" s="434"/>
      <c r="BF179" s="434"/>
    </row>
    <row r="180" spans="1:58" s="578" customFormat="1" ht="22.5" customHeight="1">
      <c r="A180" s="559"/>
      <c r="B180" s="1274" t="s">
        <v>735</v>
      </c>
      <c r="C180" s="1279"/>
      <c r="D180" s="1279"/>
      <c r="E180" s="1279"/>
      <c r="F180" s="1279"/>
      <c r="G180" s="1279"/>
      <c r="H180" s="1279"/>
      <c r="I180" s="1279"/>
      <c r="J180" s="1279"/>
      <c r="K180" s="1279"/>
      <c r="L180" s="1279"/>
      <c r="M180" s="1279"/>
      <c r="N180" s="1279"/>
      <c r="O180" s="1279"/>
      <c r="P180" s="1279"/>
      <c r="Q180" s="1279"/>
      <c r="R180" s="1279"/>
      <c r="S180" s="1279"/>
      <c r="T180" s="1279"/>
      <c r="U180" s="1279"/>
      <c r="V180" s="1279"/>
      <c r="W180" s="1279"/>
      <c r="X180" s="1279"/>
      <c r="Y180" s="1279"/>
      <c r="Z180" s="1279"/>
      <c r="AA180" s="1279"/>
      <c r="AB180" s="1279"/>
      <c r="AC180" s="1279"/>
      <c r="AD180" s="1279"/>
      <c r="AE180" s="1279"/>
      <c r="AF180" s="1279"/>
      <c r="AG180" s="1279"/>
      <c r="AH180" s="1279"/>
      <c r="AI180" s="1301"/>
      <c r="AJ180" s="558" t="s">
        <v>594</v>
      </c>
      <c r="AK180" s="576"/>
      <c r="AL180" s="576"/>
      <c r="AM180" s="434"/>
      <c r="AN180" s="434"/>
      <c r="AO180" s="434"/>
      <c r="AP180" s="434"/>
      <c r="AQ180" s="434"/>
      <c r="AR180" s="434"/>
      <c r="AS180" s="434"/>
      <c r="AT180" s="434"/>
      <c r="AU180" s="434"/>
      <c r="AV180" s="434"/>
      <c r="AW180" s="434"/>
      <c r="AX180" s="434"/>
      <c r="AY180" s="434"/>
      <c r="AZ180" s="434"/>
      <c r="BA180" s="434"/>
      <c r="BB180" s="434"/>
      <c r="BC180" s="434"/>
      <c r="BD180" s="434"/>
      <c r="BE180" s="434"/>
      <c r="BF180" s="434"/>
    </row>
    <row r="181" spans="1:58" s="578" customFormat="1" ht="27.75" customHeight="1">
      <c r="A181" s="559"/>
      <c r="B181" s="560" t="s">
        <v>733</v>
      </c>
      <c r="C181" s="561" t="s">
        <v>733</v>
      </c>
      <c r="D181" s="562">
        <v>656580011</v>
      </c>
      <c r="E181" s="563">
        <v>309</v>
      </c>
      <c r="F181" s="564">
        <v>656</v>
      </c>
      <c r="G181" s="668" t="s">
        <v>736</v>
      </c>
      <c r="H181" s="566" t="s">
        <v>625</v>
      </c>
      <c r="I181" s="566">
        <v>226</v>
      </c>
      <c r="J181" s="942">
        <v>0</v>
      </c>
      <c r="K181" s="943"/>
      <c r="L181" s="757">
        <v>0</v>
      </c>
      <c r="M181" s="757">
        <v>125100</v>
      </c>
      <c r="N181" s="757">
        <v>0</v>
      </c>
      <c r="O181" s="757">
        <v>0</v>
      </c>
      <c r="P181" s="757"/>
      <c r="Q181" s="703">
        <f>R181+S181+T181+U181</f>
        <v>80000</v>
      </c>
      <c r="R181" s="944">
        <v>80000</v>
      </c>
      <c r="S181" s="943"/>
      <c r="T181" s="943"/>
      <c r="U181" s="943"/>
      <c r="V181" s="944">
        <v>0</v>
      </c>
      <c r="W181" s="945" t="s">
        <v>737</v>
      </c>
      <c r="X181" s="944">
        <v>450000</v>
      </c>
      <c r="Y181" s="612"/>
      <c r="Z181" s="944"/>
      <c r="AA181" s="944"/>
      <c r="AB181" s="573"/>
      <c r="AC181" s="573"/>
      <c r="AD181" s="573"/>
      <c r="AE181" s="573">
        <v>125027.31</v>
      </c>
      <c r="AF181" s="573">
        <v>0</v>
      </c>
      <c r="AG181" s="573"/>
      <c r="AH181" s="574"/>
      <c r="AI181" s="575">
        <v>0.9994189448441246</v>
      </c>
      <c r="AJ181" s="558" t="s">
        <v>594</v>
      </c>
      <c r="AK181" s="576"/>
      <c r="AL181" s="576"/>
      <c r="AM181" s="434" t="s">
        <v>738</v>
      </c>
      <c r="AN181" s="434"/>
      <c r="AO181" s="434"/>
      <c r="AP181" s="434"/>
      <c r="AQ181" s="434"/>
      <c r="AR181" s="434"/>
      <c r="AS181" s="434"/>
      <c r="AT181" s="434"/>
      <c r="AU181" s="434"/>
      <c r="AV181" s="434"/>
      <c r="AW181" s="434"/>
      <c r="AX181" s="434"/>
      <c r="AY181" s="434"/>
      <c r="AZ181" s="434"/>
      <c r="BA181" s="434"/>
      <c r="BB181" s="434"/>
      <c r="BC181" s="434"/>
      <c r="BD181" s="434"/>
      <c r="BE181" s="434"/>
      <c r="BF181" s="434"/>
    </row>
    <row r="182" spans="1:58" s="578" customFormat="1" ht="11.25" customHeight="1" thickBot="1">
      <c r="A182" s="559"/>
      <c r="B182" s="1274" t="s">
        <v>613</v>
      </c>
      <c r="C182" s="1279"/>
      <c r="D182" s="1279"/>
      <c r="E182" s="1279"/>
      <c r="F182" s="1279"/>
      <c r="G182" s="1279"/>
      <c r="H182" s="1279"/>
      <c r="I182" s="1279"/>
      <c r="J182" s="1279"/>
      <c r="K182" s="1280"/>
      <c r="L182" s="582">
        <v>0</v>
      </c>
      <c r="M182" s="583">
        <v>125100</v>
      </c>
      <c r="N182" s="583">
        <v>0</v>
      </c>
      <c r="O182" s="582">
        <v>0</v>
      </c>
      <c r="P182" s="583"/>
      <c r="Q182" s="756">
        <f>R182+S182+T182+U182</f>
        <v>80000</v>
      </c>
      <c r="R182" s="681">
        <f>R181</f>
        <v>80000</v>
      </c>
      <c r="S182" s="667"/>
      <c r="T182" s="680"/>
      <c r="U182" s="667"/>
      <c r="V182" s="816">
        <f>V181</f>
        <v>0</v>
      </c>
      <c r="W182" s="946" t="s">
        <v>739</v>
      </c>
      <c r="X182" s="816">
        <f>X181</f>
        <v>450000</v>
      </c>
      <c r="Y182" s="684"/>
      <c r="Z182" s="681">
        <f>Z181</f>
        <v>0</v>
      </c>
      <c r="AA182" s="681">
        <f>AA181</f>
        <v>0</v>
      </c>
      <c r="AB182" s="1281"/>
      <c r="AC182" s="1282"/>
      <c r="AD182" s="1283"/>
      <c r="AE182" s="588">
        <v>125027.31</v>
      </c>
      <c r="AF182" s="589">
        <v>0</v>
      </c>
      <c r="AG182" s="1281"/>
      <c r="AH182" s="1283"/>
      <c r="AI182" s="590">
        <v>0.9994189448441246</v>
      </c>
      <c r="AJ182" s="558" t="s">
        <v>594</v>
      </c>
      <c r="AK182" s="576"/>
      <c r="AL182" s="576"/>
      <c r="AM182" s="434"/>
      <c r="AN182" s="434"/>
      <c r="AO182" s="434"/>
      <c r="AP182" s="434"/>
      <c r="AQ182" s="434"/>
      <c r="AR182" s="434"/>
      <c r="AS182" s="434"/>
      <c r="AT182" s="434"/>
      <c r="AU182" s="434"/>
      <c r="AV182" s="434"/>
      <c r="AW182" s="434"/>
      <c r="AX182" s="434"/>
      <c r="AY182" s="434"/>
      <c r="AZ182" s="434"/>
      <c r="BA182" s="434"/>
      <c r="BB182" s="434"/>
      <c r="BC182" s="434"/>
      <c r="BD182" s="434"/>
      <c r="BE182" s="434"/>
      <c r="BF182" s="434"/>
    </row>
    <row r="183" spans="1:38" ht="12.75" customHeight="1" hidden="1">
      <c r="A183" s="557"/>
      <c r="B183" s="1274" t="s">
        <v>740</v>
      </c>
      <c r="C183" s="1279"/>
      <c r="D183" s="1279"/>
      <c r="E183" s="1279"/>
      <c r="F183" s="1279"/>
      <c r="G183" s="1279"/>
      <c r="H183" s="1279"/>
      <c r="I183" s="1279"/>
      <c r="J183" s="1279"/>
      <c r="K183" s="1279"/>
      <c r="L183" s="1279"/>
      <c r="M183" s="1279"/>
      <c r="N183" s="1279"/>
      <c r="O183" s="1279"/>
      <c r="P183" s="1279"/>
      <c r="Q183" s="1279"/>
      <c r="R183" s="1279"/>
      <c r="S183" s="1279"/>
      <c r="T183" s="1279"/>
      <c r="U183" s="1279"/>
      <c r="V183" s="1279"/>
      <c r="W183" s="1279"/>
      <c r="X183" s="1279"/>
      <c r="Y183" s="1279"/>
      <c r="Z183" s="1279"/>
      <c r="AA183" s="1279"/>
      <c r="AB183" s="1279"/>
      <c r="AC183" s="1279"/>
      <c r="AD183" s="1279"/>
      <c r="AE183" s="1279"/>
      <c r="AF183" s="1279"/>
      <c r="AG183" s="1279"/>
      <c r="AH183" s="1279"/>
      <c r="AI183" s="1301"/>
      <c r="AJ183" s="558" t="s">
        <v>594</v>
      </c>
      <c r="AK183" s="426"/>
      <c r="AL183" s="426"/>
    </row>
    <row r="184" spans="1:38" ht="12.75" customHeight="1" hidden="1">
      <c r="A184" s="557"/>
      <c r="B184" s="560" t="s">
        <v>740</v>
      </c>
      <c r="C184" s="561" t="s">
        <v>740</v>
      </c>
      <c r="D184" s="562">
        <v>656030041</v>
      </c>
      <c r="E184" s="563">
        <v>314</v>
      </c>
      <c r="F184" s="564">
        <v>656</v>
      </c>
      <c r="G184" s="668">
        <v>7951600</v>
      </c>
      <c r="H184" s="566" t="s">
        <v>632</v>
      </c>
      <c r="I184" s="566">
        <v>251</v>
      </c>
      <c r="J184" s="567">
        <v>0</v>
      </c>
      <c r="K184" s="568"/>
      <c r="L184" s="607">
        <v>0</v>
      </c>
      <c r="M184" s="607">
        <v>0</v>
      </c>
      <c r="N184" s="607">
        <v>0</v>
      </c>
      <c r="O184" s="607">
        <v>0</v>
      </c>
      <c r="P184" s="607">
        <v>0</v>
      </c>
      <c r="Q184" s="572"/>
      <c r="R184" s="919">
        <v>0</v>
      </c>
      <c r="S184" s="919">
        <v>0</v>
      </c>
      <c r="T184" s="919">
        <v>0</v>
      </c>
      <c r="U184" s="919">
        <v>0</v>
      </c>
      <c r="V184" s="611"/>
      <c r="W184" s="568"/>
      <c r="X184" s="612"/>
      <c r="Y184" s="613"/>
      <c r="Z184" s="568"/>
      <c r="AA184" s="897"/>
      <c r="AB184" s="573"/>
      <c r="AC184" s="573"/>
      <c r="AD184" s="573"/>
      <c r="AE184" s="573">
        <v>0</v>
      </c>
      <c r="AF184" s="573">
        <v>0</v>
      </c>
      <c r="AG184" s="573"/>
      <c r="AH184" s="574"/>
      <c r="AI184" s="575"/>
      <c r="AJ184" s="558" t="s">
        <v>594</v>
      </c>
      <c r="AK184" s="426"/>
      <c r="AL184" s="426"/>
    </row>
    <row r="185" spans="1:38" ht="12.75" customHeight="1" hidden="1">
      <c r="A185" s="557"/>
      <c r="B185" s="1274" t="s">
        <v>613</v>
      </c>
      <c r="C185" s="1279"/>
      <c r="D185" s="1279"/>
      <c r="E185" s="1279"/>
      <c r="F185" s="1279"/>
      <c r="G185" s="1279"/>
      <c r="H185" s="1279"/>
      <c r="I185" s="1279"/>
      <c r="J185" s="1279"/>
      <c r="K185" s="1280"/>
      <c r="L185" s="845">
        <v>0</v>
      </c>
      <c r="M185" s="608">
        <v>0</v>
      </c>
      <c r="N185" s="608">
        <v>0</v>
      </c>
      <c r="O185" s="845">
        <v>0</v>
      </c>
      <c r="P185" s="608">
        <v>0</v>
      </c>
      <c r="Q185" s="570"/>
      <c r="R185" s="846">
        <v>0</v>
      </c>
      <c r="S185" s="847">
        <v>0</v>
      </c>
      <c r="T185" s="846">
        <v>0</v>
      </c>
      <c r="U185" s="847">
        <v>0</v>
      </c>
      <c r="V185" s="681"/>
      <c r="W185" s="682"/>
      <c r="X185" s="683"/>
      <c r="Y185" s="684"/>
      <c r="Z185" s="682"/>
      <c r="AA185" s="927"/>
      <c r="AB185" s="1281"/>
      <c r="AC185" s="1282"/>
      <c r="AD185" s="1283"/>
      <c r="AE185" s="588">
        <v>0</v>
      </c>
      <c r="AF185" s="589">
        <v>0</v>
      </c>
      <c r="AG185" s="1281"/>
      <c r="AH185" s="1283"/>
      <c r="AI185" s="590"/>
      <c r="AJ185" s="558" t="s">
        <v>594</v>
      </c>
      <c r="AK185" s="426"/>
      <c r="AL185" s="426"/>
    </row>
    <row r="186" spans="1:38" ht="12.75" customHeight="1" hidden="1">
      <c r="A186" s="557"/>
      <c r="B186" s="1274" t="s">
        <v>741</v>
      </c>
      <c r="C186" s="1279"/>
      <c r="D186" s="1279"/>
      <c r="E186" s="1279"/>
      <c r="F186" s="1279"/>
      <c r="G186" s="1279"/>
      <c r="H186" s="1279"/>
      <c r="I186" s="1279"/>
      <c r="J186" s="1279"/>
      <c r="K186" s="1279"/>
      <c r="L186" s="1279"/>
      <c r="M186" s="1279"/>
      <c r="N186" s="1279"/>
      <c r="O186" s="1279"/>
      <c r="P186" s="1279"/>
      <c r="Q186" s="1279"/>
      <c r="R186" s="1279"/>
      <c r="S186" s="1279"/>
      <c r="T186" s="1279"/>
      <c r="U186" s="1279"/>
      <c r="V186" s="1279"/>
      <c r="W186" s="1279"/>
      <c r="X186" s="1279"/>
      <c r="Y186" s="1279"/>
      <c r="Z186" s="1279"/>
      <c r="AA186" s="1279"/>
      <c r="AB186" s="1279"/>
      <c r="AC186" s="1279"/>
      <c r="AD186" s="1279"/>
      <c r="AE186" s="1279"/>
      <c r="AF186" s="1279"/>
      <c r="AG186" s="1279"/>
      <c r="AH186" s="1279"/>
      <c r="AI186" s="1301"/>
      <c r="AJ186" s="558" t="s">
        <v>594</v>
      </c>
      <c r="AK186" s="426"/>
      <c r="AL186" s="426"/>
    </row>
    <row r="187" spans="1:38" ht="12.75" customHeight="1" hidden="1">
      <c r="A187" s="557"/>
      <c r="B187" s="560" t="s">
        <v>741</v>
      </c>
      <c r="C187" s="561" t="s">
        <v>741</v>
      </c>
      <c r="D187" s="562">
        <v>656030042</v>
      </c>
      <c r="E187" s="563">
        <v>314</v>
      </c>
      <c r="F187" s="564">
        <v>656</v>
      </c>
      <c r="G187" s="668">
        <v>5220700</v>
      </c>
      <c r="H187" s="566" t="s">
        <v>632</v>
      </c>
      <c r="I187" s="566">
        <v>251</v>
      </c>
      <c r="J187" s="567">
        <v>0</v>
      </c>
      <c r="K187" s="568"/>
      <c r="L187" s="607">
        <v>0</v>
      </c>
      <c r="M187" s="607">
        <v>0</v>
      </c>
      <c r="N187" s="607">
        <v>0</v>
      </c>
      <c r="O187" s="607">
        <v>0</v>
      </c>
      <c r="P187" s="607">
        <v>0</v>
      </c>
      <c r="Q187" s="572"/>
      <c r="R187" s="919">
        <v>0</v>
      </c>
      <c r="S187" s="919">
        <v>0</v>
      </c>
      <c r="T187" s="919">
        <v>0</v>
      </c>
      <c r="U187" s="919">
        <v>0</v>
      </c>
      <c r="V187" s="611"/>
      <c r="W187" s="568"/>
      <c r="X187" s="612"/>
      <c r="Y187" s="613"/>
      <c r="Z187" s="568"/>
      <c r="AA187" s="897"/>
      <c r="AB187" s="573"/>
      <c r="AC187" s="573"/>
      <c r="AD187" s="573"/>
      <c r="AE187" s="573">
        <v>0</v>
      </c>
      <c r="AF187" s="573">
        <v>0</v>
      </c>
      <c r="AG187" s="573"/>
      <c r="AH187" s="574"/>
      <c r="AI187" s="575"/>
      <c r="AJ187" s="558" t="s">
        <v>594</v>
      </c>
      <c r="AK187" s="426"/>
      <c r="AL187" s="426"/>
    </row>
    <row r="188" spans="1:38" ht="12.75" customHeight="1" hidden="1">
      <c r="A188" s="557"/>
      <c r="B188" s="1274" t="s">
        <v>613</v>
      </c>
      <c r="C188" s="1279"/>
      <c r="D188" s="1279"/>
      <c r="E188" s="1279"/>
      <c r="F188" s="1279"/>
      <c r="G188" s="1279"/>
      <c r="H188" s="1279"/>
      <c r="I188" s="1279"/>
      <c r="J188" s="1279"/>
      <c r="K188" s="1280"/>
      <c r="L188" s="845">
        <v>0</v>
      </c>
      <c r="M188" s="608">
        <v>0</v>
      </c>
      <c r="N188" s="608">
        <v>0</v>
      </c>
      <c r="O188" s="845">
        <v>0</v>
      </c>
      <c r="P188" s="608">
        <v>0</v>
      </c>
      <c r="Q188" s="570"/>
      <c r="R188" s="846">
        <v>0</v>
      </c>
      <c r="S188" s="847">
        <v>0</v>
      </c>
      <c r="T188" s="846">
        <v>0</v>
      </c>
      <c r="U188" s="847">
        <v>0</v>
      </c>
      <c r="V188" s="681"/>
      <c r="W188" s="682"/>
      <c r="X188" s="683"/>
      <c r="Y188" s="684"/>
      <c r="Z188" s="682"/>
      <c r="AA188" s="927"/>
      <c r="AB188" s="1281"/>
      <c r="AC188" s="1282"/>
      <c r="AD188" s="1283"/>
      <c r="AE188" s="588">
        <v>0</v>
      </c>
      <c r="AF188" s="589">
        <v>0</v>
      </c>
      <c r="AG188" s="1281"/>
      <c r="AH188" s="1283"/>
      <c r="AI188" s="590"/>
      <c r="AJ188" s="558" t="s">
        <v>594</v>
      </c>
      <c r="AK188" s="426"/>
      <c r="AL188" s="426"/>
    </row>
    <row r="189" spans="1:38" ht="12.75" customHeight="1" hidden="1">
      <c r="A189" s="557"/>
      <c r="B189" s="1274" t="s">
        <v>742</v>
      </c>
      <c r="C189" s="1279"/>
      <c r="D189" s="1279"/>
      <c r="E189" s="1279"/>
      <c r="F189" s="1279"/>
      <c r="G189" s="1279"/>
      <c r="H189" s="1279"/>
      <c r="I189" s="1279"/>
      <c r="J189" s="1279"/>
      <c r="K189" s="1279"/>
      <c r="L189" s="1279"/>
      <c r="M189" s="1279"/>
      <c r="N189" s="1279"/>
      <c r="O189" s="1279"/>
      <c r="P189" s="1279"/>
      <c r="Q189" s="1279"/>
      <c r="R189" s="1279"/>
      <c r="S189" s="1279"/>
      <c r="T189" s="1279"/>
      <c r="U189" s="1279"/>
      <c r="V189" s="1279"/>
      <c r="W189" s="1279"/>
      <c r="X189" s="1279"/>
      <c r="Y189" s="1279"/>
      <c r="Z189" s="1279"/>
      <c r="AA189" s="1279"/>
      <c r="AB189" s="1279"/>
      <c r="AC189" s="1279"/>
      <c r="AD189" s="1279"/>
      <c r="AE189" s="1279"/>
      <c r="AF189" s="1279"/>
      <c r="AG189" s="1279"/>
      <c r="AH189" s="1279"/>
      <c r="AI189" s="1301"/>
      <c r="AJ189" s="558" t="s">
        <v>594</v>
      </c>
      <c r="AK189" s="426"/>
      <c r="AL189" s="426"/>
    </row>
    <row r="190" spans="1:38" ht="12.75" customHeight="1" hidden="1">
      <c r="A190" s="557"/>
      <c r="B190" s="560" t="s">
        <v>742</v>
      </c>
      <c r="C190" s="561" t="s">
        <v>742</v>
      </c>
      <c r="D190" s="562">
        <v>656030043</v>
      </c>
      <c r="E190" s="563">
        <v>314</v>
      </c>
      <c r="F190" s="564">
        <v>656</v>
      </c>
      <c r="G190" s="668">
        <v>7956561</v>
      </c>
      <c r="H190" s="566" t="s">
        <v>625</v>
      </c>
      <c r="I190" s="566">
        <v>225</v>
      </c>
      <c r="J190" s="567">
        <v>0</v>
      </c>
      <c r="K190" s="568"/>
      <c r="L190" s="607">
        <v>237520</v>
      </c>
      <c r="M190" s="607">
        <v>-40470</v>
      </c>
      <c r="N190" s="607">
        <v>152950</v>
      </c>
      <c r="O190" s="607">
        <v>0</v>
      </c>
      <c r="P190" s="607">
        <v>350000</v>
      </c>
      <c r="Q190" s="572"/>
      <c r="R190" s="919"/>
      <c r="S190" s="919"/>
      <c r="T190" s="919"/>
      <c r="U190" s="919"/>
      <c r="V190" s="611"/>
      <c r="W190" s="568"/>
      <c r="X190" s="612"/>
      <c r="Y190" s="613"/>
      <c r="Z190" s="568"/>
      <c r="AA190" s="897"/>
      <c r="AB190" s="573"/>
      <c r="AC190" s="573"/>
      <c r="AD190" s="573"/>
      <c r="AE190" s="573">
        <v>350000</v>
      </c>
      <c r="AF190" s="573">
        <v>0</v>
      </c>
      <c r="AG190" s="573"/>
      <c r="AH190" s="574"/>
      <c r="AI190" s="575">
        <v>1</v>
      </c>
      <c r="AJ190" s="558" t="s">
        <v>594</v>
      </c>
      <c r="AK190" s="426"/>
      <c r="AL190" s="426"/>
    </row>
    <row r="191" spans="1:38" ht="12.75" customHeight="1" hidden="1">
      <c r="A191" s="557"/>
      <c r="B191" s="560" t="s">
        <v>742</v>
      </c>
      <c r="C191" s="561" t="s">
        <v>742</v>
      </c>
      <c r="D191" s="562">
        <v>656030043</v>
      </c>
      <c r="E191" s="563">
        <v>314</v>
      </c>
      <c r="F191" s="564">
        <v>656</v>
      </c>
      <c r="G191" s="668">
        <v>7956561</v>
      </c>
      <c r="H191" s="566" t="s">
        <v>625</v>
      </c>
      <c r="I191" s="566">
        <v>310</v>
      </c>
      <c r="J191" s="567" t="s">
        <v>743</v>
      </c>
      <c r="K191" s="568"/>
      <c r="L191" s="607">
        <v>0</v>
      </c>
      <c r="M191" s="607">
        <v>19599.99</v>
      </c>
      <c r="N191" s="607">
        <v>0</v>
      </c>
      <c r="O191" s="607">
        <v>0</v>
      </c>
      <c r="P191" s="607">
        <v>19599.99</v>
      </c>
      <c r="Q191" s="572"/>
      <c r="R191" s="919"/>
      <c r="S191" s="919"/>
      <c r="T191" s="919"/>
      <c r="U191" s="919"/>
      <c r="V191" s="611"/>
      <c r="W191" s="568"/>
      <c r="X191" s="612"/>
      <c r="Y191" s="613"/>
      <c r="Z191" s="568"/>
      <c r="AA191" s="897"/>
      <c r="AB191" s="573"/>
      <c r="AC191" s="573"/>
      <c r="AD191" s="573"/>
      <c r="AE191" s="573">
        <v>19599.99</v>
      </c>
      <c r="AF191" s="573">
        <v>0</v>
      </c>
      <c r="AG191" s="573"/>
      <c r="AH191" s="574"/>
      <c r="AI191" s="575">
        <v>1</v>
      </c>
      <c r="AJ191" s="558" t="s">
        <v>594</v>
      </c>
      <c r="AK191" s="426"/>
      <c r="AL191" s="426"/>
    </row>
    <row r="192" spans="1:38" ht="12.75" customHeight="1" hidden="1">
      <c r="A192" s="557"/>
      <c r="B192" s="560" t="s">
        <v>742</v>
      </c>
      <c r="C192" s="561" t="s">
        <v>742</v>
      </c>
      <c r="D192" s="562">
        <v>656030043</v>
      </c>
      <c r="E192" s="563">
        <v>314</v>
      </c>
      <c r="F192" s="564">
        <v>656</v>
      </c>
      <c r="G192" s="668">
        <v>7956561</v>
      </c>
      <c r="H192" s="566" t="s">
        <v>625</v>
      </c>
      <c r="I192" s="566">
        <v>340</v>
      </c>
      <c r="J192" s="567" t="s">
        <v>152</v>
      </c>
      <c r="K192" s="568"/>
      <c r="L192" s="607">
        <v>0</v>
      </c>
      <c r="M192" s="607">
        <v>20870.01</v>
      </c>
      <c r="N192" s="607">
        <v>0</v>
      </c>
      <c r="O192" s="607">
        <v>0</v>
      </c>
      <c r="P192" s="607">
        <v>20870.01</v>
      </c>
      <c r="Q192" s="572"/>
      <c r="R192" s="919"/>
      <c r="S192" s="919"/>
      <c r="T192" s="919"/>
      <c r="U192" s="919"/>
      <c r="V192" s="611"/>
      <c r="W192" s="568"/>
      <c r="X192" s="612"/>
      <c r="Y192" s="613"/>
      <c r="Z192" s="568"/>
      <c r="AA192" s="897"/>
      <c r="AB192" s="573"/>
      <c r="AC192" s="573"/>
      <c r="AD192" s="573"/>
      <c r="AE192" s="573">
        <v>20870.01</v>
      </c>
      <c r="AF192" s="573">
        <v>0</v>
      </c>
      <c r="AG192" s="573"/>
      <c r="AH192" s="574"/>
      <c r="AI192" s="575">
        <v>1</v>
      </c>
      <c r="AJ192" s="558" t="s">
        <v>594</v>
      </c>
      <c r="AK192" s="426"/>
      <c r="AL192" s="426"/>
    </row>
    <row r="193" spans="1:38" ht="8.25" customHeight="1" hidden="1">
      <c r="A193" s="557"/>
      <c r="B193" s="1274" t="s">
        <v>613</v>
      </c>
      <c r="C193" s="1279"/>
      <c r="D193" s="1279"/>
      <c r="E193" s="1279"/>
      <c r="F193" s="1279"/>
      <c r="G193" s="1279"/>
      <c r="H193" s="1279"/>
      <c r="I193" s="1279"/>
      <c r="J193" s="1279"/>
      <c r="K193" s="1280"/>
      <c r="L193" s="845">
        <v>237520</v>
      </c>
      <c r="M193" s="608">
        <v>0</v>
      </c>
      <c r="N193" s="608">
        <v>152950</v>
      </c>
      <c r="O193" s="845">
        <v>0</v>
      </c>
      <c r="P193" s="608">
        <v>390470</v>
      </c>
      <c r="Q193" s="570"/>
      <c r="R193" s="846"/>
      <c r="S193" s="847"/>
      <c r="T193" s="846"/>
      <c r="U193" s="847"/>
      <c r="V193" s="681"/>
      <c r="W193" s="682"/>
      <c r="X193" s="683"/>
      <c r="Y193" s="684"/>
      <c r="Z193" s="682"/>
      <c r="AA193" s="927"/>
      <c r="AB193" s="1281"/>
      <c r="AC193" s="1282"/>
      <c r="AD193" s="1283"/>
      <c r="AE193" s="588">
        <v>390470</v>
      </c>
      <c r="AF193" s="589">
        <v>0</v>
      </c>
      <c r="AG193" s="1281"/>
      <c r="AH193" s="1283"/>
      <c r="AI193" s="590">
        <v>1</v>
      </c>
      <c r="AJ193" s="558" t="s">
        <v>594</v>
      </c>
      <c r="AK193" s="426"/>
      <c r="AL193" s="426"/>
    </row>
    <row r="194" spans="1:38" ht="12.75" customHeight="1" hidden="1">
      <c r="A194" s="557"/>
      <c r="B194" s="1274" t="s">
        <v>744</v>
      </c>
      <c r="C194" s="1279"/>
      <c r="D194" s="1279"/>
      <c r="E194" s="1279"/>
      <c r="F194" s="1279"/>
      <c r="G194" s="1279"/>
      <c r="H194" s="1279"/>
      <c r="I194" s="1279"/>
      <c r="J194" s="1279"/>
      <c r="K194" s="1279"/>
      <c r="L194" s="1279"/>
      <c r="M194" s="1279"/>
      <c r="N194" s="1279"/>
      <c r="O194" s="1279"/>
      <c r="P194" s="1279"/>
      <c r="Q194" s="1279"/>
      <c r="R194" s="1279"/>
      <c r="S194" s="1279"/>
      <c r="T194" s="1279"/>
      <c r="U194" s="1279"/>
      <c r="V194" s="1279"/>
      <c r="W194" s="1279"/>
      <c r="X194" s="1279"/>
      <c r="Y194" s="1279"/>
      <c r="Z194" s="1279"/>
      <c r="AA194" s="1279"/>
      <c r="AB194" s="1279"/>
      <c r="AC194" s="1279"/>
      <c r="AD194" s="1279"/>
      <c r="AE194" s="1279"/>
      <c r="AF194" s="1279"/>
      <c r="AG194" s="1279"/>
      <c r="AH194" s="1279"/>
      <c r="AI194" s="1301"/>
      <c r="AJ194" s="558" t="s">
        <v>594</v>
      </c>
      <c r="AK194" s="426"/>
      <c r="AL194" s="426"/>
    </row>
    <row r="195" spans="1:38" ht="12.75" customHeight="1" hidden="1">
      <c r="A195" s="557"/>
      <c r="B195" s="560" t="s">
        <v>744</v>
      </c>
      <c r="C195" s="561" t="s">
        <v>744</v>
      </c>
      <c r="D195" s="562">
        <v>656030051</v>
      </c>
      <c r="E195" s="563">
        <v>314</v>
      </c>
      <c r="F195" s="564">
        <v>656</v>
      </c>
      <c r="G195" s="668">
        <v>7952800</v>
      </c>
      <c r="H195" s="566" t="s">
        <v>632</v>
      </c>
      <c r="I195" s="566">
        <v>251</v>
      </c>
      <c r="J195" s="567">
        <v>0</v>
      </c>
      <c r="K195" s="568"/>
      <c r="L195" s="607">
        <v>0</v>
      </c>
      <c r="M195" s="607">
        <v>0</v>
      </c>
      <c r="N195" s="607">
        <v>0</v>
      </c>
      <c r="O195" s="607">
        <v>0</v>
      </c>
      <c r="P195" s="607">
        <v>0</v>
      </c>
      <c r="Q195" s="572"/>
      <c r="R195" s="919"/>
      <c r="S195" s="919"/>
      <c r="T195" s="919"/>
      <c r="U195" s="919"/>
      <c r="V195" s="611"/>
      <c r="W195" s="568"/>
      <c r="X195" s="612"/>
      <c r="Y195" s="613"/>
      <c r="Z195" s="568"/>
      <c r="AA195" s="897"/>
      <c r="AB195" s="573"/>
      <c r="AC195" s="573"/>
      <c r="AD195" s="573"/>
      <c r="AE195" s="573">
        <v>0</v>
      </c>
      <c r="AF195" s="573">
        <v>0</v>
      </c>
      <c r="AG195" s="573"/>
      <c r="AH195" s="574"/>
      <c r="AI195" s="575"/>
      <c r="AJ195" s="558" t="s">
        <v>594</v>
      </c>
      <c r="AK195" s="426"/>
      <c r="AL195" s="426"/>
    </row>
    <row r="196" spans="1:38" ht="12.75" customHeight="1" hidden="1">
      <c r="A196" s="557"/>
      <c r="B196" s="1274" t="s">
        <v>613</v>
      </c>
      <c r="C196" s="1279"/>
      <c r="D196" s="1279"/>
      <c r="E196" s="1279"/>
      <c r="F196" s="1279"/>
      <c r="G196" s="1279"/>
      <c r="H196" s="1279"/>
      <c r="I196" s="1279"/>
      <c r="J196" s="1279"/>
      <c r="K196" s="1280"/>
      <c r="L196" s="845">
        <v>0</v>
      </c>
      <c r="M196" s="608">
        <v>0</v>
      </c>
      <c r="N196" s="608">
        <v>0</v>
      </c>
      <c r="O196" s="845">
        <v>0</v>
      </c>
      <c r="P196" s="608">
        <v>0</v>
      </c>
      <c r="Q196" s="570"/>
      <c r="R196" s="846"/>
      <c r="S196" s="847"/>
      <c r="T196" s="846"/>
      <c r="U196" s="847"/>
      <c r="V196" s="681"/>
      <c r="W196" s="682"/>
      <c r="X196" s="683"/>
      <c r="Y196" s="684"/>
      <c r="Z196" s="682"/>
      <c r="AA196" s="927"/>
      <c r="AB196" s="1281"/>
      <c r="AC196" s="1282"/>
      <c r="AD196" s="1283"/>
      <c r="AE196" s="588">
        <v>0</v>
      </c>
      <c r="AF196" s="589">
        <v>0</v>
      </c>
      <c r="AG196" s="1281"/>
      <c r="AH196" s="1283"/>
      <c r="AI196" s="590"/>
      <c r="AJ196" s="558" t="s">
        <v>594</v>
      </c>
      <c r="AK196" s="426"/>
      <c r="AL196" s="426"/>
    </row>
    <row r="197" spans="1:38" ht="12.75" customHeight="1" hidden="1">
      <c r="A197" s="557"/>
      <c r="B197" s="1274" t="s">
        <v>745</v>
      </c>
      <c r="C197" s="1279"/>
      <c r="D197" s="1279"/>
      <c r="E197" s="1279"/>
      <c r="F197" s="1279"/>
      <c r="G197" s="1279"/>
      <c r="H197" s="1279"/>
      <c r="I197" s="1279"/>
      <c r="J197" s="1279"/>
      <c r="K197" s="1279"/>
      <c r="L197" s="1279"/>
      <c r="M197" s="1279"/>
      <c r="N197" s="1279"/>
      <c r="O197" s="1279"/>
      <c r="P197" s="1279"/>
      <c r="Q197" s="1279"/>
      <c r="R197" s="1279"/>
      <c r="S197" s="1279"/>
      <c r="T197" s="1279"/>
      <c r="U197" s="1279"/>
      <c r="V197" s="1279"/>
      <c r="W197" s="1279"/>
      <c r="X197" s="1279"/>
      <c r="Y197" s="1279"/>
      <c r="Z197" s="1279"/>
      <c r="AA197" s="1279"/>
      <c r="AB197" s="1279"/>
      <c r="AC197" s="1279"/>
      <c r="AD197" s="1279"/>
      <c r="AE197" s="1279"/>
      <c r="AF197" s="1279"/>
      <c r="AG197" s="1279"/>
      <c r="AH197" s="1279"/>
      <c r="AI197" s="1301"/>
      <c r="AJ197" s="558" t="s">
        <v>594</v>
      </c>
      <c r="AK197" s="426"/>
      <c r="AL197" s="426"/>
    </row>
    <row r="198" spans="1:38" ht="12.75" customHeight="1" hidden="1">
      <c r="A198" s="557"/>
      <c r="B198" s="560" t="s">
        <v>745</v>
      </c>
      <c r="C198" s="561" t="s">
        <v>745</v>
      </c>
      <c r="D198" s="562">
        <v>656030052</v>
      </c>
      <c r="E198" s="563">
        <v>314</v>
      </c>
      <c r="F198" s="564">
        <v>656</v>
      </c>
      <c r="G198" s="668">
        <v>7952801</v>
      </c>
      <c r="H198" s="566" t="s">
        <v>625</v>
      </c>
      <c r="I198" s="566">
        <v>340</v>
      </c>
      <c r="J198" s="567" t="s">
        <v>152</v>
      </c>
      <c r="K198" s="568"/>
      <c r="L198" s="607">
        <v>0</v>
      </c>
      <c r="M198" s="607">
        <v>0</v>
      </c>
      <c r="N198" s="607">
        <v>444</v>
      </c>
      <c r="O198" s="607">
        <v>0</v>
      </c>
      <c r="P198" s="918">
        <v>444</v>
      </c>
      <c r="Q198" s="572"/>
      <c r="R198" s="919">
        <v>444</v>
      </c>
      <c r="S198" s="919"/>
      <c r="T198" s="919"/>
      <c r="U198" s="919"/>
      <c r="V198" s="611"/>
      <c r="W198" s="568"/>
      <c r="X198" s="612"/>
      <c r="Y198" s="613"/>
      <c r="Z198" s="568">
        <v>0</v>
      </c>
      <c r="AA198" s="897">
        <v>-444</v>
      </c>
      <c r="AB198" s="573"/>
      <c r="AC198" s="573"/>
      <c r="AD198" s="573"/>
      <c r="AE198" s="573">
        <v>444</v>
      </c>
      <c r="AF198" s="573">
        <v>0</v>
      </c>
      <c r="AG198" s="573"/>
      <c r="AH198" s="574"/>
      <c r="AI198" s="575">
        <v>1</v>
      </c>
      <c r="AJ198" s="558" t="s">
        <v>594</v>
      </c>
      <c r="AK198" s="426"/>
      <c r="AL198" s="426"/>
    </row>
    <row r="199" spans="1:38" ht="12.75" customHeight="1" hidden="1">
      <c r="A199" s="557"/>
      <c r="B199" s="1274" t="s">
        <v>613</v>
      </c>
      <c r="C199" s="1279"/>
      <c r="D199" s="1279"/>
      <c r="E199" s="1279"/>
      <c r="F199" s="1279"/>
      <c r="G199" s="1279"/>
      <c r="H199" s="1279"/>
      <c r="I199" s="1279"/>
      <c r="J199" s="1279"/>
      <c r="K199" s="1280"/>
      <c r="L199" s="845">
        <v>444</v>
      </c>
      <c r="M199" s="608">
        <v>0</v>
      </c>
      <c r="N199" s="608">
        <v>0</v>
      </c>
      <c r="O199" s="845">
        <v>0</v>
      </c>
      <c r="P199" s="923">
        <v>444</v>
      </c>
      <c r="Q199" s="570"/>
      <c r="R199" s="846">
        <v>444</v>
      </c>
      <c r="S199" s="847"/>
      <c r="T199" s="846"/>
      <c r="U199" s="847"/>
      <c r="V199" s="681"/>
      <c r="W199" s="682"/>
      <c r="X199" s="683"/>
      <c r="Y199" s="684"/>
      <c r="Z199" s="682">
        <v>0</v>
      </c>
      <c r="AA199" s="927"/>
      <c r="AB199" s="1281"/>
      <c r="AC199" s="1282"/>
      <c r="AD199" s="1283"/>
      <c r="AE199" s="588">
        <v>444</v>
      </c>
      <c r="AF199" s="589">
        <v>0</v>
      </c>
      <c r="AG199" s="1281"/>
      <c r="AH199" s="1283"/>
      <c r="AI199" s="590">
        <v>1</v>
      </c>
      <c r="AJ199" s="558" t="s">
        <v>594</v>
      </c>
      <c r="AK199" s="426"/>
      <c r="AL199" s="426"/>
    </row>
    <row r="200" spans="1:38" ht="12.75" customHeight="1" hidden="1">
      <c r="A200" s="557"/>
      <c r="B200" s="1274" t="s">
        <v>744</v>
      </c>
      <c r="C200" s="1279"/>
      <c r="D200" s="1279"/>
      <c r="E200" s="1279"/>
      <c r="F200" s="1279"/>
      <c r="G200" s="1279"/>
      <c r="H200" s="1279"/>
      <c r="I200" s="1279"/>
      <c r="J200" s="1279"/>
      <c r="K200" s="1279"/>
      <c r="L200" s="1279"/>
      <c r="M200" s="1279"/>
      <c r="N200" s="1279"/>
      <c r="O200" s="1279"/>
      <c r="P200" s="1279"/>
      <c r="Q200" s="1279"/>
      <c r="R200" s="1279"/>
      <c r="S200" s="1279"/>
      <c r="T200" s="1279"/>
      <c r="U200" s="1279"/>
      <c r="V200" s="1279"/>
      <c r="W200" s="1279"/>
      <c r="X200" s="1279"/>
      <c r="Y200" s="1279"/>
      <c r="Z200" s="1279"/>
      <c r="AA200" s="1279"/>
      <c r="AB200" s="1279"/>
      <c r="AC200" s="1279"/>
      <c r="AD200" s="1279"/>
      <c r="AE200" s="1279"/>
      <c r="AF200" s="1279"/>
      <c r="AG200" s="1279"/>
      <c r="AH200" s="1279"/>
      <c r="AI200" s="1301"/>
      <c r="AJ200" s="558" t="s">
        <v>594</v>
      </c>
      <c r="AK200" s="426"/>
      <c r="AL200" s="426"/>
    </row>
    <row r="201" spans="1:38" ht="12.75" customHeight="1" hidden="1">
      <c r="A201" s="557"/>
      <c r="B201" s="560" t="s">
        <v>744</v>
      </c>
      <c r="C201" s="561" t="s">
        <v>744</v>
      </c>
      <c r="D201" s="562">
        <v>656030053</v>
      </c>
      <c r="E201" s="563">
        <v>314</v>
      </c>
      <c r="F201" s="564">
        <v>656</v>
      </c>
      <c r="G201" s="668">
        <v>7952801</v>
      </c>
      <c r="H201" s="566" t="s">
        <v>632</v>
      </c>
      <c r="I201" s="566">
        <v>251</v>
      </c>
      <c r="J201" s="567">
        <v>0</v>
      </c>
      <c r="K201" s="568"/>
      <c r="L201" s="607">
        <v>0</v>
      </c>
      <c r="M201" s="607">
        <v>225000</v>
      </c>
      <c r="N201" s="607">
        <v>225000</v>
      </c>
      <c r="O201" s="607">
        <v>-450000</v>
      </c>
      <c r="P201" s="607">
        <v>0</v>
      </c>
      <c r="Q201" s="572"/>
      <c r="R201" s="919"/>
      <c r="S201" s="919"/>
      <c r="T201" s="919"/>
      <c r="U201" s="919"/>
      <c r="V201" s="611">
        <v>0</v>
      </c>
      <c r="W201" s="568"/>
      <c r="X201" s="612"/>
      <c r="Y201" s="613"/>
      <c r="Z201" s="568"/>
      <c r="AA201" s="897"/>
      <c r="AB201" s="573"/>
      <c r="AC201" s="573"/>
      <c r="AD201" s="573"/>
      <c r="AE201" s="573">
        <v>0</v>
      </c>
      <c r="AF201" s="573">
        <v>0</v>
      </c>
      <c r="AG201" s="573"/>
      <c r="AH201" s="574"/>
      <c r="AI201" s="575"/>
      <c r="AJ201" s="558" t="s">
        <v>594</v>
      </c>
      <c r="AK201" s="426"/>
      <c r="AL201" s="426"/>
    </row>
    <row r="202" spans="1:38" ht="12.75" customHeight="1" hidden="1">
      <c r="A202" s="557"/>
      <c r="B202" s="1274" t="s">
        <v>613</v>
      </c>
      <c r="C202" s="1279"/>
      <c r="D202" s="1279"/>
      <c r="E202" s="1279"/>
      <c r="F202" s="1279"/>
      <c r="G202" s="1279"/>
      <c r="H202" s="1279"/>
      <c r="I202" s="1279"/>
      <c r="J202" s="1279"/>
      <c r="K202" s="1280"/>
      <c r="L202" s="845">
        <v>0</v>
      </c>
      <c r="M202" s="608">
        <v>225000</v>
      </c>
      <c r="N202" s="608">
        <v>225000</v>
      </c>
      <c r="O202" s="845">
        <v>-450000</v>
      </c>
      <c r="P202" s="608">
        <v>0</v>
      </c>
      <c r="Q202" s="570"/>
      <c r="R202" s="846"/>
      <c r="S202" s="847"/>
      <c r="T202" s="846"/>
      <c r="U202" s="847"/>
      <c r="V202" s="681">
        <v>0</v>
      </c>
      <c r="W202" s="682"/>
      <c r="X202" s="683"/>
      <c r="Y202" s="684"/>
      <c r="Z202" s="682"/>
      <c r="AA202" s="927"/>
      <c r="AB202" s="1281"/>
      <c r="AC202" s="1282"/>
      <c r="AD202" s="1283"/>
      <c r="AE202" s="588">
        <v>0</v>
      </c>
      <c r="AF202" s="589">
        <v>0</v>
      </c>
      <c r="AG202" s="1281"/>
      <c r="AH202" s="1283"/>
      <c r="AI202" s="590"/>
      <c r="AJ202" s="558" t="s">
        <v>594</v>
      </c>
      <c r="AK202" s="426"/>
      <c r="AL202" s="426"/>
    </row>
    <row r="203" spans="1:38" ht="12.75" customHeight="1" hidden="1">
      <c r="A203" s="557"/>
      <c r="B203" s="1331" t="s">
        <v>746</v>
      </c>
      <c r="C203" s="1307"/>
      <c r="D203" s="1307"/>
      <c r="E203" s="1307"/>
      <c r="F203" s="1307"/>
      <c r="G203" s="1307"/>
      <c r="H203" s="1307"/>
      <c r="I203" s="1307"/>
      <c r="J203" s="1307"/>
      <c r="K203" s="1307"/>
      <c r="L203" s="1307"/>
      <c r="M203" s="1307"/>
      <c r="N203" s="1307"/>
      <c r="O203" s="1307"/>
      <c r="P203" s="1307"/>
      <c r="Q203" s="1307"/>
      <c r="R203" s="1307"/>
      <c r="S203" s="1307"/>
      <c r="T203" s="1307"/>
      <c r="U203" s="1307"/>
      <c r="V203" s="1307"/>
      <c r="W203" s="1307"/>
      <c r="X203" s="1307"/>
      <c r="Y203" s="1307"/>
      <c r="Z203" s="1307"/>
      <c r="AA203" s="1307"/>
      <c r="AB203" s="1307"/>
      <c r="AC203" s="1307"/>
      <c r="AD203" s="1307"/>
      <c r="AE203" s="1307"/>
      <c r="AF203" s="1307"/>
      <c r="AG203" s="1307"/>
      <c r="AH203" s="1307"/>
      <c r="AI203" s="1333"/>
      <c r="AJ203" s="558" t="s">
        <v>594</v>
      </c>
      <c r="AK203" s="426"/>
      <c r="AL203" s="426"/>
    </row>
    <row r="204" spans="1:38" ht="12.75" customHeight="1" hidden="1">
      <c r="A204" s="557"/>
      <c r="B204" s="560" t="s">
        <v>747</v>
      </c>
      <c r="C204" s="561" t="s">
        <v>747</v>
      </c>
      <c r="D204" s="562">
        <v>656030061</v>
      </c>
      <c r="E204" s="563">
        <v>314</v>
      </c>
      <c r="F204" s="564">
        <v>656</v>
      </c>
      <c r="G204" s="668">
        <v>5222501</v>
      </c>
      <c r="H204" s="566" t="s">
        <v>625</v>
      </c>
      <c r="I204" s="566">
        <v>340</v>
      </c>
      <c r="J204" s="567" t="s">
        <v>152</v>
      </c>
      <c r="K204" s="568"/>
      <c r="L204" s="607">
        <v>0</v>
      </c>
      <c r="M204" s="607">
        <v>0</v>
      </c>
      <c r="N204" s="607">
        <v>4000</v>
      </c>
      <c r="O204" s="607">
        <v>0</v>
      </c>
      <c r="P204" s="607">
        <v>4000</v>
      </c>
      <c r="Q204" s="572"/>
      <c r="R204" s="919"/>
      <c r="S204" s="919"/>
      <c r="T204" s="919"/>
      <c r="U204" s="919"/>
      <c r="V204" s="611"/>
      <c r="W204" s="568"/>
      <c r="X204" s="612"/>
      <c r="Y204" s="613"/>
      <c r="Z204" s="568"/>
      <c r="AA204" s="897"/>
      <c r="AB204" s="573"/>
      <c r="AC204" s="573"/>
      <c r="AD204" s="573"/>
      <c r="AE204" s="573">
        <v>4000</v>
      </c>
      <c r="AF204" s="573">
        <v>0</v>
      </c>
      <c r="AG204" s="573"/>
      <c r="AH204" s="574"/>
      <c r="AI204" s="575">
        <v>1</v>
      </c>
      <c r="AJ204" s="558" t="s">
        <v>594</v>
      </c>
      <c r="AK204" s="426"/>
      <c r="AL204" s="426"/>
    </row>
    <row r="205" spans="1:38" ht="12.75" customHeight="1" hidden="1">
      <c r="A205" s="557"/>
      <c r="B205" s="1274" t="s">
        <v>613</v>
      </c>
      <c r="C205" s="1279"/>
      <c r="D205" s="1302"/>
      <c r="E205" s="1302"/>
      <c r="F205" s="1302"/>
      <c r="G205" s="1302"/>
      <c r="H205" s="1302"/>
      <c r="I205" s="1302"/>
      <c r="J205" s="1302"/>
      <c r="K205" s="1303"/>
      <c r="L205" s="947">
        <v>0</v>
      </c>
      <c r="M205" s="948">
        <v>4000</v>
      </c>
      <c r="N205" s="948">
        <v>0</v>
      </c>
      <c r="O205" s="947">
        <v>0</v>
      </c>
      <c r="P205" s="948">
        <v>4000</v>
      </c>
      <c r="Q205" s="826"/>
      <c r="R205" s="949"/>
      <c r="S205" s="950"/>
      <c r="T205" s="949"/>
      <c r="U205" s="950"/>
      <c r="V205" s="817"/>
      <c r="W205" s="831"/>
      <c r="X205" s="951"/>
      <c r="Y205" s="833"/>
      <c r="Z205" s="831"/>
      <c r="AA205" s="952"/>
      <c r="AB205" s="1281"/>
      <c r="AC205" s="1282"/>
      <c r="AD205" s="1283"/>
      <c r="AE205" s="588">
        <v>4000</v>
      </c>
      <c r="AF205" s="589">
        <v>0</v>
      </c>
      <c r="AG205" s="1281"/>
      <c r="AH205" s="1283"/>
      <c r="AI205" s="590">
        <v>1</v>
      </c>
      <c r="AJ205" s="558" t="s">
        <v>594</v>
      </c>
      <c r="AK205" s="426"/>
      <c r="AL205" s="426"/>
    </row>
    <row r="206" spans="1:38" ht="15" customHeight="1" thickBot="1">
      <c r="A206" s="557"/>
      <c r="B206" s="579"/>
      <c r="C206" s="580"/>
      <c r="D206" s="1304" t="s">
        <v>748</v>
      </c>
      <c r="E206" s="1305"/>
      <c r="F206" s="1305"/>
      <c r="G206" s="1305"/>
      <c r="H206" s="1305"/>
      <c r="I206" s="1305"/>
      <c r="J206" s="1305"/>
      <c r="K206" s="1305"/>
      <c r="L206" s="1305"/>
      <c r="M206" s="1305"/>
      <c r="N206" s="1305"/>
      <c r="O206" s="1305"/>
      <c r="P206" s="1305"/>
      <c r="Q206" s="1305"/>
      <c r="R206" s="1305"/>
      <c r="S206" s="1305"/>
      <c r="T206" s="1305"/>
      <c r="U206" s="1305"/>
      <c r="V206" s="1305"/>
      <c r="W206" s="1305"/>
      <c r="X206" s="1305"/>
      <c r="Y206" s="1305"/>
      <c r="Z206" s="1305"/>
      <c r="AA206" s="1306"/>
      <c r="AB206" s="587"/>
      <c r="AC206" s="587"/>
      <c r="AD206" s="587"/>
      <c r="AE206" s="667"/>
      <c r="AF206" s="667"/>
      <c r="AG206" s="587"/>
      <c r="AH206" s="587"/>
      <c r="AI206" s="590"/>
      <c r="AJ206" s="558"/>
      <c r="AK206" s="426"/>
      <c r="AL206" s="426"/>
    </row>
    <row r="207" spans="1:38" ht="15" customHeight="1">
      <c r="A207" s="557"/>
      <c r="B207" s="579"/>
      <c r="C207" s="580"/>
      <c r="D207" s="1324" t="s">
        <v>749</v>
      </c>
      <c r="E207" s="1324"/>
      <c r="F207" s="1324"/>
      <c r="G207" s="1324"/>
      <c r="H207" s="1324"/>
      <c r="I207" s="1324"/>
      <c r="J207" s="1324"/>
      <c r="K207" s="1324"/>
      <c r="L207" s="1324"/>
      <c r="M207" s="1324"/>
      <c r="N207" s="1324"/>
      <c r="O207" s="1324"/>
      <c r="P207" s="1324"/>
      <c r="Q207" s="1324"/>
      <c r="R207" s="1324"/>
      <c r="S207" s="1324"/>
      <c r="T207" s="1324"/>
      <c r="U207" s="1324"/>
      <c r="V207" s="1324"/>
      <c r="W207" s="1324"/>
      <c r="X207" s="686"/>
      <c r="Y207" s="953"/>
      <c r="Z207" s="954"/>
      <c r="AA207" s="954"/>
      <c r="AB207" s="587"/>
      <c r="AC207" s="587"/>
      <c r="AD207" s="587"/>
      <c r="AE207" s="667"/>
      <c r="AF207" s="667"/>
      <c r="AG207" s="587"/>
      <c r="AH207" s="587"/>
      <c r="AI207" s="590"/>
      <c r="AJ207" s="558"/>
      <c r="AK207" s="426"/>
      <c r="AL207" s="426"/>
    </row>
    <row r="208" spans="1:58" s="578" customFormat="1" ht="22.5" customHeight="1">
      <c r="A208" s="559"/>
      <c r="B208" s="1331" t="s">
        <v>750</v>
      </c>
      <c r="C208" s="1307"/>
      <c r="D208" s="1332"/>
      <c r="E208" s="1332"/>
      <c r="F208" s="1332"/>
      <c r="G208" s="1332"/>
      <c r="H208" s="1332"/>
      <c r="I208" s="1332"/>
      <c r="J208" s="1332"/>
      <c r="K208" s="1332"/>
      <c r="L208" s="1332"/>
      <c r="M208" s="1332"/>
      <c r="N208" s="1332"/>
      <c r="O208" s="1332"/>
      <c r="P208" s="1332"/>
      <c r="Q208" s="1332"/>
      <c r="R208" s="1332"/>
      <c r="S208" s="1332"/>
      <c r="T208" s="1332"/>
      <c r="U208" s="1332"/>
      <c r="V208" s="1332"/>
      <c r="W208" s="1332"/>
      <c r="X208" s="1332"/>
      <c r="Y208" s="1332"/>
      <c r="Z208" s="1332"/>
      <c r="AA208" s="1332"/>
      <c r="AB208" s="1307"/>
      <c r="AC208" s="1307"/>
      <c r="AD208" s="1307"/>
      <c r="AE208" s="1307"/>
      <c r="AF208" s="1307"/>
      <c r="AG208" s="1307"/>
      <c r="AH208" s="1307"/>
      <c r="AI208" s="1333"/>
      <c r="AJ208" s="558" t="s">
        <v>594</v>
      </c>
      <c r="AK208" s="576"/>
      <c r="AL208" s="576"/>
      <c r="AM208" s="434"/>
      <c r="AN208" s="434"/>
      <c r="AO208" s="434"/>
      <c r="AP208" s="434"/>
      <c r="AQ208" s="434"/>
      <c r="AR208" s="434"/>
      <c r="AS208" s="434"/>
      <c r="AT208" s="434"/>
      <c r="AU208" s="434"/>
      <c r="AV208" s="434"/>
      <c r="AW208" s="434"/>
      <c r="AX208" s="434"/>
      <c r="AY208" s="434"/>
      <c r="AZ208" s="434"/>
      <c r="BA208" s="434"/>
      <c r="BB208" s="434"/>
      <c r="BC208" s="434"/>
      <c r="BD208" s="434"/>
      <c r="BE208" s="434"/>
      <c r="BF208" s="434"/>
    </row>
    <row r="209" spans="1:58" s="578" customFormat="1" ht="12.75" customHeight="1">
      <c r="A209" s="559"/>
      <c r="B209" s="560" t="s">
        <v>747</v>
      </c>
      <c r="C209" s="561" t="s">
        <v>747</v>
      </c>
      <c r="D209" s="562">
        <v>656410011</v>
      </c>
      <c r="E209" s="563">
        <v>314</v>
      </c>
      <c r="F209" s="564">
        <v>656</v>
      </c>
      <c r="G209" s="668" t="s">
        <v>751</v>
      </c>
      <c r="H209" s="566" t="s">
        <v>625</v>
      </c>
      <c r="I209" s="566">
        <v>340</v>
      </c>
      <c r="J209" s="567" t="s">
        <v>152</v>
      </c>
      <c r="K209" s="568"/>
      <c r="L209" s="569"/>
      <c r="M209" s="569"/>
      <c r="N209" s="569"/>
      <c r="O209" s="569"/>
      <c r="P209" s="569"/>
      <c r="Q209" s="572">
        <f>R209+S209+T209+U209</f>
        <v>3643</v>
      </c>
      <c r="R209" s="611"/>
      <c r="S209" s="568"/>
      <c r="T209" s="568">
        <v>3643</v>
      </c>
      <c r="U209" s="568"/>
      <c r="V209" s="611">
        <v>5271.43</v>
      </c>
      <c r="W209" s="568" t="s">
        <v>752</v>
      </c>
      <c r="X209" s="612"/>
      <c r="Y209" s="613"/>
      <c r="Z209" s="611">
        <v>5271.43</v>
      </c>
      <c r="AA209" s="568">
        <v>5280</v>
      </c>
      <c r="AB209" s="573"/>
      <c r="AC209" s="573"/>
      <c r="AD209" s="573"/>
      <c r="AE209" s="573">
        <v>4000</v>
      </c>
      <c r="AF209" s="573">
        <v>0</v>
      </c>
      <c r="AG209" s="573"/>
      <c r="AH209" s="574"/>
      <c r="AI209" s="575">
        <v>1</v>
      </c>
      <c r="AJ209" s="558" t="s">
        <v>594</v>
      </c>
      <c r="AK209" s="576"/>
      <c r="AL209" s="576"/>
      <c r="AM209" s="434"/>
      <c r="AN209" s="434"/>
      <c r="AO209" s="434"/>
      <c r="AP209" s="434"/>
      <c r="AQ209" s="434"/>
      <c r="AR209" s="434"/>
      <c r="AS209" s="434"/>
      <c r="AT209" s="434"/>
      <c r="AU209" s="434"/>
      <c r="AV209" s="434"/>
      <c r="AW209" s="434"/>
      <c r="AX209" s="434"/>
      <c r="AY209" s="434"/>
      <c r="AZ209" s="434"/>
      <c r="BA209" s="434"/>
      <c r="BB209" s="434"/>
      <c r="BC209" s="434"/>
      <c r="BD209" s="434"/>
      <c r="BE209" s="434"/>
      <c r="BF209" s="434"/>
    </row>
    <row r="210" spans="1:58" s="578" customFormat="1" ht="12.75" customHeight="1">
      <c r="A210" s="559"/>
      <c r="B210" s="1274" t="s">
        <v>613</v>
      </c>
      <c r="C210" s="1279"/>
      <c r="D210" s="1279"/>
      <c r="E210" s="1279"/>
      <c r="F210" s="1279"/>
      <c r="G210" s="1279"/>
      <c r="H210" s="1279"/>
      <c r="I210" s="1279"/>
      <c r="J210" s="1279"/>
      <c r="K210" s="1280"/>
      <c r="L210" s="582"/>
      <c r="M210" s="583"/>
      <c r="N210" s="583"/>
      <c r="O210" s="582"/>
      <c r="P210" s="583"/>
      <c r="Q210" s="756">
        <f>R210+S210+T210+U210</f>
        <v>3643</v>
      </c>
      <c r="R210" s="681"/>
      <c r="S210" s="667"/>
      <c r="T210" s="681">
        <f>T209</f>
        <v>3643</v>
      </c>
      <c r="U210" s="667"/>
      <c r="V210" s="681">
        <f>V209</f>
        <v>5271.43</v>
      </c>
      <c r="W210" s="682"/>
      <c r="X210" s="683"/>
      <c r="Y210" s="684"/>
      <c r="Z210" s="681">
        <f>Z209</f>
        <v>5271.43</v>
      </c>
      <c r="AA210" s="681">
        <f>AA209</f>
        <v>5280</v>
      </c>
      <c r="AB210" s="1281"/>
      <c r="AC210" s="1282"/>
      <c r="AD210" s="1283"/>
      <c r="AE210" s="588">
        <v>4000</v>
      </c>
      <c r="AF210" s="589">
        <v>0</v>
      </c>
      <c r="AG210" s="1281"/>
      <c r="AH210" s="1283"/>
      <c r="AI210" s="590">
        <v>1</v>
      </c>
      <c r="AJ210" s="558" t="s">
        <v>594</v>
      </c>
      <c r="AK210" s="576"/>
      <c r="AL210" s="576"/>
      <c r="AM210" s="577">
        <f>AA210+AA213</f>
        <v>17600</v>
      </c>
      <c r="AN210" s="434"/>
      <c r="AO210" s="434"/>
      <c r="AP210" s="434"/>
      <c r="AQ210" s="434"/>
      <c r="AR210" s="434"/>
      <c r="AS210" s="434"/>
      <c r="AT210" s="434"/>
      <c r="AU210" s="434"/>
      <c r="AV210" s="434"/>
      <c r="AW210" s="434"/>
      <c r="AX210" s="434"/>
      <c r="AY210" s="434"/>
      <c r="AZ210" s="434"/>
      <c r="BA210" s="434"/>
      <c r="BB210" s="434"/>
      <c r="BC210" s="434"/>
      <c r="BD210" s="434"/>
      <c r="BE210" s="434"/>
      <c r="BF210" s="434"/>
    </row>
    <row r="211" spans="1:58" s="578" customFormat="1" ht="22.5" customHeight="1">
      <c r="A211" s="559"/>
      <c r="B211" s="1331" t="s">
        <v>753</v>
      </c>
      <c r="C211" s="1307"/>
      <c r="D211" s="1307"/>
      <c r="E211" s="1307"/>
      <c r="F211" s="1307"/>
      <c r="G211" s="1307"/>
      <c r="H211" s="1307"/>
      <c r="I211" s="1307"/>
      <c r="J211" s="1307"/>
      <c r="K211" s="1307"/>
      <c r="L211" s="1307"/>
      <c r="M211" s="1307"/>
      <c r="N211" s="1307"/>
      <c r="O211" s="1307"/>
      <c r="P211" s="1307"/>
      <c r="Q211" s="1307"/>
      <c r="R211" s="1307"/>
      <c r="S211" s="1307"/>
      <c r="T211" s="1307"/>
      <c r="U211" s="1307"/>
      <c r="V211" s="1307"/>
      <c r="W211" s="1307"/>
      <c r="X211" s="1307"/>
      <c r="Y211" s="1307"/>
      <c r="Z211" s="1307"/>
      <c r="AA211" s="1307"/>
      <c r="AB211" s="1307"/>
      <c r="AC211" s="1307"/>
      <c r="AD211" s="1307"/>
      <c r="AE211" s="1307"/>
      <c r="AF211" s="1307"/>
      <c r="AG211" s="1307"/>
      <c r="AH211" s="1307"/>
      <c r="AI211" s="1333"/>
      <c r="AJ211" s="558" t="s">
        <v>594</v>
      </c>
      <c r="AK211" s="576"/>
      <c r="AL211" s="576"/>
      <c r="AM211" s="434"/>
      <c r="AN211" s="434"/>
      <c r="AO211" s="434"/>
      <c r="AP211" s="434"/>
      <c r="AQ211" s="434"/>
      <c r="AR211" s="434"/>
      <c r="AS211" s="434"/>
      <c r="AT211" s="434"/>
      <c r="AU211" s="434"/>
      <c r="AV211" s="434"/>
      <c r="AW211" s="434"/>
      <c r="AX211" s="434"/>
      <c r="AY211" s="434"/>
      <c r="AZ211" s="434"/>
      <c r="BA211" s="434"/>
      <c r="BB211" s="434"/>
      <c r="BC211" s="434"/>
      <c r="BD211" s="434"/>
      <c r="BE211" s="434"/>
      <c r="BF211" s="434"/>
    </row>
    <row r="212" spans="1:58" s="578" customFormat="1" ht="12.75" customHeight="1">
      <c r="A212" s="559"/>
      <c r="B212" s="560" t="s">
        <v>747</v>
      </c>
      <c r="C212" s="561" t="s">
        <v>747</v>
      </c>
      <c r="D212" s="562">
        <v>656410012</v>
      </c>
      <c r="E212" s="563">
        <v>314</v>
      </c>
      <c r="F212" s="564">
        <v>656</v>
      </c>
      <c r="G212" s="955" t="s">
        <v>754</v>
      </c>
      <c r="H212" s="566" t="s">
        <v>625</v>
      </c>
      <c r="I212" s="566">
        <v>340</v>
      </c>
      <c r="J212" s="567" t="s">
        <v>152</v>
      </c>
      <c r="K212" s="568"/>
      <c r="L212" s="569"/>
      <c r="M212" s="569"/>
      <c r="N212" s="569"/>
      <c r="O212" s="569"/>
      <c r="P212" s="569"/>
      <c r="Q212" s="572">
        <f>R212+S212+T212+U212</f>
        <v>8500</v>
      </c>
      <c r="R212" s="611"/>
      <c r="S212" s="568"/>
      <c r="T212" s="611">
        <v>8500</v>
      </c>
      <c r="U212" s="568"/>
      <c r="V212" s="611">
        <v>12300</v>
      </c>
      <c r="W212" s="568" t="s">
        <v>752</v>
      </c>
      <c r="X212" s="612"/>
      <c r="Y212" s="613"/>
      <c r="Z212" s="568">
        <v>12300</v>
      </c>
      <c r="AA212" s="897">
        <v>12320</v>
      </c>
      <c r="AB212" s="573"/>
      <c r="AC212" s="573"/>
      <c r="AD212" s="573"/>
      <c r="AE212" s="573">
        <v>4000</v>
      </c>
      <c r="AF212" s="573">
        <v>0</v>
      </c>
      <c r="AG212" s="573"/>
      <c r="AH212" s="574"/>
      <c r="AI212" s="575">
        <v>1</v>
      </c>
      <c r="AJ212" s="558" t="s">
        <v>594</v>
      </c>
      <c r="AK212" s="576"/>
      <c r="AL212" s="576"/>
      <c r="AM212" s="434"/>
      <c r="AN212" s="434"/>
      <c r="AO212" s="434"/>
      <c r="AP212" s="434"/>
      <c r="AQ212" s="434"/>
      <c r="AR212" s="434"/>
      <c r="AS212" s="434"/>
      <c r="AT212" s="434"/>
      <c r="AU212" s="434"/>
      <c r="AV212" s="434"/>
      <c r="AW212" s="434"/>
      <c r="AX212" s="434"/>
      <c r="AY212" s="434"/>
      <c r="AZ212" s="434"/>
      <c r="BA212" s="434"/>
      <c r="BB212" s="434"/>
      <c r="BC212" s="434"/>
      <c r="BD212" s="434"/>
      <c r="BE212" s="434"/>
      <c r="BF212" s="434"/>
    </row>
    <row r="213" spans="1:58" s="578" customFormat="1" ht="12.75" customHeight="1">
      <c r="A213" s="559"/>
      <c r="B213" s="1274" t="s">
        <v>613</v>
      </c>
      <c r="C213" s="1279"/>
      <c r="D213" s="1279"/>
      <c r="E213" s="1279"/>
      <c r="F213" s="1279"/>
      <c r="G213" s="1279"/>
      <c r="H213" s="1279"/>
      <c r="I213" s="1279"/>
      <c r="J213" s="1279"/>
      <c r="K213" s="1280"/>
      <c r="L213" s="582"/>
      <c r="M213" s="583"/>
      <c r="N213" s="583"/>
      <c r="O213" s="582"/>
      <c r="P213" s="583"/>
      <c r="Q213" s="756">
        <f>R213+S213+T213+U213</f>
        <v>8500</v>
      </c>
      <c r="R213" s="681"/>
      <c r="S213" s="667"/>
      <c r="T213" s="681">
        <f>T212</f>
        <v>8500</v>
      </c>
      <c r="U213" s="667"/>
      <c r="V213" s="681">
        <f>V212</f>
        <v>12300</v>
      </c>
      <c r="W213" s="682">
        <f>V210+V213</f>
        <v>17571.43</v>
      </c>
      <c r="X213" s="683"/>
      <c r="Y213" s="684"/>
      <c r="Z213" s="681">
        <f>Z212</f>
        <v>12300</v>
      </c>
      <c r="AA213" s="681">
        <f>AA212</f>
        <v>12320</v>
      </c>
      <c r="AB213" s="1281"/>
      <c r="AC213" s="1282"/>
      <c r="AD213" s="1283"/>
      <c r="AE213" s="588">
        <v>4000</v>
      </c>
      <c r="AF213" s="589">
        <v>0</v>
      </c>
      <c r="AG213" s="1281"/>
      <c r="AH213" s="1283"/>
      <c r="AI213" s="590">
        <v>1</v>
      </c>
      <c r="AJ213" s="558" t="s">
        <v>594</v>
      </c>
      <c r="AK213" s="576"/>
      <c r="AL213" s="576"/>
      <c r="AM213" s="434"/>
      <c r="AN213" s="434"/>
      <c r="AO213" s="434"/>
      <c r="AP213" s="434"/>
      <c r="AQ213" s="434"/>
      <c r="AR213" s="434"/>
      <c r="AS213" s="434"/>
      <c r="AT213" s="434"/>
      <c r="AU213" s="434"/>
      <c r="AV213" s="434"/>
      <c r="AW213" s="434"/>
      <c r="AX213" s="434"/>
      <c r="AY213" s="434"/>
      <c r="AZ213" s="434"/>
      <c r="BA213" s="434"/>
      <c r="BB213" s="434"/>
      <c r="BC213" s="434"/>
      <c r="BD213" s="434"/>
      <c r="BE213" s="434"/>
      <c r="BF213" s="434"/>
    </row>
    <row r="214" spans="1:38" ht="24.75" customHeight="1">
      <c r="A214" s="557"/>
      <c r="B214" s="579"/>
      <c r="C214" s="580"/>
      <c r="D214" s="1307" t="s">
        <v>755</v>
      </c>
      <c r="E214" s="1307"/>
      <c r="F214" s="1307"/>
      <c r="G214" s="1307"/>
      <c r="H214" s="1307"/>
      <c r="I214" s="1307"/>
      <c r="J214" s="1307"/>
      <c r="K214" s="1307"/>
      <c r="L214" s="1307"/>
      <c r="M214" s="1307"/>
      <c r="N214" s="1307"/>
      <c r="O214" s="1307"/>
      <c r="P214" s="1307"/>
      <c r="Q214" s="1307"/>
      <c r="R214" s="1307"/>
      <c r="S214" s="1307"/>
      <c r="T214" s="1307"/>
      <c r="U214" s="1307"/>
      <c r="V214" s="1307"/>
      <c r="W214" s="1307"/>
      <c r="X214" s="1307"/>
      <c r="Y214" s="1307"/>
      <c r="Z214" s="1307"/>
      <c r="AA214" s="1307"/>
      <c r="AB214" s="587"/>
      <c r="AC214" s="587"/>
      <c r="AD214" s="587"/>
      <c r="AE214" s="667"/>
      <c r="AF214" s="667"/>
      <c r="AG214" s="587"/>
      <c r="AH214" s="587"/>
      <c r="AI214" s="590"/>
      <c r="AJ214" s="558"/>
      <c r="AK214" s="426"/>
      <c r="AL214" s="426"/>
    </row>
    <row r="215" spans="1:58" s="931" customFormat="1" ht="37.5" customHeight="1">
      <c r="A215" s="928"/>
      <c r="B215" s="1325" t="s">
        <v>756</v>
      </c>
      <c r="C215" s="1326"/>
      <c r="D215" s="1326"/>
      <c r="E215" s="1326"/>
      <c r="F215" s="1326"/>
      <c r="G215" s="1326"/>
      <c r="H215" s="1326"/>
      <c r="I215" s="1326"/>
      <c r="J215" s="1326"/>
      <c r="K215" s="1326"/>
      <c r="L215" s="1326"/>
      <c r="M215" s="1326"/>
      <c r="N215" s="1326"/>
      <c r="O215" s="1326"/>
      <c r="P215" s="1326"/>
      <c r="Q215" s="1326"/>
      <c r="R215" s="1326"/>
      <c r="S215" s="1326"/>
      <c r="T215" s="1326"/>
      <c r="U215" s="1326"/>
      <c r="V215" s="1326"/>
      <c r="W215" s="1326"/>
      <c r="X215" s="1326"/>
      <c r="Y215" s="1326"/>
      <c r="Z215" s="1326"/>
      <c r="AA215" s="1326"/>
      <c r="AB215" s="1326"/>
      <c r="AC215" s="1326"/>
      <c r="AD215" s="1326"/>
      <c r="AE215" s="1326"/>
      <c r="AF215" s="1326"/>
      <c r="AG215" s="1326"/>
      <c r="AH215" s="1326"/>
      <c r="AI215" s="1327"/>
      <c r="AJ215" s="558" t="s">
        <v>594</v>
      </c>
      <c r="AK215" s="576"/>
      <c r="AL215" s="576"/>
      <c r="AM215" s="434"/>
      <c r="AN215" s="434"/>
      <c r="AO215" s="434"/>
      <c r="AP215" s="434"/>
      <c r="AQ215" s="434"/>
      <c r="AR215" s="434"/>
      <c r="AS215" s="434"/>
      <c r="AT215" s="434"/>
      <c r="AU215" s="434"/>
      <c r="AV215" s="434"/>
      <c r="AW215" s="434"/>
      <c r="AX215" s="434"/>
      <c r="AY215" s="434"/>
      <c r="AZ215" s="434"/>
      <c r="BA215" s="434"/>
      <c r="BB215" s="434"/>
      <c r="BC215" s="434"/>
      <c r="BD215" s="434"/>
      <c r="BE215" s="434"/>
      <c r="BF215" s="434"/>
    </row>
    <row r="216" spans="1:38" ht="12.75" customHeight="1">
      <c r="A216" s="557"/>
      <c r="B216" s="790" t="s">
        <v>747</v>
      </c>
      <c r="C216" s="791" t="s">
        <v>747</v>
      </c>
      <c r="D216" s="792">
        <v>656570021</v>
      </c>
      <c r="E216" s="793">
        <v>314</v>
      </c>
      <c r="F216" s="794">
        <v>656</v>
      </c>
      <c r="G216" s="956" t="s">
        <v>757</v>
      </c>
      <c r="H216" s="795" t="s">
        <v>632</v>
      </c>
      <c r="I216" s="795">
        <v>251</v>
      </c>
      <c r="J216" s="796">
        <v>0</v>
      </c>
      <c r="K216" s="707"/>
      <c r="L216" s="797"/>
      <c r="M216" s="797"/>
      <c r="N216" s="797"/>
      <c r="O216" s="797"/>
      <c r="P216" s="797"/>
      <c r="Q216" s="799">
        <v>597000</v>
      </c>
      <c r="R216" s="799">
        <v>597000</v>
      </c>
      <c r="S216" s="707"/>
      <c r="T216" s="707"/>
      <c r="U216" s="707"/>
      <c r="V216" s="799"/>
      <c r="W216" s="707"/>
      <c r="X216" s="612"/>
      <c r="Y216" s="800"/>
      <c r="Z216" s="707"/>
      <c r="AA216" s="957"/>
      <c r="AB216" s="801"/>
      <c r="AC216" s="801"/>
      <c r="AD216" s="801"/>
      <c r="AE216" s="801">
        <v>4000</v>
      </c>
      <c r="AF216" s="801">
        <v>0</v>
      </c>
      <c r="AG216" s="801"/>
      <c r="AH216" s="802"/>
      <c r="AI216" s="803">
        <v>1</v>
      </c>
      <c r="AJ216" s="958" t="s">
        <v>594</v>
      </c>
      <c r="AK216" s="426"/>
      <c r="AL216" s="426"/>
    </row>
    <row r="217" spans="1:38" ht="12.75" customHeight="1">
      <c r="A217" s="557"/>
      <c r="B217" s="790" t="s">
        <v>747</v>
      </c>
      <c r="C217" s="791" t="s">
        <v>747</v>
      </c>
      <c r="D217" s="792">
        <v>656570022</v>
      </c>
      <c r="E217" s="793">
        <v>314</v>
      </c>
      <c r="F217" s="794">
        <v>656</v>
      </c>
      <c r="G217" s="956" t="s">
        <v>758</v>
      </c>
      <c r="H217" s="795" t="s">
        <v>632</v>
      </c>
      <c r="I217" s="795">
        <v>251</v>
      </c>
      <c r="J217" s="796">
        <v>0</v>
      </c>
      <c r="K217" s="707"/>
      <c r="L217" s="797"/>
      <c r="M217" s="797"/>
      <c r="N217" s="797"/>
      <c r="O217" s="797"/>
      <c r="P217" s="797"/>
      <c r="Q217" s="799">
        <v>10965003</v>
      </c>
      <c r="R217" s="799">
        <v>10965003</v>
      </c>
      <c r="S217" s="707"/>
      <c r="T217" s="707"/>
      <c r="U217" s="707"/>
      <c r="V217" s="799"/>
      <c r="W217" s="707"/>
      <c r="X217" s="612"/>
      <c r="Y217" s="800"/>
      <c r="Z217" s="707"/>
      <c r="AA217" s="957"/>
      <c r="AB217" s="801"/>
      <c r="AC217" s="801"/>
      <c r="AD217" s="801"/>
      <c r="AE217" s="801">
        <v>4000</v>
      </c>
      <c r="AF217" s="801">
        <v>0</v>
      </c>
      <c r="AG217" s="801"/>
      <c r="AH217" s="802"/>
      <c r="AI217" s="803">
        <v>1</v>
      </c>
      <c r="AJ217" s="958" t="s">
        <v>594</v>
      </c>
      <c r="AK217" s="426"/>
      <c r="AL217" s="426"/>
    </row>
    <row r="218" spans="1:38" ht="12.75" customHeight="1">
      <c r="A218" s="557"/>
      <c r="B218" s="1296" t="s">
        <v>613</v>
      </c>
      <c r="C218" s="1318"/>
      <c r="D218" s="1318"/>
      <c r="E218" s="1318"/>
      <c r="F218" s="1318"/>
      <c r="G218" s="1318"/>
      <c r="H218" s="1318"/>
      <c r="I218" s="1318"/>
      <c r="J218" s="1318"/>
      <c r="K218" s="1319"/>
      <c r="L218" s="959"/>
      <c r="M218" s="960"/>
      <c r="N218" s="960"/>
      <c r="O218" s="959"/>
      <c r="P218" s="960"/>
      <c r="Q218" s="961">
        <f>R218+S218+T218+U218</f>
        <v>11562003</v>
      </c>
      <c r="R218" s="910">
        <f>R216+R217</f>
        <v>11562003</v>
      </c>
      <c r="S218" s="962"/>
      <c r="T218" s="807"/>
      <c r="U218" s="962"/>
      <c r="V218" s="910">
        <f>V216+V217</f>
        <v>0</v>
      </c>
      <c r="W218" s="911"/>
      <c r="X218" s="683"/>
      <c r="Y218" s="912"/>
      <c r="Z218" s="911"/>
      <c r="AA218" s="963"/>
      <c r="AB218" s="1320"/>
      <c r="AC218" s="1321"/>
      <c r="AD218" s="1322"/>
      <c r="AE218" s="964">
        <v>4000</v>
      </c>
      <c r="AF218" s="965">
        <v>0</v>
      </c>
      <c r="AG218" s="1320"/>
      <c r="AH218" s="1322"/>
      <c r="AI218" s="966">
        <v>1</v>
      </c>
      <c r="AJ218" s="958" t="s">
        <v>594</v>
      </c>
      <c r="AK218" s="426"/>
      <c r="AL218" s="426"/>
    </row>
    <row r="219" spans="1:38" ht="0.75" customHeight="1">
      <c r="A219" s="557"/>
      <c r="B219" s="1328" t="s">
        <v>759</v>
      </c>
      <c r="C219" s="1329"/>
      <c r="D219" s="1329"/>
      <c r="E219" s="1329"/>
      <c r="F219" s="1329"/>
      <c r="G219" s="1329"/>
      <c r="H219" s="1329"/>
      <c r="I219" s="1329"/>
      <c r="J219" s="1329"/>
      <c r="K219" s="1329"/>
      <c r="L219" s="1329"/>
      <c r="M219" s="1329"/>
      <c r="N219" s="1329"/>
      <c r="O219" s="1329"/>
      <c r="P219" s="1329"/>
      <c r="Q219" s="1329"/>
      <c r="R219" s="1329"/>
      <c r="S219" s="1329"/>
      <c r="T219" s="1329"/>
      <c r="U219" s="1329"/>
      <c r="V219" s="1329"/>
      <c r="W219" s="1329"/>
      <c r="X219" s="1329"/>
      <c r="Y219" s="1329"/>
      <c r="Z219" s="1329"/>
      <c r="AA219" s="1329"/>
      <c r="AB219" s="1329"/>
      <c r="AC219" s="1329"/>
      <c r="AD219" s="1329"/>
      <c r="AE219" s="1329"/>
      <c r="AF219" s="1329"/>
      <c r="AG219" s="1329"/>
      <c r="AH219" s="1329"/>
      <c r="AI219" s="1330"/>
      <c r="AJ219" s="958" t="s">
        <v>594</v>
      </c>
      <c r="AK219" s="426"/>
      <c r="AL219" s="426"/>
    </row>
    <row r="220" spans="1:38" ht="12.75" customHeight="1">
      <c r="A220" s="557"/>
      <c r="B220" s="790" t="s">
        <v>747</v>
      </c>
      <c r="C220" s="791" t="s">
        <v>747</v>
      </c>
      <c r="D220" s="792">
        <v>656030061</v>
      </c>
      <c r="E220" s="793">
        <v>314</v>
      </c>
      <c r="F220" s="794">
        <v>656</v>
      </c>
      <c r="G220" s="956">
        <v>5222501</v>
      </c>
      <c r="H220" s="795" t="s">
        <v>625</v>
      </c>
      <c r="I220" s="795">
        <v>340</v>
      </c>
      <c r="J220" s="796" t="s">
        <v>152</v>
      </c>
      <c r="K220" s="707"/>
      <c r="L220" s="797"/>
      <c r="M220" s="797"/>
      <c r="N220" s="797"/>
      <c r="O220" s="797"/>
      <c r="P220" s="797"/>
      <c r="Q220" s="798"/>
      <c r="R220" s="799"/>
      <c r="S220" s="707"/>
      <c r="T220" s="707"/>
      <c r="U220" s="707"/>
      <c r="V220" s="799">
        <v>0</v>
      </c>
      <c r="W220" s="707"/>
      <c r="X220" s="612"/>
      <c r="Y220" s="800"/>
      <c r="Z220" s="707"/>
      <c r="AA220" s="957"/>
      <c r="AB220" s="801"/>
      <c r="AC220" s="801"/>
      <c r="AD220" s="801"/>
      <c r="AE220" s="801">
        <v>4000</v>
      </c>
      <c r="AF220" s="801">
        <v>0</v>
      </c>
      <c r="AG220" s="801"/>
      <c r="AH220" s="802"/>
      <c r="AI220" s="803">
        <v>1</v>
      </c>
      <c r="AJ220" s="958" t="s">
        <v>594</v>
      </c>
      <c r="AK220" s="426"/>
      <c r="AL220" s="426"/>
    </row>
    <row r="221" spans="1:38" ht="12.75" customHeight="1">
      <c r="A221" s="557"/>
      <c r="B221" s="1296" t="s">
        <v>613</v>
      </c>
      <c r="C221" s="1318"/>
      <c r="D221" s="1318"/>
      <c r="E221" s="1318"/>
      <c r="F221" s="1318"/>
      <c r="G221" s="1318"/>
      <c r="H221" s="1318"/>
      <c r="I221" s="1318"/>
      <c r="J221" s="1318"/>
      <c r="K221" s="1319"/>
      <c r="L221" s="959"/>
      <c r="M221" s="960"/>
      <c r="N221" s="960"/>
      <c r="O221" s="959"/>
      <c r="P221" s="960"/>
      <c r="Q221" s="967"/>
      <c r="R221" s="910">
        <v>3030.3</v>
      </c>
      <c r="S221" s="962"/>
      <c r="T221" s="807"/>
      <c r="U221" s="962"/>
      <c r="V221" s="910">
        <f>V220</f>
        <v>0</v>
      </c>
      <c r="W221" s="911"/>
      <c r="X221" s="683"/>
      <c r="Y221" s="912"/>
      <c r="Z221" s="911"/>
      <c r="AA221" s="963"/>
      <c r="AB221" s="1320"/>
      <c r="AC221" s="1321"/>
      <c r="AD221" s="1322"/>
      <c r="AE221" s="964">
        <v>4000</v>
      </c>
      <c r="AF221" s="965">
        <v>0</v>
      </c>
      <c r="AG221" s="1320"/>
      <c r="AH221" s="1322"/>
      <c r="AI221" s="966">
        <v>1</v>
      </c>
      <c r="AJ221" s="958" t="s">
        <v>594</v>
      </c>
      <c r="AK221" s="426"/>
      <c r="AL221" s="426"/>
    </row>
    <row r="222" spans="1:38" ht="12.75" customHeight="1">
      <c r="A222" s="557"/>
      <c r="B222" s="1274" t="s">
        <v>760</v>
      </c>
      <c r="C222" s="1279"/>
      <c r="D222" s="1279"/>
      <c r="E222" s="1279"/>
      <c r="F222" s="1279"/>
      <c r="G222" s="1279"/>
      <c r="H222" s="1279"/>
      <c r="I222" s="1279"/>
      <c r="J222" s="1279"/>
      <c r="K222" s="1279"/>
      <c r="L222" s="1279"/>
      <c r="M222" s="1279"/>
      <c r="N222" s="1279"/>
      <c r="O222" s="1279"/>
      <c r="P222" s="1279"/>
      <c r="Q222" s="1279"/>
      <c r="R222" s="1279"/>
      <c r="S222" s="1279"/>
      <c r="T222" s="1279"/>
      <c r="U222" s="1279"/>
      <c r="V222" s="1279"/>
      <c r="W222" s="1279"/>
      <c r="X222" s="1279"/>
      <c r="Y222" s="1279"/>
      <c r="Z222" s="1279"/>
      <c r="AA222" s="1279"/>
      <c r="AB222" s="1279"/>
      <c r="AC222" s="1279"/>
      <c r="AD222" s="1279"/>
      <c r="AE222" s="1279"/>
      <c r="AF222" s="1279"/>
      <c r="AG222" s="1279"/>
      <c r="AH222" s="1279"/>
      <c r="AI222" s="1301"/>
      <c r="AJ222" s="558" t="s">
        <v>594</v>
      </c>
      <c r="AK222" s="426"/>
      <c r="AL222" s="426"/>
    </row>
    <row r="223" spans="1:38" ht="12.75" customHeight="1">
      <c r="A223" s="557"/>
      <c r="B223" s="560" t="s">
        <v>760</v>
      </c>
      <c r="C223" s="561" t="s">
        <v>760</v>
      </c>
      <c r="D223" s="562">
        <v>656040011</v>
      </c>
      <c r="E223" s="563">
        <v>409</v>
      </c>
      <c r="F223" s="564">
        <v>656</v>
      </c>
      <c r="G223" s="668">
        <v>3150100</v>
      </c>
      <c r="H223" s="566" t="s">
        <v>632</v>
      </c>
      <c r="I223" s="566">
        <v>251</v>
      </c>
      <c r="J223" s="567">
        <v>0</v>
      </c>
      <c r="K223" s="568"/>
      <c r="L223" s="607">
        <v>0</v>
      </c>
      <c r="M223" s="607">
        <v>0</v>
      </c>
      <c r="N223" s="607">
        <v>0</v>
      </c>
      <c r="O223" s="607">
        <v>0</v>
      </c>
      <c r="P223" s="607">
        <v>0</v>
      </c>
      <c r="Q223" s="572"/>
      <c r="R223" s="919"/>
      <c r="S223" s="919"/>
      <c r="T223" s="919"/>
      <c r="U223" s="919"/>
      <c r="V223" s="611"/>
      <c r="W223" s="568"/>
      <c r="X223" s="612"/>
      <c r="Y223" s="613"/>
      <c r="Z223" s="568"/>
      <c r="AA223" s="897"/>
      <c r="AB223" s="573"/>
      <c r="AC223" s="573"/>
      <c r="AD223" s="573"/>
      <c r="AE223" s="573">
        <v>0</v>
      </c>
      <c r="AF223" s="573">
        <v>0</v>
      </c>
      <c r="AG223" s="573"/>
      <c r="AH223" s="574"/>
      <c r="AI223" s="575"/>
      <c r="AJ223" s="558" t="s">
        <v>594</v>
      </c>
      <c r="AK223" s="426"/>
      <c r="AL223" s="426"/>
    </row>
    <row r="224" spans="1:38" ht="12.75" customHeight="1" thickBot="1">
      <c r="A224" s="557"/>
      <c r="B224" s="1274" t="s">
        <v>613</v>
      </c>
      <c r="C224" s="1279"/>
      <c r="D224" s="1302"/>
      <c r="E224" s="1302"/>
      <c r="F224" s="1302"/>
      <c r="G224" s="1302"/>
      <c r="H224" s="1302"/>
      <c r="I224" s="1302"/>
      <c r="J224" s="1302"/>
      <c r="K224" s="1303"/>
      <c r="L224" s="947">
        <v>0</v>
      </c>
      <c r="M224" s="948">
        <v>0</v>
      </c>
      <c r="N224" s="948">
        <v>0</v>
      </c>
      <c r="O224" s="947">
        <v>0</v>
      </c>
      <c r="P224" s="948">
        <v>0</v>
      </c>
      <c r="Q224" s="826"/>
      <c r="R224" s="949"/>
      <c r="S224" s="950"/>
      <c r="T224" s="949"/>
      <c r="U224" s="950"/>
      <c r="V224" s="817"/>
      <c r="W224" s="831"/>
      <c r="X224" s="951"/>
      <c r="Y224" s="833"/>
      <c r="Z224" s="831"/>
      <c r="AA224" s="952"/>
      <c r="AB224" s="1281"/>
      <c r="AC224" s="1282"/>
      <c r="AD224" s="1283"/>
      <c r="AE224" s="588">
        <v>0</v>
      </c>
      <c r="AF224" s="589">
        <v>0</v>
      </c>
      <c r="AG224" s="1281"/>
      <c r="AH224" s="1283"/>
      <c r="AI224" s="590"/>
      <c r="AJ224" s="558" t="s">
        <v>594</v>
      </c>
      <c r="AK224" s="426"/>
      <c r="AL224" s="426"/>
    </row>
    <row r="225" spans="1:38" ht="12.75" customHeight="1" thickBot="1">
      <c r="A225" s="557"/>
      <c r="B225" s="579"/>
      <c r="C225" s="580"/>
      <c r="D225" s="1304" t="s">
        <v>761</v>
      </c>
      <c r="E225" s="1305"/>
      <c r="F225" s="1305"/>
      <c r="G225" s="1305"/>
      <c r="H225" s="1305"/>
      <c r="I225" s="1305"/>
      <c r="J225" s="1305"/>
      <c r="K225" s="1305"/>
      <c r="L225" s="1305"/>
      <c r="M225" s="1305"/>
      <c r="N225" s="1305"/>
      <c r="O225" s="1305"/>
      <c r="P225" s="1305"/>
      <c r="Q225" s="1305"/>
      <c r="R225" s="1305"/>
      <c r="S225" s="1305"/>
      <c r="T225" s="1305"/>
      <c r="U225" s="1305"/>
      <c r="V225" s="1305"/>
      <c r="W225" s="1305"/>
      <c r="X225" s="1305"/>
      <c r="Y225" s="1305"/>
      <c r="Z225" s="1305"/>
      <c r="AA225" s="1306"/>
      <c r="AB225" s="587"/>
      <c r="AC225" s="587"/>
      <c r="AD225" s="587"/>
      <c r="AE225" s="667"/>
      <c r="AF225" s="667"/>
      <c r="AG225" s="587"/>
      <c r="AH225" s="587"/>
      <c r="AI225" s="590"/>
      <c r="AJ225" s="558"/>
      <c r="AK225" s="426"/>
      <c r="AL225" s="426"/>
    </row>
    <row r="226" spans="1:38" ht="12.75" customHeight="1">
      <c r="A226" s="557"/>
      <c r="B226" s="579"/>
      <c r="C226" s="580"/>
      <c r="D226" s="1324" t="s">
        <v>762</v>
      </c>
      <c r="E226" s="1324"/>
      <c r="F226" s="1324"/>
      <c r="G226" s="1324"/>
      <c r="H226" s="1324"/>
      <c r="I226" s="1324"/>
      <c r="J226" s="1324"/>
      <c r="K226" s="1324"/>
      <c r="L226" s="1324"/>
      <c r="M226" s="1324"/>
      <c r="N226" s="1324"/>
      <c r="O226" s="1324"/>
      <c r="P226" s="1324"/>
      <c r="Q226" s="1324"/>
      <c r="R226" s="1324"/>
      <c r="S226" s="1324"/>
      <c r="T226" s="1324"/>
      <c r="U226" s="1324"/>
      <c r="V226" s="1324"/>
      <c r="W226" s="1324"/>
      <c r="X226" s="686"/>
      <c r="Y226" s="687"/>
      <c r="Z226" s="685"/>
      <c r="AA226" s="685"/>
      <c r="AB226" s="587"/>
      <c r="AC226" s="587"/>
      <c r="AD226" s="587"/>
      <c r="AE226" s="667"/>
      <c r="AF226" s="667"/>
      <c r="AG226" s="587"/>
      <c r="AH226" s="587"/>
      <c r="AI226" s="590"/>
      <c r="AJ226" s="558"/>
      <c r="AK226" s="426"/>
      <c r="AL226" s="426"/>
    </row>
    <row r="227" spans="1:58" s="578" customFormat="1" ht="12.75" customHeight="1">
      <c r="A227" s="559"/>
      <c r="B227" s="1274" t="s">
        <v>763</v>
      </c>
      <c r="C227" s="1279"/>
      <c r="D227" s="1285"/>
      <c r="E227" s="1285"/>
      <c r="F227" s="1285"/>
      <c r="G227" s="1285"/>
      <c r="H227" s="1285"/>
      <c r="I227" s="1285"/>
      <c r="J227" s="1285"/>
      <c r="K227" s="1285"/>
      <c r="L227" s="1285"/>
      <c r="M227" s="1285"/>
      <c r="N227" s="1285"/>
      <c r="O227" s="1285"/>
      <c r="P227" s="1285"/>
      <c r="Q227" s="1285"/>
      <c r="R227" s="1285"/>
      <c r="S227" s="1285"/>
      <c r="T227" s="1285"/>
      <c r="U227" s="1285"/>
      <c r="V227" s="1285"/>
      <c r="W227" s="1285"/>
      <c r="X227" s="1285"/>
      <c r="Y227" s="1285"/>
      <c r="Z227" s="1285"/>
      <c r="AA227" s="1285"/>
      <c r="AB227" s="1279"/>
      <c r="AC227" s="1279"/>
      <c r="AD227" s="1279"/>
      <c r="AE227" s="1279"/>
      <c r="AF227" s="1279"/>
      <c r="AG227" s="1279"/>
      <c r="AH227" s="1279"/>
      <c r="AI227" s="1301"/>
      <c r="AJ227" s="558" t="s">
        <v>594</v>
      </c>
      <c r="AK227" s="576"/>
      <c r="AL227" s="576"/>
      <c r="AM227" s="434"/>
      <c r="AN227" s="434"/>
      <c r="AO227" s="434"/>
      <c r="AP227" s="434"/>
      <c r="AQ227" s="434"/>
      <c r="AR227" s="434"/>
      <c r="AS227" s="434"/>
      <c r="AT227" s="434"/>
      <c r="AU227" s="434"/>
      <c r="AV227" s="434"/>
      <c r="AW227" s="434"/>
      <c r="AX227" s="434"/>
      <c r="AY227" s="434"/>
      <c r="AZ227" s="434"/>
      <c r="BA227" s="434"/>
      <c r="BB227" s="434"/>
      <c r="BC227" s="434"/>
      <c r="BD227" s="434"/>
      <c r="BE227" s="434"/>
      <c r="BF227" s="434"/>
    </row>
    <row r="228" spans="1:58" s="578" customFormat="1" ht="12.75" customHeight="1">
      <c r="A228" s="559"/>
      <c r="B228" s="560" t="s">
        <v>764</v>
      </c>
      <c r="C228" s="561" t="s">
        <v>764</v>
      </c>
      <c r="D228" s="562">
        <v>656400011</v>
      </c>
      <c r="E228" s="563">
        <v>409</v>
      </c>
      <c r="F228" s="564">
        <v>656</v>
      </c>
      <c r="G228" s="668">
        <v>4000199990</v>
      </c>
      <c r="H228" s="566" t="s">
        <v>625</v>
      </c>
      <c r="I228" s="566">
        <v>225</v>
      </c>
      <c r="J228" s="567" t="s">
        <v>765</v>
      </c>
      <c r="K228" s="568"/>
      <c r="L228" s="569">
        <v>484000</v>
      </c>
      <c r="M228" s="569">
        <v>663000</v>
      </c>
      <c r="N228" s="569">
        <v>800000</v>
      </c>
      <c r="O228" s="569">
        <v>522000</v>
      </c>
      <c r="P228" s="569">
        <v>2469000</v>
      </c>
      <c r="Q228" s="572">
        <f>R228+S228+T228+U228</f>
        <v>993100</v>
      </c>
      <c r="R228" s="568">
        <v>248275</v>
      </c>
      <c r="S228" s="568">
        <v>248275</v>
      </c>
      <c r="T228" s="568">
        <v>248275</v>
      </c>
      <c r="U228" s="568">
        <v>248275</v>
      </c>
      <c r="V228" s="611"/>
      <c r="W228" s="568" t="s">
        <v>766</v>
      </c>
      <c r="X228" s="612"/>
      <c r="Y228" s="613"/>
      <c r="Z228" s="611"/>
      <c r="AA228" s="611"/>
      <c r="AB228" s="573"/>
      <c r="AC228" s="573"/>
      <c r="AD228" s="573"/>
      <c r="AE228" s="573">
        <v>1073842.07</v>
      </c>
      <c r="AF228" s="573">
        <v>0</v>
      </c>
      <c r="AG228" s="573"/>
      <c r="AH228" s="574"/>
      <c r="AI228" s="575">
        <v>0.4349299594977724</v>
      </c>
      <c r="AJ228" s="558" t="s">
        <v>594</v>
      </c>
      <c r="AK228" s="576"/>
      <c r="AL228" s="576"/>
      <c r="AM228" s="434"/>
      <c r="AN228" s="434"/>
      <c r="AO228" s="434"/>
      <c r="AP228" s="434"/>
      <c r="AQ228" s="434"/>
      <c r="AR228" s="434"/>
      <c r="AS228" s="434"/>
      <c r="AT228" s="434"/>
      <c r="AU228" s="434"/>
      <c r="AV228" s="434"/>
      <c r="AW228" s="434"/>
      <c r="AX228" s="434"/>
      <c r="AY228" s="434"/>
      <c r="AZ228" s="434"/>
      <c r="BA228" s="434"/>
      <c r="BB228" s="434"/>
      <c r="BC228" s="434"/>
      <c r="BD228" s="434"/>
      <c r="BE228" s="434"/>
      <c r="BF228" s="434"/>
    </row>
    <row r="229" spans="1:58" s="578" customFormat="1" ht="12.75" customHeight="1">
      <c r="A229" s="559"/>
      <c r="B229" s="560" t="s">
        <v>764</v>
      </c>
      <c r="C229" s="561" t="s">
        <v>764</v>
      </c>
      <c r="D229" s="562">
        <v>656400011</v>
      </c>
      <c r="E229" s="563">
        <v>409</v>
      </c>
      <c r="F229" s="564">
        <v>656</v>
      </c>
      <c r="G229" s="668">
        <v>4000199990</v>
      </c>
      <c r="H229" s="566" t="s">
        <v>625</v>
      </c>
      <c r="I229" s="566">
        <v>225</v>
      </c>
      <c r="J229" s="567" t="s">
        <v>767</v>
      </c>
      <c r="K229" s="568"/>
      <c r="L229" s="569">
        <v>484000</v>
      </c>
      <c r="M229" s="569">
        <v>663000</v>
      </c>
      <c r="N229" s="569">
        <v>800000</v>
      </c>
      <c r="O229" s="569"/>
      <c r="P229" s="569"/>
      <c r="Q229" s="572">
        <f>R229+S229+T229+U229</f>
        <v>1617900</v>
      </c>
      <c r="R229" s="568">
        <v>404475</v>
      </c>
      <c r="S229" s="568">
        <v>404475</v>
      </c>
      <c r="T229" s="568">
        <v>404475</v>
      </c>
      <c r="U229" s="568">
        <v>404475</v>
      </c>
      <c r="V229" s="611">
        <v>4712270.2</v>
      </c>
      <c r="W229" s="568" t="s">
        <v>768</v>
      </c>
      <c r="X229" s="612"/>
      <c r="Y229" s="613"/>
      <c r="Z229" s="611">
        <v>4933296.1</v>
      </c>
      <c r="AA229" s="611">
        <v>5180000</v>
      </c>
      <c r="AB229" s="573"/>
      <c r="AC229" s="573"/>
      <c r="AD229" s="573"/>
      <c r="AE229" s="573">
        <v>1073842.07</v>
      </c>
      <c r="AF229" s="573">
        <v>0</v>
      </c>
      <c r="AG229" s="573"/>
      <c r="AH229" s="574"/>
      <c r="AI229" s="575">
        <v>0.4349299594977724</v>
      </c>
      <c r="AJ229" s="558" t="s">
        <v>594</v>
      </c>
      <c r="AK229" s="576"/>
      <c r="AL229" s="576"/>
      <c r="AM229" s="434"/>
      <c r="AN229" s="434"/>
      <c r="AO229" s="434"/>
      <c r="AP229" s="434"/>
      <c r="AQ229" s="434"/>
      <c r="AR229" s="434"/>
      <c r="AS229" s="434"/>
      <c r="AT229" s="434"/>
      <c r="AU229" s="434"/>
      <c r="AV229" s="434"/>
      <c r="AW229" s="434"/>
      <c r="AX229" s="434"/>
      <c r="AY229" s="434"/>
      <c r="AZ229" s="434"/>
      <c r="BA229" s="434"/>
      <c r="BB229" s="434"/>
      <c r="BC229" s="434"/>
      <c r="BD229" s="434"/>
      <c r="BE229" s="434"/>
      <c r="BF229" s="434"/>
    </row>
    <row r="230" spans="1:58" s="578" customFormat="1" ht="12.75" customHeight="1">
      <c r="A230" s="559"/>
      <c r="B230" s="1274" t="s">
        <v>613</v>
      </c>
      <c r="C230" s="1279"/>
      <c r="D230" s="1279"/>
      <c r="E230" s="1279"/>
      <c r="F230" s="1279"/>
      <c r="G230" s="1279"/>
      <c r="H230" s="1279"/>
      <c r="I230" s="1279"/>
      <c r="J230" s="1279"/>
      <c r="K230" s="1280"/>
      <c r="L230" s="582">
        <v>484000</v>
      </c>
      <c r="M230" s="583">
        <v>663000</v>
      </c>
      <c r="N230" s="583">
        <v>800000</v>
      </c>
      <c r="O230" s="582">
        <v>522000</v>
      </c>
      <c r="P230" s="583">
        <v>2469000</v>
      </c>
      <c r="Q230" s="756">
        <f>R230+S230+T230+U230</f>
        <v>2611000</v>
      </c>
      <c r="R230" s="681">
        <f>R228+R229</f>
        <v>652750</v>
      </c>
      <c r="S230" s="681">
        <f>S228+S229</f>
        <v>652750</v>
      </c>
      <c r="T230" s="681">
        <f>T228+T229</f>
        <v>652750</v>
      </c>
      <c r="U230" s="681">
        <f>U228+U229</f>
        <v>652750</v>
      </c>
      <c r="V230" s="681">
        <f>V229</f>
        <v>4712270.2</v>
      </c>
      <c r="W230" s="682"/>
      <c r="X230" s="683"/>
      <c r="Y230" s="684"/>
      <c r="Z230" s="681">
        <f>Z229</f>
        <v>4933296.1</v>
      </c>
      <c r="AA230" s="681">
        <f>AA229</f>
        <v>5180000</v>
      </c>
      <c r="AB230" s="1281"/>
      <c r="AC230" s="1282"/>
      <c r="AD230" s="1283"/>
      <c r="AE230" s="588">
        <v>1073842.07</v>
      </c>
      <c r="AF230" s="589">
        <v>0</v>
      </c>
      <c r="AG230" s="1281"/>
      <c r="AH230" s="1283"/>
      <c r="AI230" s="590">
        <v>0.4349299594977724</v>
      </c>
      <c r="AJ230" s="558" t="s">
        <v>594</v>
      </c>
      <c r="AK230" s="576"/>
      <c r="AL230" s="576"/>
      <c r="AM230" s="434"/>
      <c r="AN230" s="434"/>
      <c r="AO230" s="434"/>
      <c r="AP230" s="434"/>
      <c r="AQ230" s="434"/>
      <c r="AR230" s="434"/>
      <c r="AS230" s="434"/>
      <c r="AT230" s="434"/>
      <c r="AU230" s="434"/>
      <c r="AV230" s="434"/>
      <c r="AW230" s="434"/>
      <c r="AX230" s="434"/>
      <c r="AY230" s="434"/>
      <c r="AZ230" s="434"/>
      <c r="BA230" s="434"/>
      <c r="BB230" s="434"/>
      <c r="BC230" s="434"/>
      <c r="BD230" s="434"/>
      <c r="BE230" s="434"/>
      <c r="BF230" s="434"/>
    </row>
    <row r="231" spans="1:38" ht="0.75" customHeight="1">
      <c r="A231" s="557"/>
      <c r="B231" s="1274" t="s">
        <v>769</v>
      </c>
      <c r="C231" s="1279"/>
      <c r="D231" s="1279"/>
      <c r="E231" s="1279"/>
      <c r="F231" s="1279"/>
      <c r="G231" s="1279"/>
      <c r="H231" s="1279"/>
      <c r="I231" s="1279"/>
      <c r="J231" s="1279"/>
      <c r="K231" s="1279"/>
      <c r="L231" s="1279"/>
      <c r="M231" s="1279"/>
      <c r="N231" s="1279"/>
      <c r="O231" s="1279"/>
      <c r="P231" s="1279"/>
      <c r="Q231" s="1279"/>
      <c r="R231" s="1279"/>
      <c r="S231" s="1279"/>
      <c r="T231" s="1279"/>
      <c r="U231" s="1279"/>
      <c r="V231" s="1279"/>
      <c r="W231" s="1279"/>
      <c r="X231" s="1279"/>
      <c r="Y231" s="1279"/>
      <c r="Z231" s="1279"/>
      <c r="AA231" s="1279"/>
      <c r="AB231" s="1279"/>
      <c r="AC231" s="1279"/>
      <c r="AD231" s="1279"/>
      <c r="AE231" s="1279"/>
      <c r="AF231" s="1279"/>
      <c r="AG231" s="1279"/>
      <c r="AH231" s="1279"/>
      <c r="AI231" s="1301"/>
      <c r="AJ231" s="558" t="s">
        <v>594</v>
      </c>
      <c r="AK231" s="426"/>
      <c r="AL231" s="426"/>
    </row>
    <row r="232" spans="1:38" ht="12.75" customHeight="1" hidden="1">
      <c r="A232" s="557"/>
      <c r="B232" s="560" t="s">
        <v>769</v>
      </c>
      <c r="C232" s="561" t="s">
        <v>769</v>
      </c>
      <c r="D232" s="562">
        <v>656040021</v>
      </c>
      <c r="E232" s="563">
        <v>410</v>
      </c>
      <c r="F232" s="564">
        <v>656</v>
      </c>
      <c r="G232" s="668">
        <v>3300200</v>
      </c>
      <c r="H232" s="566" t="s">
        <v>124</v>
      </c>
      <c r="I232" s="566">
        <v>226</v>
      </c>
      <c r="J232" s="567">
        <v>0</v>
      </c>
      <c r="K232" s="568"/>
      <c r="L232" s="607">
        <v>423242.71</v>
      </c>
      <c r="M232" s="607">
        <v>-56977.67</v>
      </c>
      <c r="N232" s="607">
        <v>-206855.41</v>
      </c>
      <c r="O232" s="607">
        <v>-56000</v>
      </c>
      <c r="P232" s="607">
        <v>103409.63</v>
      </c>
      <c r="Q232" s="572"/>
      <c r="R232" s="919"/>
      <c r="S232" s="919"/>
      <c r="T232" s="919"/>
      <c r="U232" s="919"/>
      <c r="V232" s="611">
        <v>0</v>
      </c>
      <c r="W232" s="568"/>
      <c r="X232" s="612"/>
      <c r="Y232" s="613"/>
      <c r="Z232" s="568"/>
      <c r="AA232" s="897"/>
      <c r="AB232" s="573"/>
      <c r="AC232" s="573"/>
      <c r="AD232" s="573"/>
      <c r="AE232" s="573">
        <v>0</v>
      </c>
      <c r="AF232" s="573">
        <v>0</v>
      </c>
      <c r="AG232" s="573"/>
      <c r="AH232" s="574"/>
      <c r="AI232" s="575">
        <v>0</v>
      </c>
      <c r="AJ232" s="558" t="s">
        <v>594</v>
      </c>
      <c r="AK232" s="426"/>
      <c r="AL232" s="426"/>
    </row>
    <row r="233" spans="1:38" ht="12.75" customHeight="1" hidden="1">
      <c r="A233" s="557"/>
      <c r="B233" s="1274" t="s">
        <v>613</v>
      </c>
      <c r="C233" s="1279"/>
      <c r="D233" s="1279"/>
      <c r="E233" s="1279"/>
      <c r="F233" s="1279"/>
      <c r="G233" s="1279"/>
      <c r="H233" s="1279"/>
      <c r="I233" s="1279"/>
      <c r="J233" s="1279"/>
      <c r="K233" s="1280"/>
      <c r="L233" s="845">
        <v>423242.71</v>
      </c>
      <c r="M233" s="608">
        <v>-56977.67</v>
      </c>
      <c r="N233" s="608">
        <v>-206855.41</v>
      </c>
      <c r="O233" s="845">
        <v>-56000</v>
      </c>
      <c r="P233" s="608">
        <v>103409.63</v>
      </c>
      <c r="Q233" s="570"/>
      <c r="R233" s="846"/>
      <c r="S233" s="847"/>
      <c r="T233" s="846"/>
      <c r="U233" s="847"/>
      <c r="V233" s="681">
        <v>0</v>
      </c>
      <c r="W233" s="682"/>
      <c r="X233" s="683"/>
      <c r="Y233" s="684"/>
      <c r="Z233" s="682"/>
      <c r="AA233" s="927"/>
      <c r="AB233" s="1281"/>
      <c r="AC233" s="1282"/>
      <c r="AD233" s="1283"/>
      <c r="AE233" s="588">
        <v>0</v>
      </c>
      <c r="AF233" s="589">
        <v>0</v>
      </c>
      <c r="AG233" s="1281"/>
      <c r="AH233" s="1283"/>
      <c r="AI233" s="590">
        <v>0</v>
      </c>
      <c r="AJ233" s="558" t="s">
        <v>594</v>
      </c>
      <c r="AK233" s="426"/>
      <c r="AL233" s="426"/>
    </row>
    <row r="234" spans="1:58" s="578" customFormat="1" ht="12.75" customHeight="1" hidden="1">
      <c r="A234" s="559"/>
      <c r="B234" s="1274" t="s">
        <v>770</v>
      </c>
      <c r="C234" s="1279"/>
      <c r="D234" s="1285"/>
      <c r="E234" s="1285"/>
      <c r="F234" s="1285"/>
      <c r="G234" s="1285"/>
      <c r="H234" s="1285"/>
      <c r="I234" s="1285"/>
      <c r="J234" s="1285"/>
      <c r="K234" s="1285"/>
      <c r="L234" s="1285"/>
      <c r="M234" s="1285"/>
      <c r="N234" s="1285"/>
      <c r="O234" s="1285"/>
      <c r="P234" s="1285"/>
      <c r="Q234" s="1285"/>
      <c r="R234" s="1285"/>
      <c r="S234" s="1285"/>
      <c r="T234" s="1285"/>
      <c r="U234" s="1285"/>
      <c r="V234" s="1285"/>
      <c r="W234" s="1285"/>
      <c r="X234" s="1285"/>
      <c r="Y234" s="1285"/>
      <c r="Z234" s="1285"/>
      <c r="AA234" s="1285"/>
      <c r="AB234" s="1279"/>
      <c r="AC234" s="1279"/>
      <c r="AD234" s="1279"/>
      <c r="AE234" s="1279"/>
      <c r="AF234" s="1279"/>
      <c r="AG234" s="1279"/>
      <c r="AH234" s="1279"/>
      <c r="AI234" s="1301"/>
      <c r="AJ234" s="558" t="s">
        <v>594</v>
      </c>
      <c r="AK234" s="576"/>
      <c r="AL234" s="576"/>
      <c r="AM234" s="434"/>
      <c r="AN234" s="434"/>
      <c r="AO234" s="434"/>
      <c r="AP234" s="434"/>
      <c r="AQ234" s="434"/>
      <c r="AR234" s="434"/>
      <c r="AS234" s="434"/>
      <c r="AT234" s="434"/>
      <c r="AU234" s="434"/>
      <c r="AV234" s="434"/>
      <c r="AW234" s="434"/>
      <c r="AX234" s="434"/>
      <c r="AY234" s="434"/>
      <c r="AZ234" s="434"/>
      <c r="BA234" s="434"/>
      <c r="BB234" s="434"/>
      <c r="BC234" s="434"/>
      <c r="BD234" s="434"/>
      <c r="BE234" s="434"/>
      <c r="BF234" s="434"/>
    </row>
    <row r="235" spans="1:58" s="578" customFormat="1" ht="12.75" customHeight="1" hidden="1">
      <c r="A235" s="559"/>
      <c r="B235" s="560" t="s">
        <v>764</v>
      </c>
      <c r="C235" s="561" t="s">
        <v>764</v>
      </c>
      <c r="D235" s="562">
        <v>656400012</v>
      </c>
      <c r="E235" s="563">
        <v>409</v>
      </c>
      <c r="F235" s="564">
        <v>656</v>
      </c>
      <c r="G235" s="968" t="s">
        <v>771</v>
      </c>
      <c r="H235" s="566" t="s">
        <v>625</v>
      </c>
      <c r="I235" s="566">
        <v>225</v>
      </c>
      <c r="J235" s="567" t="s">
        <v>765</v>
      </c>
      <c r="K235" s="568"/>
      <c r="L235" s="569">
        <v>484000</v>
      </c>
      <c r="M235" s="569">
        <v>663000</v>
      </c>
      <c r="N235" s="569">
        <v>800000</v>
      </c>
      <c r="O235" s="569">
        <v>522000</v>
      </c>
      <c r="P235" s="569">
        <v>2469000</v>
      </c>
      <c r="Q235" s="572">
        <f>R235+S235+T235+U235</f>
        <v>993100</v>
      </c>
      <c r="R235" s="568">
        <v>248275</v>
      </c>
      <c r="S235" s="568">
        <v>248275</v>
      </c>
      <c r="T235" s="568">
        <v>248275</v>
      </c>
      <c r="U235" s="568">
        <v>248275</v>
      </c>
      <c r="V235" s="969"/>
      <c r="W235" s="568" t="s">
        <v>766</v>
      </c>
      <c r="X235" s="612"/>
      <c r="Y235" s="613"/>
      <c r="Z235" s="611"/>
      <c r="AA235" s="611"/>
      <c r="AB235" s="573"/>
      <c r="AC235" s="573"/>
      <c r="AD235" s="573"/>
      <c r="AE235" s="573">
        <v>1073842.07</v>
      </c>
      <c r="AF235" s="573">
        <v>0</v>
      </c>
      <c r="AG235" s="573"/>
      <c r="AH235" s="574"/>
      <c r="AI235" s="575">
        <v>0.4349299594977724</v>
      </c>
      <c r="AJ235" s="558" t="s">
        <v>594</v>
      </c>
      <c r="AK235" s="576"/>
      <c r="AL235" s="576"/>
      <c r="AM235" s="434"/>
      <c r="AN235" s="434"/>
      <c r="AO235" s="434"/>
      <c r="AP235" s="434"/>
      <c r="AQ235" s="434"/>
      <c r="AR235" s="434"/>
      <c r="AS235" s="434"/>
      <c r="AT235" s="434"/>
      <c r="AU235" s="434"/>
      <c r="AV235" s="434"/>
      <c r="AW235" s="434"/>
      <c r="AX235" s="434"/>
      <c r="AY235" s="434"/>
      <c r="AZ235" s="434"/>
      <c r="BA235" s="434"/>
      <c r="BB235" s="434"/>
      <c r="BC235" s="434"/>
      <c r="BD235" s="434"/>
      <c r="BE235" s="434"/>
      <c r="BF235" s="434"/>
    </row>
    <row r="236" spans="1:58" s="578" customFormat="1" ht="12.75" customHeight="1" hidden="1">
      <c r="A236" s="559"/>
      <c r="B236" s="560" t="s">
        <v>764</v>
      </c>
      <c r="C236" s="561" t="s">
        <v>764</v>
      </c>
      <c r="D236" s="562">
        <v>656400012</v>
      </c>
      <c r="E236" s="563">
        <v>409</v>
      </c>
      <c r="F236" s="564">
        <v>656</v>
      </c>
      <c r="G236" s="968" t="s">
        <v>771</v>
      </c>
      <c r="H236" s="566" t="s">
        <v>625</v>
      </c>
      <c r="I236" s="566">
        <v>225</v>
      </c>
      <c r="J236" s="567" t="s">
        <v>767</v>
      </c>
      <c r="K236" s="568"/>
      <c r="L236" s="569">
        <v>484000</v>
      </c>
      <c r="M236" s="569">
        <v>663000</v>
      </c>
      <c r="N236" s="569">
        <v>800000</v>
      </c>
      <c r="O236" s="569"/>
      <c r="P236" s="569"/>
      <c r="Q236" s="572">
        <f>R236+S236+T236+U236</f>
        <v>1617900</v>
      </c>
      <c r="R236" s="568">
        <v>404475</v>
      </c>
      <c r="S236" s="568">
        <v>404475</v>
      </c>
      <c r="T236" s="568">
        <v>404475</v>
      </c>
      <c r="U236" s="568">
        <v>404475</v>
      </c>
      <c r="V236" s="969"/>
      <c r="W236" s="568" t="s">
        <v>768</v>
      </c>
      <c r="X236" s="612"/>
      <c r="Y236" s="613"/>
      <c r="Z236" s="611"/>
      <c r="AA236" s="611"/>
      <c r="AB236" s="573"/>
      <c r="AC236" s="573"/>
      <c r="AD236" s="573"/>
      <c r="AE236" s="573">
        <v>1073842.07</v>
      </c>
      <c r="AF236" s="573">
        <v>0</v>
      </c>
      <c r="AG236" s="573"/>
      <c r="AH236" s="574"/>
      <c r="AI236" s="575">
        <v>0.4349299594977724</v>
      </c>
      <c r="AJ236" s="558" t="s">
        <v>594</v>
      </c>
      <c r="AK236" s="576"/>
      <c r="AL236" s="576"/>
      <c r="AM236" s="434"/>
      <c r="AN236" s="434"/>
      <c r="AO236" s="434"/>
      <c r="AP236" s="434"/>
      <c r="AQ236" s="434"/>
      <c r="AR236" s="434"/>
      <c r="AS236" s="434"/>
      <c r="AT236" s="434"/>
      <c r="AU236" s="434"/>
      <c r="AV236" s="434"/>
      <c r="AW236" s="434"/>
      <c r="AX236" s="434"/>
      <c r="AY236" s="434"/>
      <c r="AZ236" s="434"/>
      <c r="BA236" s="434"/>
      <c r="BB236" s="434"/>
      <c r="BC236" s="434"/>
      <c r="BD236" s="434"/>
      <c r="BE236" s="434"/>
      <c r="BF236" s="434"/>
    </row>
    <row r="237" spans="1:58" s="578" customFormat="1" ht="12.75" customHeight="1" hidden="1">
      <c r="A237" s="559"/>
      <c r="B237" s="1274" t="s">
        <v>613</v>
      </c>
      <c r="C237" s="1279"/>
      <c r="D237" s="1279"/>
      <c r="E237" s="1279"/>
      <c r="F237" s="1279"/>
      <c r="G237" s="1279"/>
      <c r="H237" s="1279"/>
      <c r="I237" s="1279"/>
      <c r="J237" s="1279"/>
      <c r="K237" s="1280"/>
      <c r="L237" s="582">
        <v>484000</v>
      </c>
      <c r="M237" s="583">
        <v>663000</v>
      </c>
      <c r="N237" s="583">
        <v>800000</v>
      </c>
      <c r="O237" s="582">
        <v>522000</v>
      </c>
      <c r="P237" s="583">
        <v>2469000</v>
      </c>
      <c r="Q237" s="756">
        <f>R237+S237+T237+U237</f>
        <v>2611000</v>
      </c>
      <c r="R237" s="681">
        <f>R235+R236</f>
        <v>652750</v>
      </c>
      <c r="S237" s="681">
        <f>S235+S236</f>
        <v>652750</v>
      </c>
      <c r="T237" s="681">
        <f>T235+T236</f>
        <v>652750</v>
      </c>
      <c r="U237" s="681">
        <f>U235+U236</f>
        <v>652750</v>
      </c>
      <c r="V237" s="970">
        <f>V235+V236</f>
        <v>0</v>
      </c>
      <c r="W237" s="682"/>
      <c r="X237" s="683"/>
      <c r="Y237" s="684"/>
      <c r="Z237" s="681"/>
      <c r="AA237" s="681"/>
      <c r="AB237" s="1281"/>
      <c r="AC237" s="1282"/>
      <c r="AD237" s="1283"/>
      <c r="AE237" s="588">
        <v>1073842.07</v>
      </c>
      <c r="AF237" s="589">
        <v>0</v>
      </c>
      <c r="AG237" s="1281"/>
      <c r="AH237" s="1283"/>
      <c r="AI237" s="590">
        <v>0.4349299594977724</v>
      </c>
      <c r="AJ237" s="558" t="s">
        <v>594</v>
      </c>
      <c r="AK237" s="576"/>
      <c r="AL237" s="576"/>
      <c r="AM237" s="434"/>
      <c r="AN237" s="434"/>
      <c r="AO237" s="434"/>
      <c r="AP237" s="434"/>
      <c r="AQ237" s="434"/>
      <c r="AR237" s="434"/>
      <c r="AS237" s="434"/>
      <c r="AT237" s="434"/>
      <c r="AU237" s="434"/>
      <c r="AV237" s="434"/>
      <c r="AW237" s="434"/>
      <c r="AX237" s="434"/>
      <c r="AY237" s="434"/>
      <c r="AZ237" s="434"/>
      <c r="BA237" s="434"/>
      <c r="BB237" s="434"/>
      <c r="BC237" s="434"/>
      <c r="BD237" s="434"/>
      <c r="BE237" s="434"/>
      <c r="BF237" s="434"/>
    </row>
    <row r="238" spans="1:38" ht="12.75" customHeight="1">
      <c r="A238" s="557"/>
      <c r="B238" s="579"/>
      <c r="C238" s="580"/>
      <c r="D238" s="1314" t="s">
        <v>772</v>
      </c>
      <c r="E238" s="1314"/>
      <c r="F238" s="1314"/>
      <c r="G238" s="1314"/>
      <c r="H238" s="1314"/>
      <c r="I238" s="1314"/>
      <c r="J238" s="1314"/>
      <c r="K238" s="1314"/>
      <c r="L238" s="1314"/>
      <c r="M238" s="1314"/>
      <c r="N238" s="1314"/>
      <c r="O238" s="1314"/>
      <c r="P238" s="1314"/>
      <c r="Q238" s="1314"/>
      <c r="R238" s="1314"/>
      <c r="S238" s="1314"/>
      <c r="T238" s="1314"/>
      <c r="U238" s="1314"/>
      <c r="V238" s="1314"/>
      <c r="W238" s="1314"/>
      <c r="X238" s="1314"/>
      <c r="Y238" s="1314"/>
      <c r="Z238" s="1314"/>
      <c r="AA238" s="1314"/>
      <c r="AB238" s="587"/>
      <c r="AC238" s="587"/>
      <c r="AD238" s="587"/>
      <c r="AE238" s="667"/>
      <c r="AF238" s="667"/>
      <c r="AG238" s="587"/>
      <c r="AH238" s="587"/>
      <c r="AI238" s="590"/>
      <c r="AJ238" s="558"/>
      <c r="AK238" s="426"/>
      <c r="AL238" s="426"/>
    </row>
    <row r="239" spans="1:38" ht="12.75" customHeight="1">
      <c r="A239" s="557"/>
      <c r="B239" s="579"/>
      <c r="C239" s="580"/>
      <c r="D239" s="1290" t="s">
        <v>773</v>
      </c>
      <c r="E239" s="1290"/>
      <c r="F239" s="1290"/>
      <c r="G239" s="1290"/>
      <c r="H239" s="1290"/>
      <c r="I239" s="1290"/>
      <c r="J239" s="1290"/>
      <c r="K239" s="971"/>
      <c r="L239" s="971"/>
      <c r="M239" s="971"/>
      <c r="N239" s="971"/>
      <c r="O239" s="971"/>
      <c r="P239" s="971"/>
      <c r="Q239" s="971"/>
      <c r="R239" s="971"/>
      <c r="S239" s="971"/>
      <c r="T239" s="971"/>
      <c r="U239" s="971"/>
      <c r="V239" s="971"/>
      <c r="W239" s="971"/>
      <c r="X239" s="972"/>
      <c r="Y239" s="973"/>
      <c r="Z239" s="971"/>
      <c r="AA239" s="971"/>
      <c r="AB239" s="587"/>
      <c r="AC239" s="587"/>
      <c r="AD239" s="587"/>
      <c r="AE239" s="667"/>
      <c r="AF239" s="667"/>
      <c r="AG239" s="587"/>
      <c r="AH239" s="587"/>
      <c r="AI239" s="590"/>
      <c r="AJ239" s="558"/>
      <c r="AK239" s="426"/>
      <c r="AL239" s="426"/>
    </row>
    <row r="240" spans="1:58" s="578" customFormat="1" ht="15" customHeight="1">
      <c r="A240" s="559"/>
      <c r="B240" s="1274" t="s">
        <v>774</v>
      </c>
      <c r="C240" s="1279"/>
      <c r="D240" s="1279"/>
      <c r="E240" s="1279"/>
      <c r="F240" s="1279"/>
      <c r="G240" s="1279"/>
      <c r="H240" s="1279"/>
      <c r="I240" s="1279"/>
      <c r="J240" s="1279"/>
      <c r="K240" s="1279"/>
      <c r="L240" s="1279"/>
      <c r="M240" s="1279"/>
      <c r="N240" s="1279"/>
      <c r="O240" s="1279"/>
      <c r="P240" s="1279"/>
      <c r="Q240" s="1279"/>
      <c r="R240" s="1279"/>
      <c r="S240" s="1279"/>
      <c r="T240" s="1279"/>
      <c r="U240" s="1279"/>
      <c r="V240" s="1279"/>
      <c r="W240" s="1279"/>
      <c r="X240" s="1279"/>
      <c r="Y240" s="1279"/>
      <c r="Z240" s="1279"/>
      <c r="AA240" s="1279"/>
      <c r="AB240" s="1279"/>
      <c r="AC240" s="1279"/>
      <c r="AD240" s="1279"/>
      <c r="AE240" s="1279"/>
      <c r="AF240" s="1279"/>
      <c r="AG240" s="1279"/>
      <c r="AH240" s="1279"/>
      <c r="AI240" s="1301"/>
      <c r="AJ240" s="558" t="s">
        <v>594</v>
      </c>
      <c r="AK240" s="576"/>
      <c r="AL240" s="576"/>
      <c r="AM240" s="434"/>
      <c r="AN240" s="434"/>
      <c r="AO240" s="434"/>
      <c r="AP240" s="434"/>
      <c r="AQ240" s="434"/>
      <c r="AR240" s="434"/>
      <c r="AS240" s="434"/>
      <c r="AT240" s="434"/>
      <c r="AU240" s="434"/>
      <c r="AV240" s="434"/>
      <c r="AW240" s="434"/>
      <c r="AX240" s="434"/>
      <c r="AY240" s="434"/>
      <c r="AZ240" s="434"/>
      <c r="BA240" s="434"/>
      <c r="BB240" s="434"/>
      <c r="BC240" s="434"/>
      <c r="BD240" s="434"/>
      <c r="BE240" s="434"/>
      <c r="BF240" s="434"/>
    </row>
    <row r="241" spans="1:58" s="578" customFormat="1" ht="12.75" customHeight="1">
      <c r="A241" s="559"/>
      <c r="B241" s="560" t="s">
        <v>774</v>
      </c>
      <c r="C241" s="561" t="s">
        <v>774</v>
      </c>
      <c r="D241" s="562">
        <v>656560011</v>
      </c>
      <c r="E241" s="563">
        <v>410</v>
      </c>
      <c r="F241" s="564">
        <v>656</v>
      </c>
      <c r="G241" s="668">
        <v>5600020600</v>
      </c>
      <c r="H241" s="566" t="s">
        <v>50</v>
      </c>
      <c r="I241" s="566">
        <v>242</v>
      </c>
      <c r="J241" s="567">
        <v>0</v>
      </c>
      <c r="K241" s="568"/>
      <c r="L241" s="569">
        <v>65700</v>
      </c>
      <c r="M241" s="569">
        <v>65700</v>
      </c>
      <c r="N241" s="569">
        <v>65700</v>
      </c>
      <c r="O241" s="569">
        <v>65700</v>
      </c>
      <c r="P241" s="569">
        <v>262800</v>
      </c>
      <c r="Q241" s="572">
        <f>R241+S241+T241+U241</f>
        <v>90000</v>
      </c>
      <c r="R241" s="568">
        <v>30000</v>
      </c>
      <c r="S241" s="568">
        <v>30000</v>
      </c>
      <c r="T241" s="568">
        <v>30000</v>
      </c>
      <c r="U241" s="568"/>
      <c r="V241" s="799">
        <v>78269.4</v>
      </c>
      <c r="W241" s="707" t="s">
        <v>775</v>
      </c>
      <c r="X241" s="612">
        <f>81966.21*4-78269.4</f>
        <v>249595.44000000003</v>
      </c>
      <c r="Y241" s="707" t="s">
        <v>776</v>
      </c>
      <c r="Z241" s="799"/>
      <c r="AA241" s="799"/>
      <c r="AB241" s="573"/>
      <c r="AC241" s="573"/>
      <c r="AD241" s="573"/>
      <c r="AE241" s="573">
        <v>201514.5</v>
      </c>
      <c r="AF241" s="573">
        <v>0</v>
      </c>
      <c r="AG241" s="573"/>
      <c r="AH241" s="574"/>
      <c r="AI241" s="575">
        <v>0.7667979452054795</v>
      </c>
      <c r="AJ241" s="558" t="s">
        <v>594</v>
      </c>
      <c r="AK241" s="576"/>
      <c r="AL241" s="576"/>
      <c r="AM241" s="434"/>
      <c r="AN241" s="434"/>
      <c r="AO241" s="434"/>
      <c r="AP241" s="434"/>
      <c r="AQ241" s="434"/>
      <c r="AR241" s="434"/>
      <c r="AS241" s="434"/>
      <c r="AT241" s="434"/>
      <c r="AU241" s="434"/>
      <c r="AV241" s="434"/>
      <c r="AW241" s="434"/>
      <c r="AX241" s="434"/>
      <c r="AY241" s="434"/>
      <c r="AZ241" s="434"/>
      <c r="BA241" s="434"/>
      <c r="BB241" s="434"/>
      <c r="BC241" s="434"/>
      <c r="BD241" s="434"/>
      <c r="BE241" s="434"/>
      <c r="BF241" s="434"/>
    </row>
    <row r="242" spans="1:58" s="578" customFormat="1" ht="12.75" customHeight="1">
      <c r="A242" s="559"/>
      <c r="B242" s="1274" t="s">
        <v>613</v>
      </c>
      <c r="C242" s="1279"/>
      <c r="D242" s="1279"/>
      <c r="E242" s="1279"/>
      <c r="F242" s="1279"/>
      <c r="G242" s="1279"/>
      <c r="H242" s="1279"/>
      <c r="I242" s="1279"/>
      <c r="J242" s="1279"/>
      <c r="K242" s="1280"/>
      <c r="L242" s="582">
        <v>65700</v>
      </c>
      <c r="M242" s="583">
        <v>65700</v>
      </c>
      <c r="N242" s="583">
        <v>65700</v>
      </c>
      <c r="O242" s="582">
        <v>65700</v>
      </c>
      <c r="P242" s="583">
        <v>262800</v>
      </c>
      <c r="Q242" s="756">
        <f>R242+S242+T242+U242</f>
        <v>90000</v>
      </c>
      <c r="R242" s="681">
        <f>R241</f>
        <v>30000</v>
      </c>
      <c r="S242" s="681">
        <f>S241</f>
        <v>30000</v>
      </c>
      <c r="T242" s="681">
        <f>T241</f>
        <v>30000</v>
      </c>
      <c r="U242" s="681">
        <f>U241</f>
        <v>0</v>
      </c>
      <c r="V242" s="681">
        <f>V241</f>
        <v>78269.4</v>
      </c>
      <c r="W242" s="682"/>
      <c r="X242" s="816">
        <f>X241</f>
        <v>249595.44000000003</v>
      </c>
      <c r="Y242" s="684"/>
      <c r="Z242" s="681">
        <f>Z241</f>
        <v>0</v>
      </c>
      <c r="AA242" s="681">
        <f>AA241</f>
        <v>0</v>
      </c>
      <c r="AB242" s="1281"/>
      <c r="AC242" s="1282"/>
      <c r="AD242" s="1283"/>
      <c r="AE242" s="588">
        <v>201514.5</v>
      </c>
      <c r="AF242" s="589">
        <v>0</v>
      </c>
      <c r="AG242" s="1281"/>
      <c r="AH242" s="1283"/>
      <c r="AI242" s="590">
        <v>0.7667979452054795</v>
      </c>
      <c r="AJ242" s="558" t="s">
        <v>594</v>
      </c>
      <c r="AK242" s="576"/>
      <c r="AL242" s="576"/>
      <c r="AM242" s="434"/>
      <c r="AN242" s="434"/>
      <c r="AO242" s="434"/>
      <c r="AP242" s="434"/>
      <c r="AQ242" s="434"/>
      <c r="AR242" s="434"/>
      <c r="AS242" s="434"/>
      <c r="AT242" s="434"/>
      <c r="AU242" s="434"/>
      <c r="AV242" s="434"/>
      <c r="AW242" s="434"/>
      <c r="AX242" s="434"/>
      <c r="AY242" s="434"/>
      <c r="AZ242" s="434"/>
      <c r="BA242" s="434"/>
      <c r="BB242" s="434"/>
      <c r="BC242" s="434"/>
      <c r="BD242" s="434"/>
      <c r="BE242" s="434"/>
      <c r="BF242" s="434"/>
    </row>
    <row r="243" spans="1:58" s="578" customFormat="1" ht="19.5" customHeight="1">
      <c r="A243" s="559"/>
      <c r="B243" s="1274" t="s">
        <v>777</v>
      </c>
      <c r="C243" s="1279"/>
      <c r="D243" s="1279"/>
      <c r="E243" s="1279"/>
      <c r="F243" s="1279"/>
      <c r="G243" s="1279"/>
      <c r="H243" s="1279"/>
      <c r="I243" s="1279"/>
      <c r="J243" s="1279"/>
      <c r="K243" s="1279"/>
      <c r="L243" s="1279"/>
      <c r="M243" s="1279"/>
      <c r="N243" s="1279"/>
      <c r="O243" s="1279"/>
      <c r="P243" s="1279"/>
      <c r="Q243" s="1279"/>
      <c r="R243" s="1279"/>
      <c r="S243" s="1279"/>
      <c r="T243" s="1279"/>
      <c r="U243" s="1279"/>
      <c r="V243" s="1279"/>
      <c r="W243" s="1279"/>
      <c r="X243" s="1279"/>
      <c r="Y243" s="1279"/>
      <c r="Z243" s="1279"/>
      <c r="AA243" s="1279"/>
      <c r="AB243" s="1279"/>
      <c r="AC243" s="1279"/>
      <c r="AD243" s="1279"/>
      <c r="AE243" s="1279"/>
      <c r="AF243" s="1279"/>
      <c r="AG243" s="1279"/>
      <c r="AH243" s="1279"/>
      <c r="AI243" s="1301"/>
      <c r="AJ243" s="558" t="s">
        <v>594</v>
      </c>
      <c r="AK243" s="576"/>
      <c r="AL243" s="576"/>
      <c r="AM243" s="434"/>
      <c r="AN243" s="434"/>
      <c r="AO243" s="434"/>
      <c r="AP243" s="434"/>
      <c r="AQ243" s="434"/>
      <c r="AR243" s="434"/>
      <c r="AS243" s="434"/>
      <c r="AT243" s="434"/>
      <c r="AU243" s="434"/>
      <c r="AV243" s="434"/>
      <c r="AW243" s="434"/>
      <c r="AX243" s="434"/>
      <c r="AY243" s="434"/>
      <c r="AZ243" s="434"/>
      <c r="BA243" s="434"/>
      <c r="BB243" s="434"/>
      <c r="BC243" s="434"/>
      <c r="BD243" s="434"/>
      <c r="BE243" s="434"/>
      <c r="BF243" s="434"/>
    </row>
    <row r="244" spans="1:58" s="578" customFormat="1" ht="12.75" customHeight="1">
      <c r="A244" s="559"/>
      <c r="B244" s="560" t="s">
        <v>778</v>
      </c>
      <c r="C244" s="561" t="s">
        <v>778</v>
      </c>
      <c r="D244" s="974">
        <v>656570033</v>
      </c>
      <c r="E244" s="563">
        <v>412</v>
      </c>
      <c r="F244" s="564">
        <v>656</v>
      </c>
      <c r="G244" s="975">
        <v>5700089090</v>
      </c>
      <c r="H244" s="566" t="s">
        <v>632</v>
      </c>
      <c r="I244" s="566">
        <v>251</v>
      </c>
      <c r="J244" s="567">
        <v>0</v>
      </c>
      <c r="K244" s="568"/>
      <c r="L244" s="569">
        <v>0</v>
      </c>
      <c r="M244" s="569">
        <v>0</v>
      </c>
      <c r="N244" s="569">
        <v>0</v>
      </c>
      <c r="O244" s="569">
        <v>0</v>
      </c>
      <c r="P244" s="569">
        <v>0</v>
      </c>
      <c r="Q244" s="572"/>
      <c r="R244" s="611">
        <v>200000</v>
      </c>
      <c r="S244" s="568"/>
      <c r="T244" s="568"/>
      <c r="U244" s="568"/>
      <c r="V244" s="799">
        <v>500000</v>
      </c>
      <c r="W244" s="568"/>
      <c r="X244" s="612"/>
      <c r="Y244" s="613"/>
      <c r="Z244" s="568"/>
      <c r="AA244" s="897"/>
      <c r="AB244" s="573"/>
      <c r="AC244" s="573"/>
      <c r="AD244" s="573"/>
      <c r="AE244" s="573">
        <v>0</v>
      </c>
      <c r="AF244" s="573">
        <v>0</v>
      </c>
      <c r="AG244" s="573"/>
      <c r="AH244" s="574"/>
      <c r="AI244" s="575"/>
      <c r="AJ244" s="558" t="s">
        <v>594</v>
      </c>
      <c r="AK244" s="576"/>
      <c r="AL244" s="576"/>
      <c r="AM244" s="434"/>
      <c r="AN244" s="434"/>
      <c r="AO244" s="434"/>
      <c r="AP244" s="434"/>
      <c r="AQ244" s="434"/>
      <c r="AR244" s="434"/>
      <c r="AS244" s="434"/>
      <c r="AT244" s="434"/>
      <c r="AU244" s="434"/>
      <c r="AV244" s="434"/>
      <c r="AW244" s="434"/>
      <c r="AX244" s="434"/>
      <c r="AY244" s="434"/>
      <c r="AZ244" s="434"/>
      <c r="BA244" s="434"/>
      <c r="BB244" s="434"/>
      <c r="BC244" s="434"/>
      <c r="BD244" s="434"/>
      <c r="BE244" s="434"/>
      <c r="BF244" s="434"/>
    </row>
    <row r="245" spans="1:58" s="578" customFormat="1" ht="14.25" customHeight="1">
      <c r="A245" s="559"/>
      <c r="B245" s="1274" t="s">
        <v>613</v>
      </c>
      <c r="C245" s="1279"/>
      <c r="D245" s="1279"/>
      <c r="E245" s="1279"/>
      <c r="F245" s="1279"/>
      <c r="G245" s="1279"/>
      <c r="H245" s="1279"/>
      <c r="I245" s="1279"/>
      <c r="J245" s="1279"/>
      <c r="K245" s="1280"/>
      <c r="L245" s="582">
        <v>0</v>
      </c>
      <c r="M245" s="583">
        <v>0</v>
      </c>
      <c r="N245" s="583">
        <v>0</v>
      </c>
      <c r="O245" s="582">
        <v>0</v>
      </c>
      <c r="P245" s="583">
        <v>0</v>
      </c>
      <c r="Q245" s="570"/>
      <c r="R245" s="681">
        <f>R244</f>
        <v>200000</v>
      </c>
      <c r="S245" s="667"/>
      <c r="T245" s="680"/>
      <c r="U245" s="667"/>
      <c r="V245" s="970">
        <f>V244</f>
        <v>500000</v>
      </c>
      <c r="W245" s="682"/>
      <c r="X245" s="683"/>
      <c r="Y245" s="684"/>
      <c r="Z245" s="682"/>
      <c r="AA245" s="927"/>
      <c r="AB245" s="1281"/>
      <c r="AC245" s="1282"/>
      <c r="AD245" s="1283"/>
      <c r="AE245" s="588">
        <v>0</v>
      </c>
      <c r="AF245" s="589">
        <v>0</v>
      </c>
      <c r="AG245" s="1281"/>
      <c r="AH245" s="1283"/>
      <c r="AI245" s="590"/>
      <c r="AJ245" s="558" t="s">
        <v>594</v>
      </c>
      <c r="AK245" s="576"/>
      <c r="AL245" s="576"/>
      <c r="AM245" s="434"/>
      <c r="AN245" s="434"/>
      <c r="AO245" s="434"/>
      <c r="AP245" s="434"/>
      <c r="AQ245" s="434"/>
      <c r="AR245" s="434"/>
      <c r="AS245" s="434"/>
      <c r="AT245" s="434"/>
      <c r="AU245" s="434"/>
      <c r="AV245" s="434"/>
      <c r="AW245" s="434"/>
      <c r="AX245" s="434"/>
      <c r="AY245" s="434"/>
      <c r="AZ245" s="434"/>
      <c r="BA245" s="434"/>
      <c r="BB245" s="434"/>
      <c r="BC245" s="434"/>
      <c r="BD245" s="434"/>
      <c r="BE245" s="434"/>
      <c r="BF245" s="434"/>
    </row>
    <row r="246" spans="1:58" s="578" customFormat="1" ht="12.75" customHeight="1">
      <c r="A246" s="559"/>
      <c r="B246" s="579"/>
      <c r="C246" s="580"/>
      <c r="D246" s="1323" t="s">
        <v>779</v>
      </c>
      <c r="E246" s="1323"/>
      <c r="F246" s="1323"/>
      <c r="G246" s="1323"/>
      <c r="H246" s="1323"/>
      <c r="I246" s="1323"/>
      <c r="J246" s="1323"/>
      <c r="K246" s="1323"/>
      <c r="L246" s="1323"/>
      <c r="M246" s="1323"/>
      <c r="N246" s="1323"/>
      <c r="O246" s="1323"/>
      <c r="P246" s="1323"/>
      <c r="Q246" s="1323"/>
      <c r="R246" s="1323"/>
      <c r="S246" s="1323"/>
      <c r="T246" s="1323"/>
      <c r="U246" s="1323"/>
      <c r="V246" s="1323"/>
      <c r="W246" s="1323"/>
      <c r="X246" s="1323"/>
      <c r="Y246" s="1323"/>
      <c r="Z246" s="1323"/>
      <c r="AA246" s="1323"/>
      <c r="AB246" s="587"/>
      <c r="AC246" s="587"/>
      <c r="AD246" s="587"/>
      <c r="AE246" s="667"/>
      <c r="AF246" s="667"/>
      <c r="AG246" s="587"/>
      <c r="AH246" s="587"/>
      <c r="AI246" s="590"/>
      <c r="AJ246" s="558"/>
      <c r="AK246" s="576"/>
      <c r="AL246" s="576"/>
      <c r="AM246" s="434"/>
      <c r="AN246" s="434"/>
      <c r="AO246" s="434"/>
      <c r="AP246" s="434"/>
      <c r="AQ246" s="434"/>
      <c r="AR246" s="434"/>
      <c r="AS246" s="434"/>
      <c r="AT246" s="434"/>
      <c r="AU246" s="434"/>
      <c r="AV246" s="434"/>
      <c r="AW246" s="434"/>
      <c r="AX246" s="434"/>
      <c r="AY246" s="434"/>
      <c r="AZ246" s="434"/>
      <c r="BA246" s="434"/>
      <c r="BB246" s="434"/>
      <c r="BC246" s="434"/>
      <c r="BD246" s="434"/>
      <c r="BE246" s="434"/>
      <c r="BF246" s="434"/>
    </row>
    <row r="247" spans="1:58" s="578" customFormat="1" ht="14.25" customHeight="1">
      <c r="A247" s="559"/>
      <c r="B247" s="1274" t="s">
        <v>780</v>
      </c>
      <c r="C247" s="1279"/>
      <c r="D247" s="1279"/>
      <c r="E247" s="1279"/>
      <c r="F247" s="1279"/>
      <c r="G247" s="1279"/>
      <c r="H247" s="1279"/>
      <c r="I247" s="1279"/>
      <c r="J247" s="1279"/>
      <c r="K247" s="1279"/>
      <c r="L247" s="1279"/>
      <c r="M247" s="1279"/>
      <c r="N247" s="1279"/>
      <c r="O247" s="1279"/>
      <c r="P247" s="1279"/>
      <c r="Q247" s="1279"/>
      <c r="R247" s="1279"/>
      <c r="S247" s="1279"/>
      <c r="T247" s="1279"/>
      <c r="U247" s="1279"/>
      <c r="V247" s="1279"/>
      <c r="W247" s="1279"/>
      <c r="X247" s="1279"/>
      <c r="Y247" s="1279"/>
      <c r="Z247" s="1279"/>
      <c r="AA247" s="1279"/>
      <c r="AB247" s="1279"/>
      <c r="AC247" s="1279"/>
      <c r="AD247" s="1279"/>
      <c r="AE247" s="1279"/>
      <c r="AF247" s="1279"/>
      <c r="AG247" s="1279"/>
      <c r="AH247" s="1279"/>
      <c r="AI247" s="1301"/>
      <c r="AJ247" s="558" t="s">
        <v>594</v>
      </c>
      <c r="AK247" s="576"/>
      <c r="AL247" s="576"/>
      <c r="AM247" s="434"/>
      <c r="AN247" s="434"/>
      <c r="AO247" s="434"/>
      <c r="AP247" s="434"/>
      <c r="AQ247" s="434"/>
      <c r="AR247" s="434"/>
      <c r="AS247" s="434"/>
      <c r="AT247" s="434"/>
      <c r="AU247" s="434"/>
      <c r="AV247" s="434"/>
      <c r="AW247" s="434"/>
      <c r="AX247" s="434"/>
      <c r="AY247" s="434"/>
      <c r="AZ247" s="434"/>
      <c r="BA247" s="434"/>
      <c r="BB247" s="434"/>
      <c r="BC247" s="434"/>
      <c r="BD247" s="434"/>
      <c r="BE247" s="434"/>
      <c r="BF247" s="434"/>
    </row>
    <row r="248" spans="1:58" s="578" customFormat="1" ht="12.75" customHeight="1">
      <c r="A248" s="559"/>
      <c r="B248" s="790" t="s">
        <v>780</v>
      </c>
      <c r="C248" s="791" t="s">
        <v>780</v>
      </c>
      <c r="D248" s="792">
        <v>656560021</v>
      </c>
      <c r="E248" s="793">
        <v>501</v>
      </c>
      <c r="F248" s="794">
        <v>656</v>
      </c>
      <c r="G248" s="976">
        <v>5600020001</v>
      </c>
      <c r="H248" s="795" t="s">
        <v>50</v>
      </c>
      <c r="I248" s="795">
        <v>241</v>
      </c>
      <c r="J248" s="796">
        <v>0</v>
      </c>
      <c r="K248" s="707"/>
      <c r="L248" s="797">
        <v>1082478.92</v>
      </c>
      <c r="M248" s="797">
        <v>144000</v>
      </c>
      <c r="N248" s="797">
        <v>2296521.08</v>
      </c>
      <c r="O248" s="797">
        <v>0</v>
      </c>
      <c r="P248" s="797">
        <v>3523000</v>
      </c>
      <c r="Q248" s="798">
        <f>R248+S248+T248+U248</f>
        <v>3633270</v>
      </c>
      <c r="R248" s="707">
        <f>V248-S248-T248-U248</f>
        <v>36731.02000000002</v>
      </c>
      <c r="S248" s="707">
        <f>1265514-150000</f>
        <v>1115514</v>
      </c>
      <c r="T248" s="707">
        <f>1265514-150000</f>
        <v>1115514</v>
      </c>
      <c r="U248" s="707">
        <f>1265514-3.02+100000</f>
        <v>1365510.98</v>
      </c>
      <c r="V248" s="799">
        <v>3633270</v>
      </c>
      <c r="W248" s="977"/>
      <c r="X248" s="612"/>
      <c r="Y248" s="613"/>
      <c r="Z248" s="568">
        <v>3785310</v>
      </c>
      <c r="AA248" s="897">
        <v>3943720</v>
      </c>
      <c r="AB248" s="573"/>
      <c r="AC248" s="573"/>
      <c r="AD248" s="573"/>
      <c r="AE248" s="573">
        <v>2881781.63</v>
      </c>
      <c r="AF248" s="573">
        <v>141293.16</v>
      </c>
      <c r="AG248" s="573"/>
      <c r="AH248" s="574"/>
      <c r="AI248" s="575">
        <v>0.7778848907181377</v>
      </c>
      <c r="AJ248" s="558" t="s">
        <v>594</v>
      </c>
      <c r="AK248" s="576"/>
      <c r="AL248" s="576"/>
      <c r="AM248" s="434"/>
      <c r="AN248" s="434"/>
      <c r="AO248" s="434"/>
      <c r="AP248" s="434"/>
      <c r="AQ248" s="434"/>
      <c r="AR248" s="434"/>
      <c r="AS248" s="434"/>
      <c r="AT248" s="434"/>
      <c r="AU248" s="434"/>
      <c r="AV248" s="434"/>
      <c r="AW248" s="434"/>
      <c r="AX248" s="434"/>
      <c r="AY248" s="434"/>
      <c r="AZ248" s="434"/>
      <c r="BA248" s="434"/>
      <c r="BB248" s="434"/>
      <c r="BC248" s="434"/>
      <c r="BD248" s="434"/>
      <c r="BE248" s="434"/>
      <c r="BF248" s="434"/>
    </row>
    <row r="249" spans="1:58" s="578" customFormat="1" ht="12.75" customHeight="1">
      <c r="A249" s="559"/>
      <c r="B249" s="1296" t="s">
        <v>613</v>
      </c>
      <c r="C249" s="1318"/>
      <c r="D249" s="1318"/>
      <c r="E249" s="1318"/>
      <c r="F249" s="1318"/>
      <c r="G249" s="1318"/>
      <c r="H249" s="1318"/>
      <c r="I249" s="1318"/>
      <c r="J249" s="1318"/>
      <c r="K249" s="1319"/>
      <c r="L249" s="959">
        <v>1082478.92</v>
      </c>
      <c r="M249" s="960">
        <v>144000</v>
      </c>
      <c r="N249" s="960">
        <v>2296521.08</v>
      </c>
      <c r="O249" s="959">
        <v>0</v>
      </c>
      <c r="P249" s="960">
        <v>3523000</v>
      </c>
      <c r="Q249" s="961">
        <f>R249+S249+T249+U249</f>
        <v>3633270</v>
      </c>
      <c r="R249" s="910">
        <f>R248</f>
        <v>36731.02000000002</v>
      </c>
      <c r="S249" s="910">
        <f>S248</f>
        <v>1115514</v>
      </c>
      <c r="T249" s="910">
        <f>T248</f>
        <v>1115514</v>
      </c>
      <c r="U249" s="910">
        <f>U248</f>
        <v>1365510.98</v>
      </c>
      <c r="V249" s="910">
        <f>V248</f>
        <v>3633270</v>
      </c>
      <c r="W249" s="978"/>
      <c r="X249" s="683"/>
      <c r="Y249" s="684"/>
      <c r="Z249" s="910">
        <f>Z248</f>
        <v>3785310</v>
      </c>
      <c r="AA249" s="910">
        <f>AA248</f>
        <v>3943720</v>
      </c>
      <c r="AB249" s="1281"/>
      <c r="AC249" s="1282"/>
      <c r="AD249" s="1283"/>
      <c r="AE249" s="588">
        <v>2881781.63</v>
      </c>
      <c r="AF249" s="589">
        <v>141293.16</v>
      </c>
      <c r="AG249" s="1281"/>
      <c r="AH249" s="1283"/>
      <c r="AI249" s="590">
        <v>0.7778848907181377</v>
      </c>
      <c r="AJ249" s="558" t="s">
        <v>594</v>
      </c>
      <c r="AK249" s="576"/>
      <c r="AL249" s="576"/>
      <c r="AM249" s="434"/>
      <c r="AN249" s="434"/>
      <c r="AO249" s="434"/>
      <c r="AP249" s="434"/>
      <c r="AQ249" s="434"/>
      <c r="AR249" s="434"/>
      <c r="AS249" s="434"/>
      <c r="AT249" s="434"/>
      <c r="AU249" s="434"/>
      <c r="AV249" s="434"/>
      <c r="AW249" s="434"/>
      <c r="AX249" s="434"/>
      <c r="AY249" s="434"/>
      <c r="AZ249" s="434"/>
      <c r="BA249" s="434"/>
      <c r="BB249" s="434"/>
      <c r="BC249" s="434"/>
      <c r="BD249" s="434"/>
      <c r="BE249" s="434"/>
      <c r="BF249" s="434"/>
    </row>
    <row r="250" spans="1:38" ht="15" customHeight="1">
      <c r="A250" s="557"/>
      <c r="B250" s="579"/>
      <c r="C250" s="580"/>
      <c r="D250" s="1314" t="s">
        <v>781</v>
      </c>
      <c r="E250" s="1314"/>
      <c r="F250" s="1314"/>
      <c r="G250" s="1314"/>
      <c r="H250" s="1314"/>
      <c r="I250" s="1314"/>
      <c r="J250" s="1314"/>
      <c r="K250" s="1314"/>
      <c r="L250" s="1314"/>
      <c r="M250" s="1314"/>
      <c r="N250" s="1314"/>
      <c r="O250" s="1314"/>
      <c r="P250" s="1314"/>
      <c r="Q250" s="1314"/>
      <c r="R250" s="1314"/>
      <c r="S250" s="1314"/>
      <c r="T250" s="1314"/>
      <c r="U250" s="1314"/>
      <c r="V250" s="1314"/>
      <c r="W250" s="1314"/>
      <c r="X250" s="1314"/>
      <c r="Y250" s="1314"/>
      <c r="Z250" s="1314"/>
      <c r="AA250" s="1314"/>
      <c r="AB250" s="587"/>
      <c r="AC250" s="587"/>
      <c r="AD250" s="587"/>
      <c r="AE250" s="667"/>
      <c r="AF250" s="667"/>
      <c r="AG250" s="587"/>
      <c r="AH250" s="587"/>
      <c r="AI250" s="590"/>
      <c r="AJ250" s="558"/>
      <c r="AK250" s="426"/>
      <c r="AL250" s="426"/>
    </row>
    <row r="251" spans="1:58" s="578" customFormat="1" ht="12.75" customHeight="1">
      <c r="A251" s="559"/>
      <c r="B251" s="1274" t="s">
        <v>782</v>
      </c>
      <c r="C251" s="1279"/>
      <c r="D251" s="1279"/>
      <c r="E251" s="1279"/>
      <c r="F251" s="1279"/>
      <c r="G251" s="1279"/>
      <c r="H251" s="1279"/>
      <c r="I251" s="1279"/>
      <c r="J251" s="1279"/>
      <c r="K251" s="1279"/>
      <c r="L251" s="1279"/>
      <c r="M251" s="1279"/>
      <c r="N251" s="1279"/>
      <c r="O251" s="1279"/>
      <c r="P251" s="1279"/>
      <c r="Q251" s="1279"/>
      <c r="R251" s="1279"/>
      <c r="S251" s="1279"/>
      <c r="T251" s="1279"/>
      <c r="U251" s="1279"/>
      <c r="V251" s="1279"/>
      <c r="W251" s="1279"/>
      <c r="X251" s="1279"/>
      <c r="Y251" s="1279"/>
      <c r="Z251" s="1279"/>
      <c r="AA251" s="1279"/>
      <c r="AB251" s="1279"/>
      <c r="AC251" s="1279"/>
      <c r="AD251" s="1279"/>
      <c r="AE251" s="1279"/>
      <c r="AF251" s="1279"/>
      <c r="AG251" s="1279"/>
      <c r="AH251" s="1279"/>
      <c r="AI251" s="1301"/>
      <c r="AJ251" s="558" t="s">
        <v>594</v>
      </c>
      <c r="AK251" s="576"/>
      <c r="AL251" s="576"/>
      <c r="AM251" s="434"/>
      <c r="AN251" s="434"/>
      <c r="AO251" s="434"/>
      <c r="AP251" s="434"/>
      <c r="AQ251" s="434"/>
      <c r="AR251" s="434"/>
      <c r="AS251" s="434"/>
      <c r="AT251" s="434"/>
      <c r="AU251" s="434"/>
      <c r="AV251" s="434"/>
      <c r="AW251" s="434"/>
      <c r="AX251" s="434"/>
      <c r="AY251" s="434"/>
      <c r="AZ251" s="434"/>
      <c r="BA251" s="434"/>
      <c r="BB251" s="434"/>
      <c r="BC251" s="434"/>
      <c r="BD251" s="434"/>
      <c r="BE251" s="434"/>
      <c r="BF251" s="434"/>
    </row>
    <row r="252" spans="1:58" s="578" customFormat="1" ht="12.75" customHeight="1">
      <c r="A252" s="559"/>
      <c r="B252" s="579"/>
      <c r="C252" s="580"/>
      <c r="D252" s="792">
        <v>656580021</v>
      </c>
      <c r="E252" s="793">
        <v>501</v>
      </c>
      <c r="F252" s="794">
        <v>656</v>
      </c>
      <c r="G252" s="979" t="s">
        <v>783</v>
      </c>
      <c r="H252" s="795" t="s">
        <v>625</v>
      </c>
      <c r="I252" s="795">
        <v>224</v>
      </c>
      <c r="J252" s="796">
        <v>0</v>
      </c>
      <c r="K252" s="707"/>
      <c r="L252" s="797">
        <v>50000</v>
      </c>
      <c r="M252" s="797">
        <v>0</v>
      </c>
      <c r="N252" s="797">
        <v>72736.33</v>
      </c>
      <c r="O252" s="797">
        <v>0</v>
      </c>
      <c r="P252" s="797">
        <v>122736.33</v>
      </c>
      <c r="Q252" s="798">
        <f>R252+S252+T252+U252</f>
        <v>100000</v>
      </c>
      <c r="R252" s="799">
        <v>50000</v>
      </c>
      <c r="S252" s="707">
        <v>50000</v>
      </c>
      <c r="T252" s="910">
        <v>0</v>
      </c>
      <c r="U252" s="707">
        <v>0</v>
      </c>
      <c r="V252" s="799">
        <v>0</v>
      </c>
      <c r="W252" s="980" t="s">
        <v>784</v>
      </c>
      <c r="X252" s="981"/>
      <c r="Y252" s="580"/>
      <c r="Z252" s="580"/>
      <c r="AA252" s="580"/>
      <c r="AB252" s="580"/>
      <c r="AC252" s="580"/>
      <c r="AD252" s="580"/>
      <c r="AE252" s="580"/>
      <c r="AF252" s="580"/>
      <c r="AG252" s="580"/>
      <c r="AH252" s="580"/>
      <c r="AI252" s="610"/>
      <c r="AJ252" s="558"/>
      <c r="AK252" s="576"/>
      <c r="AL252" s="576"/>
      <c r="AM252" s="434"/>
      <c r="AN252" s="434"/>
      <c r="AO252" s="434"/>
      <c r="AP252" s="434"/>
      <c r="AQ252" s="434"/>
      <c r="AR252" s="434"/>
      <c r="AS252" s="434"/>
      <c r="AT252" s="434"/>
      <c r="AU252" s="434"/>
      <c r="AV252" s="434"/>
      <c r="AW252" s="434"/>
      <c r="AX252" s="434"/>
      <c r="AY252" s="434"/>
      <c r="AZ252" s="434"/>
      <c r="BA252" s="434"/>
      <c r="BB252" s="434"/>
      <c r="BC252" s="434"/>
      <c r="BD252" s="434"/>
      <c r="BE252" s="434"/>
      <c r="BF252" s="434"/>
    </row>
    <row r="253" spans="1:58" s="578" customFormat="1" ht="9" customHeight="1">
      <c r="A253" s="559"/>
      <c r="B253" s="790" t="s">
        <v>782</v>
      </c>
      <c r="C253" s="791" t="s">
        <v>782</v>
      </c>
      <c r="D253" s="792">
        <v>656580021</v>
      </c>
      <c r="E253" s="793">
        <v>501</v>
      </c>
      <c r="F253" s="794">
        <v>656</v>
      </c>
      <c r="G253" s="979" t="s">
        <v>783</v>
      </c>
      <c r="H253" s="795" t="s">
        <v>625</v>
      </c>
      <c r="I253" s="795">
        <v>225</v>
      </c>
      <c r="J253" s="796">
        <v>0</v>
      </c>
      <c r="K253" s="707"/>
      <c r="L253" s="797">
        <v>50000</v>
      </c>
      <c r="M253" s="797">
        <v>0</v>
      </c>
      <c r="N253" s="797">
        <v>72736.33</v>
      </c>
      <c r="O253" s="797">
        <v>0</v>
      </c>
      <c r="P253" s="797">
        <v>122736.33</v>
      </c>
      <c r="Q253" s="798">
        <f>R253+S253+T253+U253</f>
        <v>100000</v>
      </c>
      <c r="R253" s="799">
        <v>50000</v>
      </c>
      <c r="S253" s="707">
        <v>50000</v>
      </c>
      <c r="T253" s="910">
        <v>0</v>
      </c>
      <c r="U253" s="707">
        <v>0</v>
      </c>
      <c r="V253" s="799">
        <v>0</v>
      </c>
      <c r="W253" s="982" t="s">
        <v>785</v>
      </c>
      <c r="X253" s="896"/>
      <c r="Y253" s="800"/>
      <c r="Z253" s="799"/>
      <c r="AA253" s="799"/>
      <c r="AB253" s="801"/>
      <c r="AC253" s="801"/>
      <c r="AD253" s="801"/>
      <c r="AE253" s="801">
        <v>0</v>
      </c>
      <c r="AF253" s="801">
        <v>0</v>
      </c>
      <c r="AG253" s="801"/>
      <c r="AH253" s="802"/>
      <c r="AI253" s="803">
        <v>0</v>
      </c>
      <c r="AJ253" s="558" t="s">
        <v>594</v>
      </c>
      <c r="AK253" s="576"/>
      <c r="AL253" s="576"/>
      <c r="AM253" s="983"/>
      <c r="AN253" s="434"/>
      <c r="AO253" s="434"/>
      <c r="AP253" s="434"/>
      <c r="AQ253" s="434"/>
      <c r="AR253" s="434"/>
      <c r="AS253" s="434"/>
      <c r="AT253" s="434"/>
      <c r="AU253" s="434"/>
      <c r="AV253" s="434"/>
      <c r="AW253" s="434"/>
      <c r="AX253" s="434"/>
      <c r="AY253" s="434"/>
      <c r="AZ253" s="434"/>
      <c r="BA253" s="434"/>
      <c r="BB253" s="434"/>
      <c r="BC253" s="434"/>
      <c r="BD253" s="434"/>
      <c r="BE253" s="434"/>
      <c r="BF253" s="434"/>
    </row>
    <row r="254" spans="1:58" s="578" customFormat="1" ht="9" customHeight="1">
      <c r="A254" s="559"/>
      <c r="B254" s="790"/>
      <c r="C254" s="791"/>
      <c r="D254" s="792"/>
      <c r="E254" s="793"/>
      <c r="F254" s="794"/>
      <c r="G254" s="979"/>
      <c r="H254" s="795" t="s">
        <v>625</v>
      </c>
      <c r="I254" s="795">
        <v>226</v>
      </c>
      <c r="J254" s="796"/>
      <c r="K254" s="707"/>
      <c r="L254" s="797"/>
      <c r="M254" s="797"/>
      <c r="N254" s="797"/>
      <c r="O254" s="797"/>
      <c r="P254" s="797"/>
      <c r="Q254" s="798"/>
      <c r="R254" s="799"/>
      <c r="S254" s="707"/>
      <c r="T254" s="910"/>
      <c r="U254" s="707"/>
      <c r="V254" s="799">
        <v>0</v>
      </c>
      <c r="W254" s="982" t="s">
        <v>786</v>
      </c>
      <c r="X254" s="896"/>
      <c r="Y254" s="800"/>
      <c r="Z254" s="799"/>
      <c r="AA254" s="984"/>
      <c r="AB254" s="801"/>
      <c r="AC254" s="801"/>
      <c r="AD254" s="801"/>
      <c r="AE254" s="801"/>
      <c r="AF254" s="801"/>
      <c r="AG254" s="801"/>
      <c r="AH254" s="802"/>
      <c r="AI254" s="803"/>
      <c r="AJ254" s="558"/>
      <c r="AK254" s="576"/>
      <c r="AL254" s="576"/>
      <c r="AM254" s="983"/>
      <c r="AN254" s="434"/>
      <c r="AO254" s="434"/>
      <c r="AP254" s="434"/>
      <c r="AQ254" s="434"/>
      <c r="AR254" s="434"/>
      <c r="AS254" s="434"/>
      <c r="AT254" s="434"/>
      <c r="AU254" s="434"/>
      <c r="AV254" s="434"/>
      <c r="AW254" s="434"/>
      <c r="AX254" s="434"/>
      <c r="AY254" s="434"/>
      <c r="AZ254" s="434"/>
      <c r="BA254" s="434"/>
      <c r="BB254" s="434"/>
      <c r="BC254" s="434"/>
      <c r="BD254" s="434"/>
      <c r="BE254" s="434"/>
      <c r="BF254" s="434"/>
    </row>
    <row r="255" spans="1:58" s="578" customFormat="1" ht="30.75" customHeight="1">
      <c r="A255" s="559"/>
      <c r="B255" s="790"/>
      <c r="C255" s="791"/>
      <c r="D255" s="792"/>
      <c r="E255" s="793"/>
      <c r="F255" s="794"/>
      <c r="G255" s="979"/>
      <c r="H255" s="795" t="s">
        <v>625</v>
      </c>
      <c r="I255" s="795">
        <v>226</v>
      </c>
      <c r="J255" s="796"/>
      <c r="K255" s="707"/>
      <c r="L255" s="797"/>
      <c r="M255" s="797"/>
      <c r="N255" s="797"/>
      <c r="O255" s="797"/>
      <c r="P255" s="797"/>
      <c r="Q255" s="798"/>
      <c r="R255" s="799"/>
      <c r="S255" s="707"/>
      <c r="T255" s="910"/>
      <c r="U255" s="707"/>
      <c r="V255" s="799">
        <v>0</v>
      </c>
      <c r="W255" s="982" t="s">
        <v>787</v>
      </c>
      <c r="X255" s="896">
        <v>120000</v>
      </c>
      <c r="Y255" s="800"/>
      <c r="Z255" s="799"/>
      <c r="AA255" s="984"/>
      <c r="AB255" s="801"/>
      <c r="AC255" s="801"/>
      <c r="AD255" s="801"/>
      <c r="AE255" s="801"/>
      <c r="AF255" s="801"/>
      <c r="AG255" s="801"/>
      <c r="AH255" s="802"/>
      <c r="AI255" s="803"/>
      <c r="AJ255" s="558"/>
      <c r="AK255" s="576"/>
      <c r="AL255" s="576"/>
      <c r="AM255" s="983"/>
      <c r="AN255" s="434"/>
      <c r="AO255" s="434"/>
      <c r="AP255" s="434"/>
      <c r="AQ255" s="434"/>
      <c r="AR255" s="434"/>
      <c r="AS255" s="434"/>
      <c r="AT255" s="434"/>
      <c r="AU255" s="434"/>
      <c r="AV255" s="434"/>
      <c r="AW255" s="434"/>
      <c r="AX255" s="434"/>
      <c r="AY255" s="434"/>
      <c r="AZ255" s="434"/>
      <c r="BA255" s="434"/>
      <c r="BB255" s="434"/>
      <c r="BC255" s="434"/>
      <c r="BD255" s="434"/>
      <c r="BE255" s="434"/>
      <c r="BF255" s="434"/>
    </row>
    <row r="256" spans="1:58" s="578" customFormat="1" ht="21.75" customHeight="1">
      <c r="A256" s="559"/>
      <c r="B256" s="790" t="s">
        <v>782</v>
      </c>
      <c r="C256" s="791" t="s">
        <v>782</v>
      </c>
      <c r="D256" s="792">
        <v>656580021</v>
      </c>
      <c r="E256" s="793">
        <v>501</v>
      </c>
      <c r="F256" s="794">
        <v>656</v>
      </c>
      <c r="G256" s="979" t="s">
        <v>783</v>
      </c>
      <c r="H256" s="795" t="s">
        <v>625</v>
      </c>
      <c r="I256" s="795">
        <v>226</v>
      </c>
      <c r="J256" s="796">
        <v>0</v>
      </c>
      <c r="K256" s="707"/>
      <c r="L256" s="797">
        <v>0</v>
      </c>
      <c r="M256" s="797">
        <v>0</v>
      </c>
      <c r="N256" s="797">
        <v>0</v>
      </c>
      <c r="O256" s="797">
        <v>0</v>
      </c>
      <c r="P256" s="797">
        <v>0</v>
      </c>
      <c r="Q256" s="798">
        <f aca="true" t="shared" si="3" ref="Q256:Q262">R256+S256+T256+U256</f>
        <v>0</v>
      </c>
      <c r="R256" s="707"/>
      <c r="S256" s="707"/>
      <c r="T256" s="707"/>
      <c r="U256" s="707"/>
      <c r="V256" s="799">
        <v>0</v>
      </c>
      <c r="W256" s="797" t="s">
        <v>788</v>
      </c>
      <c r="X256" s="985"/>
      <c r="Y256" s="800"/>
      <c r="Z256" s="707"/>
      <c r="AA256" s="957"/>
      <c r="AB256" s="801"/>
      <c r="AC256" s="801"/>
      <c r="AD256" s="801"/>
      <c r="AE256" s="801">
        <v>71268.36</v>
      </c>
      <c r="AF256" s="801">
        <v>0</v>
      </c>
      <c r="AG256" s="801"/>
      <c r="AH256" s="802"/>
      <c r="AI256" s="803"/>
      <c r="AJ256" s="558" t="s">
        <v>594</v>
      </c>
      <c r="AK256" s="576"/>
      <c r="AL256" s="576"/>
      <c r="AM256" s="983"/>
      <c r="AN256" s="434"/>
      <c r="AO256" s="434"/>
      <c r="AP256" s="434"/>
      <c r="AQ256" s="434"/>
      <c r="AR256" s="434"/>
      <c r="AS256" s="434"/>
      <c r="AT256" s="434"/>
      <c r="AU256" s="434"/>
      <c r="AV256" s="434"/>
      <c r="AW256" s="434"/>
      <c r="AX256" s="434"/>
      <c r="AY256" s="434"/>
      <c r="AZ256" s="434"/>
      <c r="BA256" s="434"/>
      <c r="BB256" s="434"/>
      <c r="BC256" s="434"/>
      <c r="BD256" s="434"/>
      <c r="BE256" s="434"/>
      <c r="BF256" s="434"/>
    </row>
    <row r="257" spans="1:58" s="578" customFormat="1" ht="12.75" customHeight="1">
      <c r="A257" s="559"/>
      <c r="B257" s="790" t="s">
        <v>782</v>
      </c>
      <c r="C257" s="791" t="s">
        <v>782</v>
      </c>
      <c r="D257" s="792">
        <v>656580021</v>
      </c>
      <c r="E257" s="793">
        <v>501</v>
      </c>
      <c r="F257" s="794">
        <v>656</v>
      </c>
      <c r="G257" s="979" t="s">
        <v>783</v>
      </c>
      <c r="H257" s="795" t="s">
        <v>625</v>
      </c>
      <c r="I257" s="795">
        <v>226</v>
      </c>
      <c r="J257" s="796">
        <v>0</v>
      </c>
      <c r="K257" s="707"/>
      <c r="L257" s="797">
        <v>50000</v>
      </c>
      <c r="M257" s="797">
        <v>0</v>
      </c>
      <c r="N257" s="797">
        <v>72736.33</v>
      </c>
      <c r="O257" s="797">
        <v>0</v>
      </c>
      <c r="P257" s="797">
        <v>122736.33</v>
      </c>
      <c r="Q257" s="798">
        <f t="shared" si="3"/>
        <v>100000</v>
      </c>
      <c r="R257" s="799">
        <v>50000</v>
      </c>
      <c r="S257" s="707">
        <v>50000</v>
      </c>
      <c r="T257" s="910">
        <v>0</v>
      </c>
      <c r="U257" s="707">
        <v>0</v>
      </c>
      <c r="V257" s="799">
        <v>30000</v>
      </c>
      <c r="W257" s="707" t="s">
        <v>789</v>
      </c>
      <c r="X257" s="896">
        <v>30000</v>
      </c>
      <c r="Y257" s="800"/>
      <c r="Z257" s="799"/>
      <c r="AA257" s="799"/>
      <c r="AB257" s="801"/>
      <c r="AC257" s="801"/>
      <c r="AD257" s="801"/>
      <c r="AE257" s="801">
        <v>0</v>
      </c>
      <c r="AF257" s="801">
        <v>0</v>
      </c>
      <c r="AG257" s="801"/>
      <c r="AH257" s="802"/>
      <c r="AI257" s="803">
        <v>0</v>
      </c>
      <c r="AJ257" s="558" t="s">
        <v>594</v>
      </c>
      <c r="AK257" s="576"/>
      <c r="AL257" s="576"/>
      <c r="AM257" s="983"/>
      <c r="AN257" s="434"/>
      <c r="AO257" s="434"/>
      <c r="AP257" s="434"/>
      <c r="AQ257" s="434"/>
      <c r="AR257" s="434"/>
      <c r="AS257" s="434"/>
      <c r="AT257" s="434"/>
      <c r="AU257" s="434"/>
      <c r="AV257" s="434"/>
      <c r="AW257" s="434"/>
      <c r="AX257" s="434"/>
      <c r="AY257" s="434"/>
      <c r="AZ257" s="434"/>
      <c r="BA257" s="434"/>
      <c r="BB257" s="434"/>
      <c r="BC257" s="434"/>
      <c r="BD257" s="434"/>
      <c r="BE257" s="434"/>
      <c r="BF257" s="434"/>
    </row>
    <row r="258" spans="1:58" s="578" customFormat="1" ht="12.75" customHeight="1">
      <c r="A258" s="559"/>
      <c r="B258" s="790" t="s">
        <v>782</v>
      </c>
      <c r="C258" s="791" t="s">
        <v>782</v>
      </c>
      <c r="D258" s="792">
        <v>656580021</v>
      </c>
      <c r="E258" s="793">
        <v>501</v>
      </c>
      <c r="F258" s="794">
        <v>656</v>
      </c>
      <c r="G258" s="979" t="s">
        <v>783</v>
      </c>
      <c r="H258" s="795" t="s">
        <v>625</v>
      </c>
      <c r="I258" s="795">
        <v>226</v>
      </c>
      <c r="J258" s="796">
        <v>0</v>
      </c>
      <c r="K258" s="707"/>
      <c r="L258" s="797">
        <v>50000</v>
      </c>
      <c r="M258" s="797">
        <v>0</v>
      </c>
      <c r="N258" s="797">
        <v>72736.33</v>
      </c>
      <c r="O258" s="797">
        <v>0</v>
      </c>
      <c r="P258" s="797">
        <v>122736.33</v>
      </c>
      <c r="Q258" s="798">
        <f t="shared" si="3"/>
        <v>100000</v>
      </c>
      <c r="R258" s="799">
        <v>50000</v>
      </c>
      <c r="S258" s="707">
        <v>50000</v>
      </c>
      <c r="T258" s="910">
        <v>0</v>
      </c>
      <c r="U258" s="707">
        <v>0</v>
      </c>
      <c r="V258" s="799">
        <v>0</v>
      </c>
      <c r="W258" s="707" t="s">
        <v>790</v>
      </c>
      <c r="X258" s="986">
        <v>50000</v>
      </c>
      <c r="Y258" s="800"/>
      <c r="Z258" s="799"/>
      <c r="AA258" s="799"/>
      <c r="AB258" s="801"/>
      <c r="AC258" s="801"/>
      <c r="AD258" s="801"/>
      <c r="AE258" s="801">
        <v>0</v>
      </c>
      <c r="AF258" s="801">
        <v>0</v>
      </c>
      <c r="AG258" s="801"/>
      <c r="AH258" s="802"/>
      <c r="AI258" s="803">
        <v>0</v>
      </c>
      <c r="AJ258" s="558" t="s">
        <v>594</v>
      </c>
      <c r="AK258" s="576"/>
      <c r="AL258" s="576"/>
      <c r="AM258" s="983"/>
      <c r="AN258" s="434"/>
      <c r="AO258" s="434"/>
      <c r="AP258" s="434"/>
      <c r="AQ258" s="434"/>
      <c r="AR258" s="434"/>
      <c r="AS258" s="434"/>
      <c r="AT258" s="434"/>
      <c r="AU258" s="434"/>
      <c r="AV258" s="434"/>
      <c r="AW258" s="434"/>
      <c r="AX258" s="434"/>
      <c r="AY258" s="434"/>
      <c r="AZ258" s="434"/>
      <c r="BA258" s="434"/>
      <c r="BB258" s="434"/>
      <c r="BC258" s="434"/>
      <c r="BD258" s="434"/>
      <c r="BE258" s="434"/>
      <c r="BF258" s="434"/>
    </row>
    <row r="259" spans="1:58" s="578" customFormat="1" ht="12.75" customHeight="1">
      <c r="A259" s="559"/>
      <c r="B259" s="790" t="s">
        <v>782</v>
      </c>
      <c r="C259" s="791" t="s">
        <v>782</v>
      </c>
      <c r="D259" s="792">
        <v>656580021</v>
      </c>
      <c r="E259" s="793">
        <v>501</v>
      </c>
      <c r="F259" s="794">
        <v>656</v>
      </c>
      <c r="G259" s="979" t="s">
        <v>783</v>
      </c>
      <c r="H259" s="795" t="s">
        <v>625</v>
      </c>
      <c r="I259" s="795">
        <v>226</v>
      </c>
      <c r="J259" s="796">
        <v>0</v>
      </c>
      <c r="K259" s="707"/>
      <c r="L259" s="797">
        <v>50000</v>
      </c>
      <c r="M259" s="797">
        <v>0</v>
      </c>
      <c r="N259" s="797">
        <v>72736.33</v>
      </c>
      <c r="O259" s="797">
        <v>0</v>
      </c>
      <c r="P259" s="797">
        <v>122736.33</v>
      </c>
      <c r="Q259" s="798">
        <f t="shared" si="3"/>
        <v>100000</v>
      </c>
      <c r="R259" s="799">
        <v>50000</v>
      </c>
      <c r="S259" s="707">
        <v>50000</v>
      </c>
      <c r="T259" s="910">
        <v>0</v>
      </c>
      <c r="U259" s="707">
        <v>0</v>
      </c>
      <c r="V259" s="799">
        <v>0</v>
      </c>
      <c r="W259" s="707" t="s">
        <v>791</v>
      </c>
      <c r="X259" s="896"/>
      <c r="Y259" s="800"/>
      <c r="Z259" s="799"/>
      <c r="AA259" s="799"/>
      <c r="AB259" s="801"/>
      <c r="AC259" s="801"/>
      <c r="AD259" s="801"/>
      <c r="AE259" s="801">
        <v>0</v>
      </c>
      <c r="AF259" s="801">
        <v>0</v>
      </c>
      <c r="AG259" s="801"/>
      <c r="AH259" s="802"/>
      <c r="AI259" s="803">
        <v>0</v>
      </c>
      <c r="AJ259" s="558" t="s">
        <v>594</v>
      </c>
      <c r="AK259" s="576"/>
      <c r="AL259" s="576"/>
      <c r="AM259" s="983"/>
      <c r="AN259" s="434"/>
      <c r="AO259" s="434"/>
      <c r="AP259" s="434"/>
      <c r="AQ259" s="434"/>
      <c r="AR259" s="434"/>
      <c r="AS259" s="434"/>
      <c r="AT259" s="434"/>
      <c r="AU259" s="434"/>
      <c r="AV259" s="434"/>
      <c r="AW259" s="434"/>
      <c r="AX259" s="434"/>
      <c r="AY259" s="434"/>
      <c r="AZ259" s="434"/>
      <c r="BA259" s="434"/>
      <c r="BB259" s="434"/>
      <c r="BC259" s="434"/>
      <c r="BD259" s="434"/>
      <c r="BE259" s="434"/>
      <c r="BF259" s="434"/>
    </row>
    <row r="260" spans="1:58" s="578" customFormat="1" ht="21.75" customHeight="1">
      <c r="A260" s="559"/>
      <c r="B260" s="790" t="s">
        <v>782</v>
      </c>
      <c r="C260" s="791" t="s">
        <v>782</v>
      </c>
      <c r="D260" s="792">
        <v>656580021</v>
      </c>
      <c r="E260" s="793">
        <v>501</v>
      </c>
      <c r="F260" s="794">
        <v>656</v>
      </c>
      <c r="G260" s="979" t="s">
        <v>783</v>
      </c>
      <c r="H260" s="795" t="s">
        <v>625</v>
      </c>
      <c r="I260" s="795">
        <v>226</v>
      </c>
      <c r="J260" s="796">
        <v>0</v>
      </c>
      <c r="K260" s="707"/>
      <c r="L260" s="797">
        <v>50000</v>
      </c>
      <c r="M260" s="797">
        <v>0</v>
      </c>
      <c r="N260" s="797">
        <v>72736.33</v>
      </c>
      <c r="O260" s="797">
        <v>0</v>
      </c>
      <c r="P260" s="797">
        <v>122736.33</v>
      </c>
      <c r="Q260" s="798">
        <f t="shared" si="3"/>
        <v>100000</v>
      </c>
      <c r="R260" s="799">
        <v>50000</v>
      </c>
      <c r="S260" s="707">
        <v>50000</v>
      </c>
      <c r="T260" s="910">
        <v>0</v>
      </c>
      <c r="U260" s="707">
        <v>0</v>
      </c>
      <c r="V260" s="799">
        <v>0</v>
      </c>
      <c r="W260" s="797" t="s">
        <v>792</v>
      </c>
      <c r="X260" s="896"/>
      <c r="Y260" s="800"/>
      <c r="Z260" s="799"/>
      <c r="AA260" s="799"/>
      <c r="AB260" s="801"/>
      <c r="AC260" s="801"/>
      <c r="AD260" s="801"/>
      <c r="AE260" s="801">
        <v>0</v>
      </c>
      <c r="AF260" s="801">
        <v>0</v>
      </c>
      <c r="AG260" s="801"/>
      <c r="AH260" s="802"/>
      <c r="AI260" s="803">
        <v>0</v>
      </c>
      <c r="AJ260" s="558" t="s">
        <v>594</v>
      </c>
      <c r="AK260" s="576"/>
      <c r="AL260" s="576"/>
      <c r="AM260" s="983"/>
      <c r="AN260" s="434"/>
      <c r="AO260" s="434"/>
      <c r="AP260" s="434"/>
      <c r="AQ260" s="434"/>
      <c r="AR260" s="434"/>
      <c r="AS260" s="434"/>
      <c r="AT260" s="434"/>
      <c r="AU260" s="434"/>
      <c r="AV260" s="434"/>
      <c r="AW260" s="434"/>
      <c r="AX260" s="434"/>
      <c r="AY260" s="434"/>
      <c r="AZ260" s="434"/>
      <c r="BA260" s="434"/>
      <c r="BB260" s="434"/>
      <c r="BC260" s="434"/>
      <c r="BD260" s="434"/>
      <c r="BE260" s="434"/>
      <c r="BF260" s="434"/>
    </row>
    <row r="261" spans="1:58" s="578" customFormat="1" ht="21.75" customHeight="1">
      <c r="A261" s="559"/>
      <c r="B261" s="790" t="s">
        <v>782</v>
      </c>
      <c r="C261" s="791" t="s">
        <v>782</v>
      </c>
      <c r="D261" s="792">
        <v>656580021</v>
      </c>
      <c r="E261" s="793">
        <v>501</v>
      </c>
      <c r="F261" s="794">
        <v>656</v>
      </c>
      <c r="G261" s="979" t="s">
        <v>783</v>
      </c>
      <c r="H261" s="795" t="s">
        <v>625</v>
      </c>
      <c r="I261" s="795">
        <v>226</v>
      </c>
      <c r="J261" s="796">
        <v>0</v>
      </c>
      <c r="K261" s="707"/>
      <c r="L261" s="797">
        <v>50000</v>
      </c>
      <c r="M261" s="797">
        <v>0</v>
      </c>
      <c r="N261" s="797">
        <v>72736.33</v>
      </c>
      <c r="O261" s="797">
        <v>0</v>
      </c>
      <c r="P261" s="797">
        <v>122736.33</v>
      </c>
      <c r="Q261" s="798">
        <f t="shared" si="3"/>
        <v>100000</v>
      </c>
      <c r="R261" s="799">
        <v>50000</v>
      </c>
      <c r="S261" s="707">
        <v>50000</v>
      </c>
      <c r="T261" s="910">
        <v>0</v>
      </c>
      <c r="U261" s="707">
        <v>0</v>
      </c>
      <c r="V261" s="799">
        <v>0</v>
      </c>
      <c r="W261" s="797" t="s">
        <v>793</v>
      </c>
      <c r="X261" s="896"/>
      <c r="Y261" s="800"/>
      <c r="Z261" s="799"/>
      <c r="AA261" s="799"/>
      <c r="AB261" s="801"/>
      <c r="AC261" s="801"/>
      <c r="AD261" s="801"/>
      <c r="AE261" s="801">
        <v>0</v>
      </c>
      <c r="AF261" s="801">
        <v>0</v>
      </c>
      <c r="AG261" s="801"/>
      <c r="AH261" s="802"/>
      <c r="AI261" s="803">
        <v>0</v>
      </c>
      <c r="AJ261" s="558" t="s">
        <v>594</v>
      </c>
      <c r="AK261" s="576"/>
      <c r="AL261" s="576"/>
      <c r="AM261" s="983"/>
      <c r="AN261" s="434"/>
      <c r="AO261" s="434"/>
      <c r="AP261" s="434"/>
      <c r="AQ261" s="434"/>
      <c r="AR261" s="434"/>
      <c r="AS261" s="434"/>
      <c r="AT261" s="434"/>
      <c r="AU261" s="434"/>
      <c r="AV261" s="434"/>
      <c r="AW261" s="434"/>
      <c r="AX261" s="434"/>
      <c r="AY261" s="434"/>
      <c r="AZ261" s="434"/>
      <c r="BA261" s="434"/>
      <c r="BB261" s="434"/>
      <c r="BC261" s="434"/>
      <c r="BD261" s="434"/>
      <c r="BE261" s="434"/>
      <c r="BF261" s="434"/>
    </row>
    <row r="262" spans="1:58" s="578" customFormat="1" ht="12.75" customHeight="1">
      <c r="A262" s="559"/>
      <c r="B262" s="1296" t="s">
        <v>613</v>
      </c>
      <c r="C262" s="1318"/>
      <c r="D262" s="1318"/>
      <c r="E262" s="1318"/>
      <c r="F262" s="1318"/>
      <c r="G262" s="1318"/>
      <c r="H262" s="1318"/>
      <c r="I262" s="1318"/>
      <c r="J262" s="1318"/>
      <c r="K262" s="1319"/>
      <c r="L262" s="959">
        <v>50000</v>
      </c>
      <c r="M262" s="960">
        <v>0</v>
      </c>
      <c r="N262" s="960">
        <v>72736.33</v>
      </c>
      <c r="O262" s="959">
        <v>0</v>
      </c>
      <c r="P262" s="960">
        <v>122736.33</v>
      </c>
      <c r="Q262" s="961">
        <f t="shared" si="3"/>
        <v>100000</v>
      </c>
      <c r="R262" s="910">
        <f>R257</f>
        <v>50000</v>
      </c>
      <c r="S262" s="910">
        <f>S257</f>
        <v>50000</v>
      </c>
      <c r="T262" s="910">
        <f>T257</f>
        <v>0</v>
      </c>
      <c r="U262" s="910">
        <f>U257</f>
        <v>0</v>
      </c>
      <c r="V262" s="910">
        <f>SUM(V252:V260)</f>
        <v>30000</v>
      </c>
      <c r="W262" s="911"/>
      <c r="X262" s="987">
        <f>SUM(X252:X261)</f>
        <v>200000</v>
      </c>
      <c r="Y262" s="912"/>
      <c r="Z262" s="910">
        <f>Z257+Z260+Z261</f>
        <v>0</v>
      </c>
      <c r="AA262" s="910">
        <f>AA257+AA260+AA261</f>
        <v>0</v>
      </c>
      <c r="AB262" s="1320"/>
      <c r="AC262" s="1321"/>
      <c r="AD262" s="1322"/>
      <c r="AE262" s="964">
        <v>71268.36</v>
      </c>
      <c r="AF262" s="965">
        <v>0</v>
      </c>
      <c r="AG262" s="1320"/>
      <c r="AH262" s="1322"/>
      <c r="AI262" s="966">
        <v>0.580662302677618</v>
      </c>
      <c r="AJ262" s="558" t="s">
        <v>594</v>
      </c>
      <c r="AK262" s="576"/>
      <c r="AL262" s="576"/>
      <c r="AM262" s="983"/>
      <c r="AN262" s="434"/>
      <c r="AO262" s="434"/>
      <c r="AP262" s="434"/>
      <c r="AQ262" s="434"/>
      <c r="AR262" s="434"/>
      <c r="AS262" s="434"/>
      <c r="AT262" s="434"/>
      <c r="AU262" s="434"/>
      <c r="AV262" s="434"/>
      <c r="AW262" s="434"/>
      <c r="AX262" s="434"/>
      <c r="AY262" s="434"/>
      <c r="AZ262" s="434"/>
      <c r="BA262" s="434"/>
      <c r="BB262" s="434"/>
      <c r="BC262" s="434"/>
      <c r="BD262" s="434"/>
      <c r="BE262" s="434"/>
      <c r="BF262" s="434"/>
    </row>
    <row r="263" spans="1:39" ht="10.5" customHeight="1" hidden="1">
      <c r="A263" s="557"/>
      <c r="B263" s="1315" t="s">
        <v>781</v>
      </c>
      <c r="C263" s="1316"/>
      <c r="D263" s="1316"/>
      <c r="E263" s="1316"/>
      <c r="F263" s="1316"/>
      <c r="G263" s="1316"/>
      <c r="H263" s="1316"/>
      <c r="I263" s="1316"/>
      <c r="J263" s="1316"/>
      <c r="K263" s="1316"/>
      <c r="L263" s="1316"/>
      <c r="M263" s="1316"/>
      <c r="N263" s="1316"/>
      <c r="O263" s="1316"/>
      <c r="P263" s="1316"/>
      <c r="Q263" s="1316"/>
      <c r="R263" s="1316"/>
      <c r="S263" s="1316"/>
      <c r="T263" s="1316"/>
      <c r="U263" s="1316"/>
      <c r="V263" s="1316"/>
      <c r="W263" s="1316"/>
      <c r="X263" s="1316"/>
      <c r="Y263" s="1316"/>
      <c r="Z263" s="1316"/>
      <c r="AA263" s="1316"/>
      <c r="AB263" s="1316"/>
      <c r="AC263" s="1316"/>
      <c r="AD263" s="1316"/>
      <c r="AE263" s="1316"/>
      <c r="AF263" s="1316"/>
      <c r="AG263" s="1316"/>
      <c r="AH263" s="1316"/>
      <c r="AI263" s="1317"/>
      <c r="AJ263" s="558" t="s">
        <v>594</v>
      </c>
      <c r="AK263" s="426"/>
      <c r="AL263" s="426"/>
      <c r="AM263" s="983"/>
    </row>
    <row r="264" spans="1:39" ht="12.75" customHeight="1" hidden="1">
      <c r="A264" s="557"/>
      <c r="B264" s="560" t="s">
        <v>794</v>
      </c>
      <c r="C264" s="561" t="s">
        <v>794</v>
      </c>
      <c r="D264" s="562"/>
      <c r="E264" s="563"/>
      <c r="F264" s="564">
        <v>656</v>
      </c>
      <c r="G264" s="668"/>
      <c r="H264" s="566"/>
      <c r="I264" s="566"/>
      <c r="J264" s="567">
        <v>0</v>
      </c>
      <c r="K264" s="568"/>
      <c r="L264" s="607">
        <v>7678790.880000001</v>
      </c>
      <c r="M264" s="607">
        <v>3204357.92</v>
      </c>
      <c r="N264" s="607">
        <v>4241000</v>
      </c>
      <c r="O264" s="607">
        <v>9104440</v>
      </c>
      <c r="P264" s="607">
        <v>24228588.8</v>
      </c>
      <c r="Q264" s="572"/>
      <c r="R264" s="919"/>
      <c r="S264" s="919"/>
      <c r="T264" s="919"/>
      <c r="U264" s="919"/>
      <c r="V264" s="611"/>
      <c r="W264" s="568"/>
      <c r="X264" s="612"/>
      <c r="Y264" s="613"/>
      <c r="Z264" s="568"/>
      <c r="AA264" s="897"/>
      <c r="AB264" s="573"/>
      <c r="AC264" s="573"/>
      <c r="AD264" s="573"/>
      <c r="AE264" s="573">
        <v>12101761.37</v>
      </c>
      <c r="AF264" s="573">
        <v>0</v>
      </c>
      <c r="AG264" s="573"/>
      <c r="AH264" s="574"/>
      <c r="AI264" s="575">
        <v>0.49948271729305177</v>
      </c>
      <c r="AJ264" s="558" t="s">
        <v>594</v>
      </c>
      <c r="AK264" s="426"/>
      <c r="AL264" s="426"/>
      <c r="AM264" s="983"/>
    </row>
    <row r="265" spans="1:38" ht="12.75" customHeight="1" hidden="1">
      <c r="A265" s="557"/>
      <c r="B265" s="1274" t="s">
        <v>613</v>
      </c>
      <c r="C265" s="1279"/>
      <c r="D265" s="1279"/>
      <c r="E265" s="1279"/>
      <c r="F265" s="1279"/>
      <c r="G265" s="1279"/>
      <c r="H265" s="1279"/>
      <c r="I265" s="1279"/>
      <c r="J265" s="1279"/>
      <c r="K265" s="1280"/>
      <c r="L265" s="845">
        <v>7678790.88</v>
      </c>
      <c r="M265" s="608">
        <v>3204357.92</v>
      </c>
      <c r="N265" s="608">
        <v>4241000</v>
      </c>
      <c r="O265" s="845">
        <v>9104440</v>
      </c>
      <c r="P265" s="608">
        <v>24228588.8</v>
      </c>
      <c r="Q265" s="570"/>
      <c r="R265" s="846"/>
      <c r="S265" s="847"/>
      <c r="T265" s="846"/>
      <c r="U265" s="847"/>
      <c r="V265" s="681"/>
      <c r="W265" s="682"/>
      <c r="X265" s="683"/>
      <c r="Y265" s="684"/>
      <c r="Z265" s="682"/>
      <c r="AA265" s="927"/>
      <c r="AB265" s="1281"/>
      <c r="AC265" s="1282"/>
      <c r="AD265" s="1283"/>
      <c r="AE265" s="588">
        <v>12101761.37</v>
      </c>
      <c r="AF265" s="589">
        <v>0</v>
      </c>
      <c r="AG265" s="1281"/>
      <c r="AH265" s="1283"/>
      <c r="AI265" s="590">
        <v>0.49948271729305177</v>
      </c>
      <c r="AJ265" s="558" t="s">
        <v>594</v>
      </c>
      <c r="AK265" s="426"/>
      <c r="AL265" s="426"/>
    </row>
    <row r="266" spans="1:38" ht="25.5" customHeight="1" hidden="1">
      <c r="A266" s="557"/>
      <c r="B266" s="579"/>
      <c r="C266" s="580"/>
      <c r="D266" s="1314" t="s">
        <v>630</v>
      </c>
      <c r="E266" s="1314"/>
      <c r="F266" s="1314"/>
      <c r="G266" s="1314"/>
      <c r="H266" s="1314"/>
      <c r="I266" s="1314"/>
      <c r="J266" s="1314"/>
      <c r="K266" s="1314"/>
      <c r="L266" s="1314"/>
      <c r="M266" s="1314"/>
      <c r="N266" s="1314"/>
      <c r="O266" s="1314"/>
      <c r="P266" s="1314"/>
      <c r="Q266" s="1314"/>
      <c r="R266" s="1314"/>
      <c r="S266" s="1314"/>
      <c r="T266" s="1314"/>
      <c r="U266" s="1314"/>
      <c r="V266" s="1314"/>
      <c r="W266" s="1314"/>
      <c r="X266" s="1314"/>
      <c r="Y266" s="1314"/>
      <c r="Z266" s="1314"/>
      <c r="AA266" s="1314"/>
      <c r="AB266" s="587"/>
      <c r="AC266" s="587"/>
      <c r="AD266" s="587"/>
      <c r="AE266" s="667"/>
      <c r="AF266" s="667"/>
      <c r="AG266" s="587"/>
      <c r="AH266" s="587"/>
      <c r="AI266" s="590"/>
      <c r="AJ266" s="558"/>
      <c r="AK266" s="426"/>
      <c r="AL266" s="426"/>
    </row>
    <row r="267" spans="1:38" ht="12.75" customHeight="1" hidden="1">
      <c r="A267" s="557"/>
      <c r="B267" s="579"/>
      <c r="C267" s="580"/>
      <c r="D267" s="1290" t="s">
        <v>795</v>
      </c>
      <c r="E267" s="1290"/>
      <c r="F267" s="1290"/>
      <c r="G267" s="1290"/>
      <c r="H267" s="1290"/>
      <c r="I267" s="1290"/>
      <c r="J267" s="1290"/>
      <c r="K267" s="1290"/>
      <c r="L267" s="1290"/>
      <c r="M267" s="1290"/>
      <c r="N267" s="1290"/>
      <c r="O267" s="1290"/>
      <c r="P267" s="1290"/>
      <c r="Q267" s="1290"/>
      <c r="R267" s="1290"/>
      <c r="S267" s="1290"/>
      <c r="T267" s="1290"/>
      <c r="U267" s="1290"/>
      <c r="V267" s="1290"/>
      <c r="W267" s="1290"/>
      <c r="X267" s="1290"/>
      <c r="Y267" s="1290"/>
      <c r="Z267" s="1290"/>
      <c r="AA267" s="1290"/>
      <c r="AB267" s="587"/>
      <c r="AC267" s="587"/>
      <c r="AD267" s="587"/>
      <c r="AE267" s="667"/>
      <c r="AF267" s="667"/>
      <c r="AG267" s="587"/>
      <c r="AH267" s="587"/>
      <c r="AI267" s="590"/>
      <c r="AJ267" s="558"/>
      <c r="AK267" s="426"/>
      <c r="AL267" s="426"/>
    </row>
    <row r="268" spans="1:58" s="578" customFormat="1" ht="33.75" customHeight="1">
      <c r="A268" s="559"/>
      <c r="B268" s="1274" t="s">
        <v>796</v>
      </c>
      <c r="C268" s="1279"/>
      <c r="D268" s="1279"/>
      <c r="E268" s="1279"/>
      <c r="F268" s="1279"/>
      <c r="G268" s="1279"/>
      <c r="H268" s="1279"/>
      <c r="I268" s="1279"/>
      <c r="J268" s="1279"/>
      <c r="K268" s="1279"/>
      <c r="L268" s="1279"/>
      <c r="M268" s="1279"/>
      <c r="N268" s="1279"/>
      <c r="O268" s="1279"/>
      <c r="P268" s="1279"/>
      <c r="Q268" s="1279"/>
      <c r="R268" s="1279"/>
      <c r="S268" s="1279"/>
      <c r="T268" s="1279"/>
      <c r="U268" s="1279"/>
      <c r="V268" s="1279"/>
      <c r="W268" s="1279"/>
      <c r="X268" s="1279"/>
      <c r="Y268" s="1279"/>
      <c r="Z268" s="1279"/>
      <c r="AA268" s="1279"/>
      <c r="AB268" s="1279"/>
      <c r="AC268" s="1279"/>
      <c r="AD268" s="1279"/>
      <c r="AE268" s="1279"/>
      <c r="AF268" s="1279"/>
      <c r="AG268" s="1279"/>
      <c r="AH268" s="1279"/>
      <c r="AI268" s="1301"/>
      <c r="AJ268" s="558" t="s">
        <v>594</v>
      </c>
      <c r="AK268" s="576"/>
      <c r="AL268" s="576"/>
      <c r="AM268" s="434"/>
      <c r="AN268" s="434"/>
      <c r="AO268" s="434"/>
      <c r="AP268" s="434"/>
      <c r="AQ268" s="434"/>
      <c r="AR268" s="434"/>
      <c r="AS268" s="434"/>
      <c r="AT268" s="434"/>
      <c r="AU268" s="434"/>
      <c r="AV268" s="434"/>
      <c r="AW268" s="434"/>
      <c r="AX268" s="434"/>
      <c r="AY268" s="434"/>
      <c r="AZ268" s="434"/>
      <c r="BA268" s="434"/>
      <c r="BB268" s="434"/>
      <c r="BC268" s="434"/>
      <c r="BD268" s="434"/>
      <c r="BE268" s="434"/>
      <c r="BF268" s="434"/>
    </row>
    <row r="269" spans="1:58" s="578" customFormat="1" ht="12.75" customHeight="1">
      <c r="A269" s="559"/>
      <c r="B269" s="560" t="s">
        <v>797</v>
      </c>
      <c r="C269" s="561" t="s">
        <v>797</v>
      </c>
      <c r="D269" s="562">
        <v>656570031</v>
      </c>
      <c r="E269" s="563">
        <v>501</v>
      </c>
      <c r="F269" s="564">
        <v>656</v>
      </c>
      <c r="G269" s="955" t="s">
        <v>798</v>
      </c>
      <c r="H269" s="566" t="s">
        <v>632</v>
      </c>
      <c r="I269" s="566">
        <v>251</v>
      </c>
      <c r="J269" s="796">
        <v>0</v>
      </c>
      <c r="K269" s="707"/>
      <c r="L269" s="797">
        <v>0</v>
      </c>
      <c r="M269" s="797">
        <v>0</v>
      </c>
      <c r="N269" s="797">
        <v>0</v>
      </c>
      <c r="O269" s="797">
        <v>0</v>
      </c>
      <c r="P269" s="797">
        <v>0</v>
      </c>
      <c r="Q269" s="798">
        <f>R269+S269+T269+U269</f>
        <v>4652999.99</v>
      </c>
      <c r="R269" s="798">
        <f>1163250+723412.19</f>
        <v>1886662.19</v>
      </c>
      <c r="S269" s="798">
        <f>1163250-574987.11</f>
        <v>588262.89</v>
      </c>
      <c r="T269" s="798">
        <f>1163250-338753.72</f>
        <v>824496.28</v>
      </c>
      <c r="U269" s="798">
        <f>1163250+190328.63</f>
        <v>1353578.63</v>
      </c>
      <c r="V269" s="799">
        <v>13743411.68</v>
      </c>
      <c r="W269" s="568" t="s">
        <v>799</v>
      </c>
      <c r="X269" s="896"/>
      <c r="Y269" s="613"/>
      <c r="Z269" s="568"/>
      <c r="AA269" s="897"/>
      <c r="AB269" s="573"/>
      <c r="AC269" s="573"/>
      <c r="AD269" s="573"/>
      <c r="AE269" s="573">
        <v>0</v>
      </c>
      <c r="AF269" s="573">
        <v>0</v>
      </c>
      <c r="AG269" s="573"/>
      <c r="AH269" s="574"/>
      <c r="AI269" s="575"/>
      <c r="AJ269" s="558" t="s">
        <v>594</v>
      </c>
      <c r="AK269" s="576"/>
      <c r="AL269" s="576"/>
      <c r="AM269" s="434"/>
      <c r="AN269" s="434"/>
      <c r="AO269" s="434"/>
      <c r="AP269" s="434"/>
      <c r="AQ269" s="434"/>
      <c r="AR269" s="434"/>
      <c r="AS269" s="434"/>
      <c r="AT269" s="434"/>
      <c r="AU269" s="434"/>
      <c r="AV269" s="434"/>
      <c r="AW269" s="434"/>
      <c r="AX269" s="434"/>
      <c r="AY269" s="434"/>
      <c r="AZ269" s="434"/>
      <c r="BA269" s="434"/>
      <c r="BB269" s="434"/>
      <c r="BC269" s="434"/>
      <c r="BD269" s="434"/>
      <c r="BE269" s="434"/>
      <c r="BF269" s="434"/>
    </row>
    <row r="270" spans="1:58" s="578" customFormat="1" ht="12.75" customHeight="1">
      <c r="A270" s="559"/>
      <c r="B270" s="560" t="s">
        <v>797</v>
      </c>
      <c r="C270" s="561" t="s">
        <v>797</v>
      </c>
      <c r="D270" s="562">
        <v>656570031</v>
      </c>
      <c r="E270" s="563">
        <v>502</v>
      </c>
      <c r="F270" s="564">
        <v>656</v>
      </c>
      <c r="G270" s="955" t="s">
        <v>800</v>
      </c>
      <c r="H270" s="566" t="s">
        <v>632</v>
      </c>
      <c r="I270" s="566">
        <v>251</v>
      </c>
      <c r="J270" s="796">
        <v>0</v>
      </c>
      <c r="K270" s="707"/>
      <c r="L270" s="797">
        <v>0</v>
      </c>
      <c r="M270" s="797">
        <v>0</v>
      </c>
      <c r="N270" s="797">
        <v>0</v>
      </c>
      <c r="O270" s="797">
        <v>0</v>
      </c>
      <c r="P270" s="797">
        <v>0</v>
      </c>
      <c r="Q270" s="798">
        <f>R270+S270+T270+U270</f>
        <v>4652999.99</v>
      </c>
      <c r="R270" s="798">
        <f>1163250+723412.19</f>
        <v>1886662.19</v>
      </c>
      <c r="S270" s="798">
        <f>1163250-574987.11</f>
        <v>588262.89</v>
      </c>
      <c r="T270" s="798">
        <f>1163250-338753.72</f>
        <v>824496.28</v>
      </c>
      <c r="U270" s="798">
        <f>1163250+190328.63</f>
        <v>1353578.63</v>
      </c>
      <c r="V270" s="799">
        <v>10290410</v>
      </c>
      <c r="W270" s="568" t="s">
        <v>799</v>
      </c>
      <c r="X270" s="896"/>
      <c r="Y270" s="613"/>
      <c r="Z270" s="568"/>
      <c r="AA270" s="897"/>
      <c r="AB270" s="573"/>
      <c r="AC270" s="573"/>
      <c r="AD270" s="573"/>
      <c r="AE270" s="573">
        <v>0</v>
      </c>
      <c r="AF270" s="573">
        <v>0</v>
      </c>
      <c r="AG270" s="573"/>
      <c r="AH270" s="574"/>
      <c r="AI270" s="575"/>
      <c r="AJ270" s="558" t="s">
        <v>594</v>
      </c>
      <c r="AK270" s="576"/>
      <c r="AL270" s="576"/>
      <c r="AM270" s="434"/>
      <c r="AN270" s="434"/>
      <c r="AO270" s="434"/>
      <c r="AP270" s="434"/>
      <c r="AQ270" s="434"/>
      <c r="AR270" s="434"/>
      <c r="AS270" s="434"/>
      <c r="AT270" s="434"/>
      <c r="AU270" s="434"/>
      <c r="AV270" s="434"/>
      <c r="AW270" s="434"/>
      <c r="AX270" s="434"/>
      <c r="AY270" s="434"/>
      <c r="AZ270" s="434"/>
      <c r="BA270" s="434"/>
      <c r="BB270" s="434"/>
      <c r="BC270" s="434"/>
      <c r="BD270" s="434"/>
      <c r="BE270" s="434"/>
      <c r="BF270" s="434"/>
    </row>
    <row r="271" spans="1:58" s="578" customFormat="1" ht="12.75" customHeight="1">
      <c r="A271" s="559"/>
      <c r="B271" s="1274" t="s">
        <v>613</v>
      </c>
      <c r="C271" s="1279"/>
      <c r="D271" s="1279"/>
      <c r="E271" s="1279"/>
      <c r="F271" s="1279"/>
      <c r="G271" s="1279"/>
      <c r="H271" s="1279"/>
      <c r="I271" s="1279"/>
      <c r="J271" s="1279"/>
      <c r="K271" s="1280"/>
      <c r="L271" s="582">
        <v>0</v>
      </c>
      <c r="M271" s="583">
        <v>0</v>
      </c>
      <c r="N271" s="583">
        <v>0</v>
      </c>
      <c r="O271" s="582">
        <v>0</v>
      </c>
      <c r="P271" s="583">
        <v>0</v>
      </c>
      <c r="Q271" s="756">
        <f>R271+S271+T271+U271</f>
        <v>4652999.99</v>
      </c>
      <c r="R271" s="681">
        <f>R270</f>
        <v>1886662.19</v>
      </c>
      <c r="S271" s="681">
        <f>S270</f>
        <v>588262.89</v>
      </c>
      <c r="T271" s="681">
        <f>T270</f>
        <v>824496.28</v>
      </c>
      <c r="U271" s="681">
        <f>U270</f>
        <v>1353578.63</v>
      </c>
      <c r="V271" s="681">
        <f>V269+V270</f>
        <v>24033821.68</v>
      </c>
      <c r="W271" s="682"/>
      <c r="X271" s="709"/>
      <c r="Y271" s="684"/>
      <c r="Z271" s="681">
        <f>Z270</f>
        <v>0</v>
      </c>
      <c r="AA271" s="681">
        <f>AA270</f>
        <v>0</v>
      </c>
      <c r="AB271" s="1281"/>
      <c r="AC271" s="1282"/>
      <c r="AD271" s="1283"/>
      <c r="AE271" s="588">
        <v>0</v>
      </c>
      <c r="AF271" s="589">
        <v>0</v>
      </c>
      <c r="AG271" s="1281"/>
      <c r="AH271" s="1283"/>
      <c r="AI271" s="590"/>
      <c r="AJ271" s="558" t="s">
        <v>594</v>
      </c>
      <c r="AK271" s="576"/>
      <c r="AL271" s="576"/>
      <c r="AM271" s="434"/>
      <c r="AN271" s="434"/>
      <c r="AO271" s="434"/>
      <c r="AP271" s="434"/>
      <c r="AQ271" s="434"/>
      <c r="AR271" s="434"/>
      <c r="AS271" s="434"/>
      <c r="AT271" s="434"/>
      <c r="AU271" s="434"/>
      <c r="AV271" s="434"/>
      <c r="AW271" s="434"/>
      <c r="AX271" s="434"/>
      <c r="AY271" s="434"/>
      <c r="AZ271" s="434"/>
      <c r="BA271" s="434"/>
      <c r="BB271" s="434"/>
      <c r="BC271" s="434"/>
      <c r="BD271" s="434"/>
      <c r="BE271" s="434"/>
      <c r="BF271" s="434"/>
    </row>
    <row r="272" spans="1:38" ht="12.75" customHeight="1" hidden="1">
      <c r="A272" s="557"/>
      <c r="B272" s="1274"/>
      <c r="C272" s="1279"/>
      <c r="D272" s="1279"/>
      <c r="E272" s="1279"/>
      <c r="F272" s="1279"/>
      <c r="G272" s="1279"/>
      <c r="H272" s="1279"/>
      <c r="I272" s="1279"/>
      <c r="J272" s="1279"/>
      <c r="K272" s="1279"/>
      <c r="L272" s="1279"/>
      <c r="M272" s="1279"/>
      <c r="N272" s="1279"/>
      <c r="O272" s="1279"/>
      <c r="P272" s="1279"/>
      <c r="Q272" s="1279"/>
      <c r="R272" s="1279"/>
      <c r="S272" s="1279"/>
      <c r="T272" s="1279"/>
      <c r="U272" s="1279"/>
      <c r="V272" s="1279"/>
      <c r="W272" s="1279"/>
      <c r="X272" s="1279"/>
      <c r="Y272" s="1279"/>
      <c r="Z272" s="1279"/>
      <c r="AA272" s="1279"/>
      <c r="AB272" s="1279"/>
      <c r="AC272" s="1279"/>
      <c r="AD272" s="1279"/>
      <c r="AE272" s="1279"/>
      <c r="AF272" s="1279"/>
      <c r="AG272" s="1279"/>
      <c r="AH272" s="1279"/>
      <c r="AI272" s="1301"/>
      <c r="AJ272" s="558" t="s">
        <v>594</v>
      </c>
      <c r="AK272" s="426"/>
      <c r="AL272" s="426"/>
    </row>
    <row r="273" spans="1:38" ht="12.75" customHeight="1" hidden="1">
      <c r="A273" s="557"/>
      <c r="B273" s="560"/>
      <c r="C273" s="561"/>
      <c r="D273" s="562"/>
      <c r="E273" s="563"/>
      <c r="F273" s="564"/>
      <c r="G273" s="668"/>
      <c r="H273" s="566"/>
      <c r="I273" s="566"/>
      <c r="J273" s="567"/>
      <c r="K273" s="568"/>
      <c r="L273" s="607"/>
      <c r="M273" s="607"/>
      <c r="N273" s="607"/>
      <c r="O273" s="607"/>
      <c r="P273" s="607"/>
      <c r="Q273" s="572"/>
      <c r="R273" s="919"/>
      <c r="S273" s="919"/>
      <c r="T273" s="919"/>
      <c r="U273" s="919"/>
      <c r="V273" s="611"/>
      <c r="W273" s="568"/>
      <c r="X273" s="612"/>
      <c r="Y273" s="613"/>
      <c r="Z273" s="568"/>
      <c r="AA273" s="897"/>
      <c r="AB273" s="573"/>
      <c r="AC273" s="573"/>
      <c r="AD273" s="573"/>
      <c r="AE273" s="573"/>
      <c r="AF273" s="573"/>
      <c r="AG273" s="573"/>
      <c r="AH273" s="574"/>
      <c r="AI273" s="575"/>
      <c r="AJ273" s="558" t="s">
        <v>594</v>
      </c>
      <c r="AK273" s="426"/>
      <c r="AL273" s="426"/>
    </row>
    <row r="274" spans="1:38" ht="12.75" customHeight="1" hidden="1">
      <c r="A274" s="557"/>
      <c r="B274" s="1274"/>
      <c r="C274" s="1279"/>
      <c r="D274" s="1279"/>
      <c r="E274" s="1279"/>
      <c r="F274" s="1279"/>
      <c r="G274" s="1279"/>
      <c r="H274" s="1279"/>
      <c r="I274" s="1279"/>
      <c r="J274" s="1279"/>
      <c r="K274" s="1280"/>
      <c r="L274" s="845"/>
      <c r="M274" s="608"/>
      <c r="N274" s="608"/>
      <c r="O274" s="845"/>
      <c r="P274" s="608"/>
      <c r="Q274" s="570"/>
      <c r="R274" s="846"/>
      <c r="S274" s="847"/>
      <c r="T274" s="846"/>
      <c r="U274" s="847"/>
      <c r="V274" s="681"/>
      <c r="W274" s="682"/>
      <c r="X274" s="683"/>
      <c r="Y274" s="684"/>
      <c r="Z274" s="682"/>
      <c r="AA274" s="927"/>
      <c r="AB274" s="1281"/>
      <c r="AC274" s="1282"/>
      <c r="AD274" s="1283"/>
      <c r="AE274" s="588"/>
      <c r="AF274" s="589"/>
      <c r="AG274" s="1281"/>
      <c r="AH274" s="1283"/>
      <c r="AI274" s="590"/>
      <c r="AJ274" s="558" t="s">
        <v>594</v>
      </c>
      <c r="AK274" s="426"/>
      <c r="AL274" s="426"/>
    </row>
    <row r="275" spans="1:38" ht="20.25" customHeight="1" hidden="1">
      <c r="A275" s="557"/>
      <c r="B275" s="1274"/>
      <c r="C275" s="1279"/>
      <c r="D275" s="1279"/>
      <c r="E275" s="1279"/>
      <c r="F275" s="1279"/>
      <c r="G275" s="1279"/>
      <c r="H275" s="1279"/>
      <c r="I275" s="1279"/>
      <c r="J275" s="1279"/>
      <c r="K275" s="1279"/>
      <c r="L275" s="1279"/>
      <c r="M275" s="1279"/>
      <c r="N275" s="1279"/>
      <c r="O275" s="1279"/>
      <c r="P275" s="1279"/>
      <c r="Q275" s="1279"/>
      <c r="R275" s="1279"/>
      <c r="S275" s="1279"/>
      <c r="T275" s="1279"/>
      <c r="U275" s="1279"/>
      <c r="V275" s="1279"/>
      <c r="W275" s="1279"/>
      <c r="X275" s="1279"/>
      <c r="Y275" s="1279"/>
      <c r="Z275" s="1279"/>
      <c r="AA275" s="1279"/>
      <c r="AB275" s="1279"/>
      <c r="AC275" s="1279"/>
      <c r="AD275" s="1279"/>
      <c r="AE275" s="1279"/>
      <c r="AF275" s="1279"/>
      <c r="AG275" s="1279"/>
      <c r="AH275" s="1279"/>
      <c r="AI275" s="1301"/>
      <c r="AJ275" s="558" t="s">
        <v>594</v>
      </c>
      <c r="AK275" s="426"/>
      <c r="AL275" s="426"/>
    </row>
    <row r="276" spans="1:38" ht="12.75" customHeight="1" hidden="1">
      <c r="A276" s="557"/>
      <c r="B276" s="560"/>
      <c r="C276" s="561"/>
      <c r="D276" s="562"/>
      <c r="E276" s="563"/>
      <c r="F276" s="564"/>
      <c r="G276" s="668"/>
      <c r="H276" s="566"/>
      <c r="I276" s="566"/>
      <c r="J276" s="567"/>
      <c r="K276" s="568"/>
      <c r="L276" s="607"/>
      <c r="M276" s="607"/>
      <c r="N276" s="607"/>
      <c r="O276" s="607"/>
      <c r="P276" s="607"/>
      <c r="Q276" s="572"/>
      <c r="R276" s="919"/>
      <c r="S276" s="919"/>
      <c r="T276" s="919"/>
      <c r="U276" s="919"/>
      <c r="V276" s="611"/>
      <c r="W276" s="568"/>
      <c r="X276" s="612"/>
      <c r="Y276" s="613"/>
      <c r="Z276" s="568"/>
      <c r="AA276" s="897"/>
      <c r="AB276" s="573"/>
      <c r="AC276" s="573"/>
      <c r="AD276" s="573"/>
      <c r="AE276" s="573"/>
      <c r="AF276" s="573"/>
      <c r="AG276" s="573"/>
      <c r="AH276" s="574"/>
      <c r="AI276" s="575"/>
      <c r="AJ276" s="558" t="s">
        <v>594</v>
      </c>
      <c r="AK276" s="426"/>
      <c r="AL276" s="426"/>
    </row>
    <row r="277" spans="1:38" ht="12.75" customHeight="1" hidden="1">
      <c r="A277" s="557"/>
      <c r="B277" s="1274"/>
      <c r="C277" s="1279"/>
      <c r="D277" s="1279"/>
      <c r="E277" s="1279"/>
      <c r="F277" s="1279"/>
      <c r="G277" s="1279"/>
      <c r="H277" s="1279"/>
      <c r="I277" s="1279"/>
      <c r="J277" s="1279"/>
      <c r="K277" s="1280"/>
      <c r="L277" s="845"/>
      <c r="M277" s="608"/>
      <c r="N277" s="608"/>
      <c r="O277" s="845"/>
      <c r="P277" s="608"/>
      <c r="Q277" s="570"/>
      <c r="R277" s="846"/>
      <c r="S277" s="847"/>
      <c r="T277" s="846"/>
      <c r="U277" s="847"/>
      <c r="V277" s="681"/>
      <c r="W277" s="682"/>
      <c r="X277" s="683"/>
      <c r="Y277" s="684"/>
      <c r="Z277" s="682"/>
      <c r="AA277" s="927"/>
      <c r="AB277" s="1281"/>
      <c r="AC277" s="1282"/>
      <c r="AD277" s="1283"/>
      <c r="AE277" s="588"/>
      <c r="AF277" s="589"/>
      <c r="AG277" s="1281"/>
      <c r="AH277" s="1283"/>
      <c r="AI277" s="590"/>
      <c r="AJ277" s="558" t="s">
        <v>594</v>
      </c>
      <c r="AK277" s="426"/>
      <c r="AL277" s="426"/>
    </row>
    <row r="278" spans="1:38" ht="12.75" customHeight="1" hidden="1">
      <c r="A278" s="557"/>
      <c r="B278" s="1274"/>
      <c r="C278" s="1279"/>
      <c r="D278" s="1279"/>
      <c r="E278" s="1279"/>
      <c r="F278" s="1279"/>
      <c r="G278" s="1279"/>
      <c r="H278" s="1279"/>
      <c r="I278" s="1279"/>
      <c r="J278" s="1279"/>
      <c r="K278" s="1279"/>
      <c r="L278" s="1279"/>
      <c r="M278" s="1279"/>
      <c r="N278" s="1279"/>
      <c r="O278" s="1279"/>
      <c r="P278" s="1279"/>
      <c r="Q278" s="1279"/>
      <c r="R278" s="1279"/>
      <c r="S278" s="1279"/>
      <c r="T278" s="1279"/>
      <c r="U278" s="1279"/>
      <c r="V278" s="1279"/>
      <c r="W278" s="1279"/>
      <c r="X278" s="1279"/>
      <c r="Y278" s="1279"/>
      <c r="Z278" s="1279"/>
      <c r="AA278" s="1279"/>
      <c r="AB278" s="1279"/>
      <c r="AC278" s="1279"/>
      <c r="AD278" s="1279"/>
      <c r="AE278" s="1279"/>
      <c r="AF278" s="1279"/>
      <c r="AG278" s="1279"/>
      <c r="AH278" s="1279"/>
      <c r="AI278" s="1301"/>
      <c r="AJ278" s="558" t="s">
        <v>594</v>
      </c>
      <c r="AK278" s="426"/>
      <c r="AL278" s="426"/>
    </row>
    <row r="279" spans="1:38" ht="12.75" customHeight="1" hidden="1">
      <c r="A279" s="557"/>
      <c r="B279" s="560"/>
      <c r="C279" s="561"/>
      <c r="D279" s="562"/>
      <c r="E279" s="563"/>
      <c r="F279" s="564"/>
      <c r="G279" s="668"/>
      <c r="H279" s="566"/>
      <c r="I279" s="566"/>
      <c r="J279" s="567"/>
      <c r="K279" s="568"/>
      <c r="L279" s="607"/>
      <c r="M279" s="607"/>
      <c r="N279" s="607"/>
      <c r="O279" s="607"/>
      <c r="P279" s="607"/>
      <c r="Q279" s="572"/>
      <c r="R279" s="919"/>
      <c r="S279" s="919"/>
      <c r="T279" s="919"/>
      <c r="U279" s="919"/>
      <c r="V279" s="611"/>
      <c r="W279" s="568"/>
      <c r="X279" s="612"/>
      <c r="Y279" s="613"/>
      <c r="Z279" s="568"/>
      <c r="AA279" s="897"/>
      <c r="AB279" s="573"/>
      <c r="AC279" s="573"/>
      <c r="AD279" s="573"/>
      <c r="AE279" s="573"/>
      <c r="AF279" s="573"/>
      <c r="AG279" s="573"/>
      <c r="AH279" s="574"/>
      <c r="AI279" s="575"/>
      <c r="AJ279" s="558" t="s">
        <v>594</v>
      </c>
      <c r="AK279" s="426"/>
      <c r="AL279" s="426"/>
    </row>
    <row r="280" spans="1:38" ht="12.75" customHeight="1" hidden="1">
      <c r="A280" s="557"/>
      <c r="B280" s="1274"/>
      <c r="C280" s="1279"/>
      <c r="D280" s="1279"/>
      <c r="E280" s="1279"/>
      <c r="F280" s="1279"/>
      <c r="G280" s="1279"/>
      <c r="H280" s="1279"/>
      <c r="I280" s="1279"/>
      <c r="J280" s="1279"/>
      <c r="K280" s="1280"/>
      <c r="L280" s="845"/>
      <c r="M280" s="608"/>
      <c r="N280" s="608"/>
      <c r="O280" s="845"/>
      <c r="P280" s="608"/>
      <c r="Q280" s="570"/>
      <c r="R280" s="846"/>
      <c r="S280" s="847"/>
      <c r="T280" s="846"/>
      <c r="U280" s="847"/>
      <c r="V280" s="681"/>
      <c r="W280" s="682"/>
      <c r="X280" s="683"/>
      <c r="Y280" s="684"/>
      <c r="Z280" s="682"/>
      <c r="AA280" s="927"/>
      <c r="AB280" s="1281"/>
      <c r="AC280" s="1282"/>
      <c r="AD280" s="1283"/>
      <c r="AE280" s="588"/>
      <c r="AF280" s="589"/>
      <c r="AG280" s="1281"/>
      <c r="AH280" s="1283"/>
      <c r="AI280" s="590"/>
      <c r="AJ280" s="558" t="s">
        <v>594</v>
      </c>
      <c r="AK280" s="426"/>
      <c r="AL280" s="426"/>
    </row>
    <row r="281" spans="1:38" ht="12.75" customHeight="1" hidden="1">
      <c r="A281" s="557"/>
      <c r="B281" s="1274"/>
      <c r="C281" s="1279"/>
      <c r="D281" s="1279"/>
      <c r="E281" s="1279"/>
      <c r="F281" s="1279"/>
      <c r="G281" s="1279"/>
      <c r="H281" s="1279"/>
      <c r="I281" s="1279"/>
      <c r="J281" s="1279"/>
      <c r="K281" s="1279"/>
      <c r="L281" s="1279"/>
      <c r="M281" s="1279"/>
      <c r="N281" s="1279"/>
      <c r="O281" s="1279"/>
      <c r="P281" s="1279"/>
      <c r="Q281" s="1279"/>
      <c r="R281" s="1279"/>
      <c r="S281" s="1279"/>
      <c r="T281" s="1279"/>
      <c r="U281" s="1279"/>
      <c r="V281" s="1279"/>
      <c r="W281" s="1279"/>
      <c r="X281" s="1279"/>
      <c r="Y281" s="1279"/>
      <c r="Z281" s="1279"/>
      <c r="AA281" s="1279"/>
      <c r="AB281" s="1279"/>
      <c r="AC281" s="1279"/>
      <c r="AD281" s="1279"/>
      <c r="AE281" s="1279"/>
      <c r="AF281" s="1279"/>
      <c r="AG281" s="1279"/>
      <c r="AH281" s="1279"/>
      <c r="AI281" s="1301"/>
      <c r="AJ281" s="558" t="s">
        <v>594</v>
      </c>
      <c r="AK281" s="426"/>
      <c r="AL281" s="426"/>
    </row>
    <row r="282" spans="1:38" ht="12.75" customHeight="1" hidden="1">
      <c r="A282" s="557"/>
      <c r="B282" s="560"/>
      <c r="C282" s="561"/>
      <c r="D282" s="562"/>
      <c r="E282" s="563"/>
      <c r="F282" s="564"/>
      <c r="G282" s="668"/>
      <c r="H282" s="566"/>
      <c r="I282" s="566"/>
      <c r="J282" s="567"/>
      <c r="K282" s="568"/>
      <c r="L282" s="607"/>
      <c r="M282" s="607"/>
      <c r="N282" s="607"/>
      <c r="O282" s="607"/>
      <c r="P282" s="607"/>
      <c r="Q282" s="572"/>
      <c r="R282" s="919"/>
      <c r="S282" s="919"/>
      <c r="T282" s="919"/>
      <c r="U282" s="919"/>
      <c r="V282" s="611"/>
      <c r="W282" s="568"/>
      <c r="X282" s="612"/>
      <c r="Y282" s="613"/>
      <c r="Z282" s="568"/>
      <c r="AA282" s="897"/>
      <c r="AB282" s="573"/>
      <c r="AC282" s="573"/>
      <c r="AD282" s="573"/>
      <c r="AE282" s="573"/>
      <c r="AF282" s="573"/>
      <c r="AG282" s="573"/>
      <c r="AH282" s="574"/>
      <c r="AI282" s="575"/>
      <c r="AJ282" s="558" t="s">
        <v>594</v>
      </c>
      <c r="AK282" s="426"/>
      <c r="AL282" s="426"/>
    </row>
    <row r="283" spans="1:38" ht="12.75" customHeight="1" hidden="1">
      <c r="A283" s="557"/>
      <c r="B283" s="1274"/>
      <c r="C283" s="1279"/>
      <c r="D283" s="1279"/>
      <c r="E283" s="1279"/>
      <c r="F283" s="1279"/>
      <c r="G283" s="1279"/>
      <c r="H283" s="1279"/>
      <c r="I283" s="1279"/>
      <c r="J283" s="1279"/>
      <c r="K283" s="1280"/>
      <c r="L283" s="845"/>
      <c r="M283" s="608"/>
      <c r="N283" s="608"/>
      <c r="O283" s="845"/>
      <c r="P283" s="608"/>
      <c r="Q283" s="570"/>
      <c r="R283" s="846"/>
      <c r="S283" s="847"/>
      <c r="T283" s="846"/>
      <c r="U283" s="847"/>
      <c r="V283" s="681"/>
      <c r="W283" s="682"/>
      <c r="X283" s="683"/>
      <c r="Y283" s="684"/>
      <c r="Z283" s="682"/>
      <c r="AA283" s="927"/>
      <c r="AB283" s="1281"/>
      <c r="AC283" s="1282"/>
      <c r="AD283" s="1283"/>
      <c r="AE283" s="588"/>
      <c r="AF283" s="589"/>
      <c r="AG283" s="1281"/>
      <c r="AH283" s="1283"/>
      <c r="AI283" s="590"/>
      <c r="AJ283" s="558" t="s">
        <v>594</v>
      </c>
      <c r="AK283" s="426"/>
      <c r="AL283" s="426"/>
    </row>
    <row r="284" spans="1:38" ht="12.75" customHeight="1" hidden="1">
      <c r="A284" s="557"/>
      <c r="B284" s="1274"/>
      <c r="C284" s="1279"/>
      <c r="D284" s="1279"/>
      <c r="E284" s="1279"/>
      <c r="F284" s="1279"/>
      <c r="G284" s="1279"/>
      <c r="H284" s="1279"/>
      <c r="I284" s="1279"/>
      <c r="J284" s="1279"/>
      <c r="K284" s="1279"/>
      <c r="L284" s="1279"/>
      <c r="M284" s="1279"/>
      <c r="N284" s="1279"/>
      <c r="O284" s="1279"/>
      <c r="P284" s="1279"/>
      <c r="Q284" s="1279"/>
      <c r="R284" s="1279"/>
      <c r="S284" s="1279"/>
      <c r="T284" s="1279"/>
      <c r="U284" s="1279"/>
      <c r="V284" s="1279"/>
      <c r="W284" s="1279"/>
      <c r="X284" s="1279"/>
      <c r="Y284" s="1279"/>
      <c r="Z284" s="1279"/>
      <c r="AA284" s="1279"/>
      <c r="AB284" s="1279"/>
      <c r="AC284" s="1279"/>
      <c r="AD284" s="1279"/>
      <c r="AE284" s="1279"/>
      <c r="AF284" s="1279"/>
      <c r="AG284" s="1279"/>
      <c r="AH284" s="1279"/>
      <c r="AI284" s="1301"/>
      <c r="AJ284" s="558" t="s">
        <v>594</v>
      </c>
      <c r="AK284" s="426"/>
      <c r="AL284" s="426"/>
    </row>
    <row r="285" spans="1:38" ht="12.75" customHeight="1" hidden="1">
      <c r="A285" s="557"/>
      <c r="B285" s="560"/>
      <c r="C285" s="561"/>
      <c r="D285" s="562"/>
      <c r="E285" s="563"/>
      <c r="F285" s="564"/>
      <c r="G285" s="668"/>
      <c r="H285" s="566"/>
      <c r="I285" s="566"/>
      <c r="J285" s="567"/>
      <c r="K285" s="568"/>
      <c r="L285" s="607"/>
      <c r="M285" s="607"/>
      <c r="N285" s="607"/>
      <c r="O285" s="607"/>
      <c r="P285" s="607"/>
      <c r="Q285" s="572"/>
      <c r="R285" s="919"/>
      <c r="S285" s="919"/>
      <c r="T285" s="919"/>
      <c r="U285" s="919"/>
      <c r="V285" s="611"/>
      <c r="W285" s="568"/>
      <c r="X285" s="612"/>
      <c r="Y285" s="613"/>
      <c r="Z285" s="568"/>
      <c r="AA285" s="897"/>
      <c r="AB285" s="573"/>
      <c r="AC285" s="573"/>
      <c r="AD285" s="573"/>
      <c r="AE285" s="573"/>
      <c r="AF285" s="573"/>
      <c r="AG285" s="573"/>
      <c r="AH285" s="574"/>
      <c r="AI285" s="575"/>
      <c r="AJ285" s="558" t="s">
        <v>594</v>
      </c>
      <c r="AK285" s="426"/>
      <c r="AL285" s="426"/>
    </row>
    <row r="286" spans="1:38" ht="12.75" customHeight="1" hidden="1">
      <c r="A286" s="557"/>
      <c r="B286" s="1274"/>
      <c r="C286" s="1279"/>
      <c r="D286" s="1279"/>
      <c r="E286" s="1279"/>
      <c r="F286" s="1279"/>
      <c r="G286" s="1279"/>
      <c r="H286" s="1279"/>
      <c r="I286" s="1279"/>
      <c r="J286" s="1279"/>
      <c r="K286" s="1280"/>
      <c r="L286" s="845"/>
      <c r="M286" s="608"/>
      <c r="N286" s="608"/>
      <c r="O286" s="845"/>
      <c r="P286" s="608"/>
      <c r="Q286" s="570"/>
      <c r="R286" s="846"/>
      <c r="S286" s="847"/>
      <c r="T286" s="846"/>
      <c r="U286" s="847"/>
      <c r="V286" s="681"/>
      <c r="W286" s="682"/>
      <c r="X286" s="683"/>
      <c r="Y286" s="684"/>
      <c r="Z286" s="682"/>
      <c r="AA286" s="927"/>
      <c r="AB286" s="1281"/>
      <c r="AC286" s="1282"/>
      <c r="AD286" s="1283"/>
      <c r="AE286" s="588"/>
      <c r="AF286" s="589"/>
      <c r="AG286" s="1281"/>
      <c r="AH286" s="1283"/>
      <c r="AI286" s="590"/>
      <c r="AJ286" s="558" t="s">
        <v>594</v>
      </c>
      <c r="AK286" s="426"/>
      <c r="AL286" s="426"/>
    </row>
    <row r="287" spans="1:38" ht="12.75" customHeight="1">
      <c r="A287" s="557"/>
      <c r="B287" s="579"/>
      <c r="C287" s="580"/>
      <c r="D287" s="1314" t="s">
        <v>772</v>
      </c>
      <c r="E287" s="1314"/>
      <c r="F287" s="1314"/>
      <c r="G287" s="1314"/>
      <c r="H287" s="1314"/>
      <c r="I287" s="1314"/>
      <c r="J287" s="1314"/>
      <c r="K287" s="1314"/>
      <c r="L287" s="1314"/>
      <c r="M287" s="1314"/>
      <c r="N287" s="1314"/>
      <c r="O287" s="1314"/>
      <c r="P287" s="1314"/>
      <c r="Q287" s="1314"/>
      <c r="R287" s="1314"/>
      <c r="S287" s="1314"/>
      <c r="T287" s="1314"/>
      <c r="U287" s="1314"/>
      <c r="V287" s="1314"/>
      <c r="W287" s="1314"/>
      <c r="X287" s="1314"/>
      <c r="Y287" s="1314"/>
      <c r="Z287" s="1314"/>
      <c r="AA287" s="1314"/>
      <c r="AB287" s="587"/>
      <c r="AC287" s="587"/>
      <c r="AD287" s="587"/>
      <c r="AE287" s="667"/>
      <c r="AF287" s="667"/>
      <c r="AG287" s="587"/>
      <c r="AH287" s="587"/>
      <c r="AI287" s="590"/>
      <c r="AJ287" s="558"/>
      <c r="AK287" s="426"/>
      <c r="AL287" s="426"/>
    </row>
    <row r="288" spans="1:38" ht="12.75" customHeight="1">
      <c r="A288" s="557"/>
      <c r="B288" s="579"/>
      <c r="C288" s="580"/>
      <c r="D288" s="1290" t="s">
        <v>801</v>
      </c>
      <c r="E288" s="1290"/>
      <c r="F288" s="1290"/>
      <c r="G288" s="1290"/>
      <c r="H288" s="1290"/>
      <c r="I288" s="1290"/>
      <c r="J288" s="1290"/>
      <c r="K288" s="1290"/>
      <c r="L288" s="1290"/>
      <c r="M288" s="1290"/>
      <c r="N288" s="1290"/>
      <c r="O288" s="1290"/>
      <c r="P288" s="1290"/>
      <c r="Q288" s="1290"/>
      <c r="R288" s="1290"/>
      <c r="S288" s="1290"/>
      <c r="T288" s="1290"/>
      <c r="U288" s="1290"/>
      <c r="V288" s="1290"/>
      <c r="W288" s="1290"/>
      <c r="X288" s="1290"/>
      <c r="Y288" s="1290"/>
      <c r="Z288" s="1290"/>
      <c r="AA288" s="1290"/>
      <c r="AB288" s="587"/>
      <c r="AC288" s="587"/>
      <c r="AD288" s="587"/>
      <c r="AE288" s="667"/>
      <c r="AF288" s="667"/>
      <c r="AG288" s="587"/>
      <c r="AH288" s="587"/>
      <c r="AI288" s="590"/>
      <c r="AJ288" s="558"/>
      <c r="AK288" s="426"/>
      <c r="AL288" s="426"/>
    </row>
    <row r="289" spans="1:39" ht="14.25" customHeight="1">
      <c r="A289" s="557"/>
      <c r="B289" s="1274" t="s">
        <v>802</v>
      </c>
      <c r="C289" s="1279"/>
      <c r="D289" s="1279"/>
      <c r="E289" s="1279"/>
      <c r="F289" s="1279"/>
      <c r="G289" s="1279"/>
      <c r="H289" s="1279"/>
      <c r="I289" s="1279"/>
      <c r="J289" s="1279"/>
      <c r="K289" s="1279"/>
      <c r="L289" s="1279"/>
      <c r="M289" s="1279"/>
      <c r="N289" s="1279"/>
      <c r="O289" s="1279"/>
      <c r="P289" s="1279"/>
      <c r="Q289" s="1279"/>
      <c r="R289" s="1279"/>
      <c r="S289" s="1279"/>
      <c r="T289" s="1279"/>
      <c r="U289" s="1279"/>
      <c r="V289" s="1279"/>
      <c r="W289" s="1279"/>
      <c r="X289" s="1279"/>
      <c r="Y289" s="1279"/>
      <c r="Z289" s="1279"/>
      <c r="AA289" s="1279"/>
      <c r="AB289" s="1279"/>
      <c r="AC289" s="1279"/>
      <c r="AD289" s="1279"/>
      <c r="AE289" s="1279"/>
      <c r="AF289" s="1279"/>
      <c r="AG289" s="1279"/>
      <c r="AH289" s="1279"/>
      <c r="AI289" s="1301"/>
      <c r="AJ289" s="558" t="s">
        <v>594</v>
      </c>
      <c r="AK289" s="426"/>
      <c r="AL289" s="426"/>
      <c r="AM289" s="983"/>
    </row>
    <row r="290" spans="1:58" s="578" customFormat="1" ht="12.75" customHeight="1">
      <c r="A290" s="559"/>
      <c r="B290" s="560" t="s">
        <v>803</v>
      </c>
      <c r="C290" s="561" t="s">
        <v>803</v>
      </c>
      <c r="D290" s="562">
        <v>656560033</v>
      </c>
      <c r="E290" s="563">
        <v>503</v>
      </c>
      <c r="F290" s="564">
        <v>656</v>
      </c>
      <c r="G290" s="668">
        <v>5600020604</v>
      </c>
      <c r="H290" s="566" t="s">
        <v>625</v>
      </c>
      <c r="I290" s="566">
        <v>223</v>
      </c>
      <c r="J290" s="567">
        <v>0</v>
      </c>
      <c r="K290" s="568"/>
      <c r="L290" s="569">
        <v>170000</v>
      </c>
      <c r="M290" s="569">
        <v>50000</v>
      </c>
      <c r="N290" s="569">
        <v>-4000</v>
      </c>
      <c r="O290" s="569">
        <v>30055</v>
      </c>
      <c r="P290" s="569">
        <v>246055</v>
      </c>
      <c r="Q290" s="572">
        <f>R290+S290+T290+U290</f>
        <v>110000</v>
      </c>
      <c r="R290" s="568">
        <v>50000</v>
      </c>
      <c r="S290" s="568">
        <v>60000</v>
      </c>
      <c r="T290" s="568">
        <v>0</v>
      </c>
      <c r="U290" s="568"/>
      <c r="V290" s="799"/>
      <c r="W290" s="568" t="s">
        <v>804</v>
      </c>
      <c r="X290" s="896"/>
      <c r="Y290" s="613"/>
      <c r="Z290" s="611"/>
      <c r="AA290" s="611"/>
      <c r="AB290" s="573"/>
      <c r="AC290" s="573"/>
      <c r="AD290" s="573"/>
      <c r="AE290" s="573"/>
      <c r="AF290" s="573"/>
      <c r="AG290" s="573"/>
      <c r="AH290" s="574"/>
      <c r="AI290" s="575"/>
      <c r="AJ290" s="558"/>
      <c r="AK290" s="576"/>
      <c r="AL290" s="576"/>
      <c r="AM290" s="983"/>
      <c r="AN290" s="434"/>
      <c r="AO290" s="434"/>
      <c r="AP290" s="434"/>
      <c r="AQ290" s="434"/>
      <c r="AR290" s="434"/>
      <c r="AS290" s="434"/>
      <c r="AT290" s="434"/>
      <c r="AU290" s="434"/>
      <c r="AV290" s="434"/>
      <c r="AW290" s="434"/>
      <c r="AX290" s="434"/>
      <c r="AY290" s="434"/>
      <c r="AZ290" s="434"/>
      <c r="BA290" s="434"/>
      <c r="BB290" s="434"/>
      <c r="BC290" s="434"/>
      <c r="BD290" s="434"/>
      <c r="BE290" s="434"/>
      <c r="BF290" s="434"/>
    </row>
    <row r="291" spans="1:58" s="578" customFormat="1" ht="12.75" customHeight="1">
      <c r="A291" s="559"/>
      <c r="B291" s="560"/>
      <c r="C291" s="561"/>
      <c r="D291" s="562">
        <v>656560033</v>
      </c>
      <c r="E291" s="563">
        <v>503</v>
      </c>
      <c r="F291" s="564">
        <v>656</v>
      </c>
      <c r="G291" s="668">
        <v>5600020604</v>
      </c>
      <c r="H291" s="566" t="s">
        <v>625</v>
      </c>
      <c r="I291" s="566">
        <v>225</v>
      </c>
      <c r="J291" s="567">
        <v>0</v>
      </c>
      <c r="K291" s="568"/>
      <c r="L291" s="569">
        <v>70000</v>
      </c>
      <c r="M291" s="569">
        <v>-70000</v>
      </c>
      <c r="N291" s="569">
        <v>0</v>
      </c>
      <c r="O291" s="569">
        <v>70000</v>
      </c>
      <c r="P291" s="569">
        <v>70000</v>
      </c>
      <c r="Q291" s="572">
        <f>R291+S291+T291+U291</f>
        <v>60000</v>
      </c>
      <c r="R291" s="568">
        <v>30000</v>
      </c>
      <c r="S291" s="568">
        <v>30000</v>
      </c>
      <c r="T291" s="568">
        <v>0</v>
      </c>
      <c r="U291" s="568"/>
      <c r="V291" s="799"/>
      <c r="W291" s="568" t="s">
        <v>804</v>
      </c>
      <c r="X291" s="896"/>
      <c r="Y291" s="613"/>
      <c r="Z291" s="611"/>
      <c r="AA291" s="611"/>
      <c r="AB291" s="573"/>
      <c r="AC291" s="573"/>
      <c r="AD291" s="573"/>
      <c r="AE291" s="573"/>
      <c r="AF291" s="573"/>
      <c r="AG291" s="573"/>
      <c r="AH291" s="574"/>
      <c r="AI291" s="575"/>
      <c r="AJ291" s="558"/>
      <c r="AK291" s="576"/>
      <c r="AL291" s="576"/>
      <c r="AM291" s="983"/>
      <c r="AN291" s="434"/>
      <c r="AO291" s="434"/>
      <c r="AP291" s="434"/>
      <c r="AQ291" s="434"/>
      <c r="AR291" s="434"/>
      <c r="AS291" s="434"/>
      <c r="AT291" s="434"/>
      <c r="AU291" s="434"/>
      <c r="AV291" s="434"/>
      <c r="AW291" s="434"/>
      <c r="AX291" s="434"/>
      <c r="AY291" s="434"/>
      <c r="AZ291" s="434"/>
      <c r="BA291" s="434"/>
      <c r="BB291" s="434"/>
      <c r="BC291" s="434"/>
      <c r="BD291" s="434"/>
      <c r="BE291" s="434"/>
      <c r="BF291" s="434"/>
    </row>
    <row r="292" spans="1:58" s="578" customFormat="1" ht="12.75" customHeight="1">
      <c r="A292" s="559"/>
      <c r="B292" s="560" t="s">
        <v>803</v>
      </c>
      <c r="C292" s="561" t="s">
        <v>803</v>
      </c>
      <c r="D292" s="562">
        <v>656560033</v>
      </c>
      <c r="E292" s="563">
        <v>503</v>
      </c>
      <c r="F292" s="564">
        <v>656</v>
      </c>
      <c r="G292" s="668">
        <v>5600020604</v>
      </c>
      <c r="H292" s="566" t="s">
        <v>625</v>
      </c>
      <c r="I292" s="566">
        <v>310</v>
      </c>
      <c r="J292" s="567">
        <v>0</v>
      </c>
      <c r="K292" s="568"/>
      <c r="L292" s="569">
        <v>70000</v>
      </c>
      <c r="M292" s="569">
        <v>-70000</v>
      </c>
      <c r="N292" s="569">
        <v>0</v>
      </c>
      <c r="O292" s="569">
        <v>70000</v>
      </c>
      <c r="P292" s="569">
        <v>70000</v>
      </c>
      <c r="Q292" s="572">
        <f>R292+S292+T292+U292</f>
        <v>60000</v>
      </c>
      <c r="R292" s="568">
        <v>30000</v>
      </c>
      <c r="S292" s="568">
        <v>30000</v>
      </c>
      <c r="T292" s="568">
        <v>0</v>
      </c>
      <c r="U292" s="568"/>
      <c r="V292" s="799">
        <v>0</v>
      </c>
      <c r="W292" s="568" t="s">
        <v>805</v>
      </c>
      <c r="X292" s="896"/>
      <c r="Y292" s="613"/>
      <c r="Z292" s="613"/>
      <c r="AA292" s="611"/>
      <c r="AB292" s="573"/>
      <c r="AC292" s="573"/>
      <c r="AD292" s="573"/>
      <c r="AE292" s="573"/>
      <c r="AF292" s="573"/>
      <c r="AG292" s="573"/>
      <c r="AH292" s="574"/>
      <c r="AI292" s="575"/>
      <c r="AJ292" s="558"/>
      <c r="AK292" s="576"/>
      <c r="AL292" s="576"/>
      <c r="AM292" s="983"/>
      <c r="AN292" s="434"/>
      <c r="AO292" s="434"/>
      <c r="AP292" s="434"/>
      <c r="AQ292" s="434"/>
      <c r="AR292" s="434"/>
      <c r="AS292" s="434"/>
      <c r="AT292" s="434"/>
      <c r="AU292" s="434"/>
      <c r="AV292" s="434"/>
      <c r="AW292" s="434"/>
      <c r="AX292" s="434"/>
      <c r="AY292" s="434"/>
      <c r="AZ292" s="434"/>
      <c r="BA292" s="434"/>
      <c r="BB292" s="434"/>
      <c r="BC292" s="434"/>
      <c r="BD292" s="434"/>
      <c r="BE292" s="434"/>
      <c r="BF292" s="434"/>
    </row>
    <row r="293" spans="1:58" s="578" customFormat="1" ht="12.75" customHeight="1">
      <c r="A293" s="559"/>
      <c r="B293" s="560" t="s">
        <v>803</v>
      </c>
      <c r="C293" s="561" t="s">
        <v>803</v>
      </c>
      <c r="D293" s="562">
        <v>656560033</v>
      </c>
      <c r="E293" s="563">
        <v>503</v>
      </c>
      <c r="F293" s="564">
        <v>656</v>
      </c>
      <c r="G293" s="668">
        <v>5600020604</v>
      </c>
      <c r="H293" s="566" t="s">
        <v>625</v>
      </c>
      <c r="I293" s="566">
        <v>344</v>
      </c>
      <c r="J293" s="567" t="s">
        <v>711</v>
      </c>
      <c r="K293" s="568"/>
      <c r="L293" s="569">
        <v>70000</v>
      </c>
      <c r="M293" s="569">
        <v>-70000</v>
      </c>
      <c r="N293" s="569">
        <v>0</v>
      </c>
      <c r="O293" s="569">
        <v>70000</v>
      </c>
      <c r="P293" s="569">
        <v>70000</v>
      </c>
      <c r="Q293" s="572">
        <f>R293+S293+T293+U293</f>
        <v>60000</v>
      </c>
      <c r="R293" s="568">
        <v>30000</v>
      </c>
      <c r="S293" s="568">
        <v>30000</v>
      </c>
      <c r="T293" s="568">
        <v>0</v>
      </c>
      <c r="U293" s="568"/>
      <c r="V293" s="799">
        <v>0</v>
      </c>
      <c r="W293" s="568" t="s">
        <v>806</v>
      </c>
      <c r="X293" s="896">
        <v>30000</v>
      </c>
      <c r="Y293" s="613"/>
      <c r="Z293" s="611"/>
      <c r="AA293" s="611"/>
      <c r="AB293" s="573"/>
      <c r="AC293" s="573"/>
      <c r="AD293" s="573"/>
      <c r="AE293" s="573"/>
      <c r="AF293" s="573"/>
      <c r="AG293" s="573"/>
      <c r="AH293" s="574"/>
      <c r="AI293" s="575"/>
      <c r="AJ293" s="558"/>
      <c r="AK293" s="576"/>
      <c r="AL293" s="576"/>
      <c r="AM293" s="983"/>
      <c r="AN293" s="434"/>
      <c r="AO293" s="434"/>
      <c r="AP293" s="434"/>
      <c r="AQ293" s="434"/>
      <c r="AR293" s="434"/>
      <c r="AS293" s="434"/>
      <c r="AT293" s="434"/>
      <c r="AU293" s="434"/>
      <c r="AV293" s="434"/>
      <c r="AW293" s="434"/>
      <c r="AX293" s="434"/>
      <c r="AY293" s="434"/>
      <c r="AZ293" s="434"/>
      <c r="BA293" s="434"/>
      <c r="BB293" s="434"/>
      <c r="BC293" s="434"/>
      <c r="BD293" s="434"/>
      <c r="BE293" s="434"/>
      <c r="BF293" s="434"/>
    </row>
    <row r="294" spans="1:58" s="578" customFormat="1" ht="12.75" customHeight="1">
      <c r="A294" s="559"/>
      <c r="B294" s="762"/>
      <c r="C294" s="580"/>
      <c r="D294" s="705"/>
      <c r="E294" s="898"/>
      <c r="F294" s="899"/>
      <c r="G294" s="668">
        <v>5600020604</v>
      </c>
      <c r="H294" s="566" t="s">
        <v>625</v>
      </c>
      <c r="I294" s="901">
        <v>226</v>
      </c>
      <c r="J294" s="902"/>
      <c r="K294" s="903"/>
      <c r="L294" s="767"/>
      <c r="M294" s="569"/>
      <c r="N294" s="569"/>
      <c r="O294" s="767"/>
      <c r="P294" s="569"/>
      <c r="Q294" s="570"/>
      <c r="R294" s="769"/>
      <c r="S294" s="769"/>
      <c r="T294" s="769"/>
      <c r="U294" s="769"/>
      <c r="V294" s="768"/>
      <c r="W294" s="769"/>
      <c r="X294" s="906"/>
      <c r="Y294" s="771"/>
      <c r="Z294" s="768"/>
      <c r="AA294" s="768"/>
      <c r="AB294" s="589"/>
      <c r="AC294" s="667"/>
      <c r="AD294" s="588"/>
      <c r="AE294" s="588"/>
      <c r="AF294" s="589"/>
      <c r="AG294" s="589"/>
      <c r="AH294" s="909"/>
      <c r="AI294" s="590"/>
      <c r="AJ294" s="558"/>
      <c r="AK294" s="576"/>
      <c r="AL294" s="576"/>
      <c r="AM294" s="983"/>
      <c r="AN294" s="434"/>
      <c r="AO294" s="434"/>
      <c r="AP294" s="434"/>
      <c r="AQ294" s="434"/>
      <c r="AR294" s="434"/>
      <c r="AS294" s="434"/>
      <c r="AT294" s="434"/>
      <c r="AU294" s="434"/>
      <c r="AV294" s="434"/>
      <c r="AW294" s="434"/>
      <c r="AX294" s="434"/>
      <c r="AY294" s="434"/>
      <c r="AZ294" s="434"/>
      <c r="BA294" s="434"/>
      <c r="BB294" s="434"/>
      <c r="BC294" s="434"/>
      <c r="BD294" s="434"/>
      <c r="BE294" s="434"/>
      <c r="BF294" s="434"/>
    </row>
    <row r="295" spans="1:58" s="578" customFormat="1" ht="12.75" customHeight="1">
      <c r="A295" s="559"/>
      <c r="B295" s="1274" t="s">
        <v>613</v>
      </c>
      <c r="C295" s="1279"/>
      <c r="D295" s="1279"/>
      <c r="E295" s="1279"/>
      <c r="F295" s="1279"/>
      <c r="G295" s="1279"/>
      <c r="H295" s="1279"/>
      <c r="I295" s="1279"/>
      <c r="J295" s="1279"/>
      <c r="K295" s="1280"/>
      <c r="L295" s="582">
        <v>240000</v>
      </c>
      <c r="M295" s="583">
        <v>-20000</v>
      </c>
      <c r="N295" s="583">
        <v>-4000</v>
      </c>
      <c r="O295" s="582">
        <v>100055</v>
      </c>
      <c r="P295" s="583">
        <v>316055</v>
      </c>
      <c r="Q295" s="756">
        <f>R295+S295+T295+U295</f>
        <v>170000</v>
      </c>
      <c r="R295" s="681">
        <f>R290+R292</f>
        <v>80000</v>
      </c>
      <c r="S295" s="681">
        <f>S290+S292</f>
        <v>90000</v>
      </c>
      <c r="T295" s="681">
        <f>T290+T292</f>
        <v>0</v>
      </c>
      <c r="U295" s="681">
        <f>U290+U292</f>
        <v>0</v>
      </c>
      <c r="V295" s="681">
        <f>V294</f>
        <v>0</v>
      </c>
      <c r="W295" s="682"/>
      <c r="X295" s="987">
        <f>X290+X291+X293</f>
        <v>30000</v>
      </c>
      <c r="Y295" s="684"/>
      <c r="Z295" s="681"/>
      <c r="AA295" s="681"/>
      <c r="AB295" s="1281"/>
      <c r="AC295" s="1282"/>
      <c r="AD295" s="1283"/>
      <c r="AE295" s="588"/>
      <c r="AF295" s="589"/>
      <c r="AG295" s="1281"/>
      <c r="AH295" s="1283"/>
      <c r="AI295" s="590"/>
      <c r="AJ295" s="558"/>
      <c r="AK295" s="576"/>
      <c r="AL295" s="576"/>
      <c r="AM295" s="983"/>
      <c r="AN295" s="434"/>
      <c r="AO295" s="434"/>
      <c r="AP295" s="434"/>
      <c r="AQ295" s="434"/>
      <c r="AR295" s="434"/>
      <c r="AS295" s="434"/>
      <c r="AT295" s="434"/>
      <c r="AU295" s="434"/>
      <c r="AV295" s="434"/>
      <c r="AW295" s="434"/>
      <c r="AX295" s="434"/>
      <c r="AY295" s="434"/>
      <c r="AZ295" s="434"/>
      <c r="BA295" s="434"/>
      <c r="BB295" s="434"/>
      <c r="BC295" s="434"/>
      <c r="BD295" s="434"/>
      <c r="BE295" s="434"/>
      <c r="BF295" s="434"/>
    </row>
    <row r="296" spans="1:58" s="578" customFormat="1" ht="12.75" customHeight="1">
      <c r="A296" s="559"/>
      <c r="B296" s="1274" t="s">
        <v>772</v>
      </c>
      <c r="C296" s="1279"/>
      <c r="D296" s="1279"/>
      <c r="E296" s="1279"/>
      <c r="F296" s="1279"/>
      <c r="G296" s="1279"/>
      <c r="H296" s="1279"/>
      <c r="I296" s="1279"/>
      <c r="J296" s="1279"/>
      <c r="K296" s="1279"/>
      <c r="L296" s="1279"/>
      <c r="M296" s="1279"/>
      <c r="N296" s="1279"/>
      <c r="O296" s="1279"/>
      <c r="P296" s="1279"/>
      <c r="Q296" s="1279"/>
      <c r="R296" s="1279"/>
      <c r="S296" s="1279"/>
      <c r="T296" s="1279"/>
      <c r="U296" s="1279"/>
      <c r="V296" s="1279"/>
      <c r="W296" s="1279"/>
      <c r="X296" s="1279"/>
      <c r="Y296" s="1279"/>
      <c r="Z296" s="1279"/>
      <c r="AA296" s="1279"/>
      <c r="AB296" s="1279"/>
      <c r="AC296" s="1279"/>
      <c r="AD296" s="1279"/>
      <c r="AE296" s="1279"/>
      <c r="AF296" s="1279"/>
      <c r="AG296" s="1279"/>
      <c r="AH296" s="1279"/>
      <c r="AI296" s="1301"/>
      <c r="AJ296" s="558" t="s">
        <v>594</v>
      </c>
      <c r="AK296" s="576"/>
      <c r="AL296" s="576"/>
      <c r="AM296" s="983"/>
      <c r="AN296" s="434"/>
      <c r="AO296" s="434"/>
      <c r="AP296" s="434"/>
      <c r="AQ296" s="434"/>
      <c r="AR296" s="434"/>
      <c r="AS296" s="434"/>
      <c r="AT296" s="434"/>
      <c r="AU296" s="434"/>
      <c r="AV296" s="434"/>
      <c r="AW296" s="434"/>
      <c r="AX296" s="434"/>
      <c r="AY296" s="434"/>
      <c r="AZ296" s="434"/>
      <c r="BA296" s="434"/>
      <c r="BB296" s="434"/>
      <c r="BC296" s="434"/>
      <c r="BD296" s="434"/>
      <c r="BE296" s="434"/>
      <c r="BF296" s="434"/>
    </row>
    <row r="297" spans="1:58" s="578" customFormat="1" ht="12.75" customHeight="1">
      <c r="A297" s="559"/>
      <c r="B297" s="560" t="s">
        <v>651</v>
      </c>
      <c r="C297" s="561" t="s">
        <v>651</v>
      </c>
      <c r="D297" s="562">
        <v>656560034</v>
      </c>
      <c r="E297" s="563">
        <v>113</v>
      </c>
      <c r="F297" s="564">
        <v>656</v>
      </c>
      <c r="G297" s="668">
        <v>5600020605</v>
      </c>
      <c r="H297" s="566" t="s">
        <v>652</v>
      </c>
      <c r="I297" s="566">
        <v>211</v>
      </c>
      <c r="J297" s="755"/>
      <c r="K297" s="568"/>
      <c r="L297" s="569">
        <v>647000</v>
      </c>
      <c r="M297" s="569">
        <v>550000</v>
      </c>
      <c r="N297" s="569">
        <v>408195.4</v>
      </c>
      <c r="O297" s="569">
        <v>580336</v>
      </c>
      <c r="P297" s="569">
        <v>2185531.4</v>
      </c>
      <c r="Q297" s="572">
        <f aca="true" t="shared" si="4" ref="Q297:Q305">R297+S297+T297+U297</f>
        <v>2778065</v>
      </c>
      <c r="R297" s="569">
        <f>668804.6+50000+150000+120729+200000</f>
        <v>1189533.6</v>
      </c>
      <c r="S297" s="569">
        <f>550000+100000-100000</f>
        <v>550000</v>
      </c>
      <c r="T297" s="569">
        <f>408195.4+130000</f>
        <v>538195.4</v>
      </c>
      <c r="U297" s="569">
        <f>580336-50000+100000-130000</f>
        <v>500336</v>
      </c>
      <c r="V297" s="569"/>
      <c r="W297" s="568"/>
      <c r="X297" s="612"/>
      <c r="Y297" s="613"/>
      <c r="Z297" s="569"/>
      <c r="AA297" s="569"/>
      <c r="AB297" s="573"/>
      <c r="AC297" s="573"/>
      <c r="AD297" s="573"/>
      <c r="AE297" s="573">
        <v>1508967.67</v>
      </c>
      <c r="AF297" s="573">
        <v>20700</v>
      </c>
      <c r="AG297" s="573"/>
      <c r="AH297" s="574"/>
      <c r="AI297" s="575">
        <v>0.6809637555424735</v>
      </c>
      <c r="AJ297" s="558" t="s">
        <v>594</v>
      </c>
      <c r="AK297" s="576"/>
      <c r="AL297" s="576"/>
      <c r="AM297" s="983"/>
      <c r="AN297" s="434"/>
      <c r="AO297" s="434"/>
      <c r="AP297" s="434"/>
      <c r="AQ297" s="434"/>
      <c r="AR297" s="434"/>
      <c r="AS297" s="434"/>
      <c r="AT297" s="434"/>
      <c r="AU297" s="434"/>
      <c r="AV297" s="434"/>
      <c r="AW297" s="434"/>
      <c r="AX297" s="434"/>
      <c r="AY297" s="434"/>
      <c r="AZ297" s="434"/>
      <c r="BA297" s="434"/>
      <c r="BB297" s="434"/>
      <c r="BC297" s="434"/>
      <c r="BD297" s="434"/>
      <c r="BE297" s="434"/>
      <c r="BF297" s="434"/>
    </row>
    <row r="298" spans="1:58" s="578" customFormat="1" ht="42.75" customHeight="1">
      <c r="A298" s="559"/>
      <c r="B298" s="560" t="s">
        <v>651</v>
      </c>
      <c r="C298" s="561" t="s">
        <v>651</v>
      </c>
      <c r="D298" s="562">
        <v>656560034</v>
      </c>
      <c r="E298" s="563">
        <v>113</v>
      </c>
      <c r="F298" s="564">
        <v>656</v>
      </c>
      <c r="G298" s="668">
        <v>5600020605</v>
      </c>
      <c r="H298" s="566">
        <v>244</v>
      </c>
      <c r="I298" s="566">
        <v>225</v>
      </c>
      <c r="J298" s="755"/>
      <c r="K298" s="568"/>
      <c r="L298" s="569">
        <v>196000</v>
      </c>
      <c r="M298" s="569">
        <v>167000</v>
      </c>
      <c r="N298" s="569">
        <v>130000</v>
      </c>
      <c r="O298" s="569">
        <v>173615</v>
      </c>
      <c r="P298" s="569">
        <v>666615</v>
      </c>
      <c r="Q298" s="572">
        <f t="shared" si="4"/>
        <v>838975.6300000001</v>
      </c>
      <c r="R298" s="569">
        <f>R297*30.2%</f>
        <v>359239.1472</v>
      </c>
      <c r="S298" s="569">
        <f>S297*30.2%</f>
        <v>166100</v>
      </c>
      <c r="T298" s="569">
        <f>T297*30.2%</f>
        <v>162535.0108</v>
      </c>
      <c r="U298" s="569">
        <f>U297*30.2%</f>
        <v>151101.472</v>
      </c>
      <c r="V298" s="569"/>
      <c r="W298" s="569" t="s">
        <v>807</v>
      </c>
      <c r="X298" s="612">
        <f>72258.24+45485.57+70000+100000</f>
        <v>287743.81</v>
      </c>
      <c r="Y298" s="613"/>
      <c r="Z298" s="569"/>
      <c r="AA298" s="569"/>
      <c r="AB298" s="573"/>
      <c r="AC298" s="573"/>
      <c r="AD298" s="573"/>
      <c r="AE298" s="573">
        <v>459201.6</v>
      </c>
      <c r="AF298" s="573">
        <v>8362.8</v>
      </c>
      <c r="AG298" s="573"/>
      <c r="AH298" s="574"/>
      <c r="AI298" s="575">
        <v>0.6763106140725907</v>
      </c>
      <c r="AJ298" s="558" t="s">
        <v>594</v>
      </c>
      <c r="AK298" s="576"/>
      <c r="AL298" s="576"/>
      <c r="AM298" s="983"/>
      <c r="AN298" s="434"/>
      <c r="AO298" s="434"/>
      <c r="AP298" s="434"/>
      <c r="AQ298" s="434"/>
      <c r="AR298" s="434"/>
      <c r="AS298" s="434"/>
      <c r="AT298" s="434"/>
      <c r="AU298" s="434"/>
      <c r="AV298" s="434"/>
      <c r="AW298" s="434"/>
      <c r="AX298" s="434"/>
      <c r="AY298" s="434"/>
      <c r="AZ298" s="434"/>
      <c r="BA298" s="434"/>
      <c r="BB298" s="434"/>
      <c r="BC298" s="434"/>
      <c r="BD298" s="434"/>
      <c r="BE298" s="434"/>
      <c r="BF298" s="434"/>
    </row>
    <row r="299" spans="1:58" s="578" customFormat="1" ht="25.5" customHeight="1">
      <c r="A299" s="559"/>
      <c r="B299" s="560" t="s">
        <v>651</v>
      </c>
      <c r="C299" s="561" t="s">
        <v>651</v>
      </c>
      <c r="D299" s="562">
        <v>656560034</v>
      </c>
      <c r="E299" s="563">
        <v>503</v>
      </c>
      <c r="F299" s="564">
        <v>656</v>
      </c>
      <c r="G299" s="668">
        <v>5600020605</v>
      </c>
      <c r="H299" s="566">
        <v>244</v>
      </c>
      <c r="I299" s="566">
        <v>226</v>
      </c>
      <c r="J299" s="755"/>
      <c r="K299" s="568"/>
      <c r="L299" s="569">
        <v>196000</v>
      </c>
      <c r="M299" s="569">
        <v>167000</v>
      </c>
      <c r="N299" s="569">
        <v>130000</v>
      </c>
      <c r="O299" s="569">
        <v>173615</v>
      </c>
      <c r="P299" s="569">
        <v>666615</v>
      </c>
      <c r="Q299" s="572">
        <f t="shared" si="4"/>
        <v>838975.6300000001</v>
      </c>
      <c r="R299" s="569">
        <f>R297*30.2%</f>
        <v>359239.1472</v>
      </c>
      <c r="S299" s="569">
        <f>S297*30.2%</f>
        <v>166100</v>
      </c>
      <c r="T299" s="569">
        <f>T297*30.2%</f>
        <v>162535.0108</v>
      </c>
      <c r="U299" s="569">
        <f>U297*30.2%</f>
        <v>151101.472</v>
      </c>
      <c r="V299" s="569"/>
      <c r="W299" s="569" t="s">
        <v>808</v>
      </c>
      <c r="X299" s="612">
        <v>209000</v>
      </c>
      <c r="Y299" s="613"/>
      <c r="Z299" s="569"/>
      <c r="AA299" s="569"/>
      <c r="AB299" s="573"/>
      <c r="AC299" s="573"/>
      <c r="AD299" s="573"/>
      <c r="AE299" s="573">
        <v>459201.6</v>
      </c>
      <c r="AF299" s="573">
        <v>8362.8</v>
      </c>
      <c r="AG299" s="573"/>
      <c r="AH299" s="574"/>
      <c r="AI299" s="575">
        <v>0.6763106140725907</v>
      </c>
      <c r="AJ299" s="558" t="s">
        <v>594</v>
      </c>
      <c r="AK299" s="576"/>
      <c r="AL299" s="576"/>
      <c r="AM299" s="983"/>
      <c r="AN299" s="434"/>
      <c r="AO299" s="434"/>
      <c r="AP299" s="434"/>
      <c r="AQ299" s="434"/>
      <c r="AR299" s="434"/>
      <c r="AS299" s="434"/>
      <c r="AT299" s="434"/>
      <c r="AU299" s="434"/>
      <c r="AV299" s="434"/>
      <c r="AW299" s="434"/>
      <c r="AX299" s="434"/>
      <c r="AY299" s="434"/>
      <c r="AZ299" s="434"/>
      <c r="BA299" s="434"/>
      <c r="BB299" s="434"/>
      <c r="BC299" s="434"/>
      <c r="BD299" s="434"/>
      <c r="BE299" s="434"/>
      <c r="BF299" s="434"/>
    </row>
    <row r="300" spans="1:58" s="578" customFormat="1" ht="27" customHeight="1">
      <c r="A300" s="559"/>
      <c r="B300" s="560" t="s">
        <v>651</v>
      </c>
      <c r="C300" s="561" t="s">
        <v>651</v>
      </c>
      <c r="D300" s="562">
        <v>656560034</v>
      </c>
      <c r="E300" s="563">
        <v>503</v>
      </c>
      <c r="F300" s="564">
        <v>656</v>
      </c>
      <c r="G300" s="668">
        <v>5600020605</v>
      </c>
      <c r="H300" s="566">
        <v>244</v>
      </c>
      <c r="I300" s="566">
        <v>225</v>
      </c>
      <c r="J300" s="755"/>
      <c r="K300" s="568"/>
      <c r="L300" s="569">
        <v>196000</v>
      </c>
      <c r="M300" s="569">
        <v>167000</v>
      </c>
      <c r="N300" s="569">
        <v>130000</v>
      </c>
      <c r="O300" s="569">
        <v>173615</v>
      </c>
      <c r="P300" s="569">
        <v>666615</v>
      </c>
      <c r="Q300" s="572">
        <f t="shared" si="4"/>
        <v>838975.6300000001</v>
      </c>
      <c r="R300" s="569">
        <f aca="true" t="shared" si="5" ref="R300:U302">R297*30.2%</f>
        <v>359239.1472</v>
      </c>
      <c r="S300" s="569">
        <f t="shared" si="5"/>
        <v>166100</v>
      </c>
      <c r="T300" s="569">
        <f t="shared" si="5"/>
        <v>162535.0108</v>
      </c>
      <c r="U300" s="569">
        <f t="shared" si="5"/>
        <v>151101.472</v>
      </c>
      <c r="V300" s="569"/>
      <c r="W300" s="569" t="s">
        <v>809</v>
      </c>
      <c r="X300" s="896">
        <v>25000</v>
      </c>
      <c r="Y300" s="613"/>
      <c r="Z300" s="569"/>
      <c r="AA300" s="569"/>
      <c r="AB300" s="573"/>
      <c r="AC300" s="573"/>
      <c r="AD300" s="573"/>
      <c r="AE300" s="573">
        <v>459201.6</v>
      </c>
      <c r="AF300" s="573">
        <v>8362.8</v>
      </c>
      <c r="AG300" s="573"/>
      <c r="AH300" s="574"/>
      <c r="AI300" s="575">
        <v>0.6763106140725907</v>
      </c>
      <c r="AJ300" s="558" t="s">
        <v>594</v>
      </c>
      <c r="AK300" s="576"/>
      <c r="AL300" s="576"/>
      <c r="AM300" s="983"/>
      <c r="AN300" s="434"/>
      <c r="AO300" s="434"/>
      <c r="AP300" s="434"/>
      <c r="AQ300" s="434"/>
      <c r="AR300" s="434"/>
      <c r="AS300" s="434"/>
      <c r="AT300" s="434"/>
      <c r="AU300" s="434"/>
      <c r="AV300" s="434"/>
      <c r="AW300" s="434"/>
      <c r="AX300" s="434"/>
      <c r="AY300" s="434"/>
      <c r="AZ300" s="434"/>
      <c r="BA300" s="434"/>
      <c r="BB300" s="434"/>
      <c r="BC300" s="434"/>
      <c r="BD300" s="434"/>
      <c r="BE300" s="434"/>
      <c r="BF300" s="434"/>
    </row>
    <row r="301" spans="1:58" s="578" customFormat="1" ht="24.75" customHeight="1">
      <c r="A301" s="559"/>
      <c r="B301" s="560" t="s">
        <v>651</v>
      </c>
      <c r="C301" s="561" t="s">
        <v>651</v>
      </c>
      <c r="D301" s="562">
        <v>656560034</v>
      </c>
      <c r="E301" s="563">
        <v>503</v>
      </c>
      <c r="F301" s="564">
        <v>656</v>
      </c>
      <c r="G301" s="668">
        <v>5600020605</v>
      </c>
      <c r="H301" s="566">
        <v>244</v>
      </c>
      <c r="I301" s="566">
        <v>226</v>
      </c>
      <c r="J301" s="755"/>
      <c r="K301" s="568"/>
      <c r="L301" s="569">
        <v>196000</v>
      </c>
      <c r="M301" s="569">
        <v>167000</v>
      </c>
      <c r="N301" s="569">
        <v>130000</v>
      </c>
      <c r="O301" s="569">
        <v>173615</v>
      </c>
      <c r="P301" s="569">
        <v>666615</v>
      </c>
      <c r="Q301" s="572">
        <f t="shared" si="4"/>
        <v>253370.64026</v>
      </c>
      <c r="R301" s="569">
        <f t="shared" si="5"/>
        <v>108490.2224544</v>
      </c>
      <c r="S301" s="569">
        <f t="shared" si="5"/>
        <v>50162.2</v>
      </c>
      <c r="T301" s="569">
        <f t="shared" si="5"/>
        <v>49085.573261599995</v>
      </c>
      <c r="U301" s="569">
        <f t="shared" si="5"/>
        <v>45632.644544</v>
      </c>
      <c r="V301" s="988">
        <v>100000</v>
      </c>
      <c r="W301" s="989" t="s">
        <v>810</v>
      </c>
      <c r="X301" s="612">
        <v>-100000</v>
      </c>
      <c r="Y301" s="613"/>
      <c r="Z301" s="569"/>
      <c r="AA301" s="569"/>
      <c r="AB301" s="573"/>
      <c r="AC301" s="573"/>
      <c r="AD301" s="573"/>
      <c r="AE301" s="573">
        <v>459201.6</v>
      </c>
      <c r="AF301" s="573">
        <v>8362.8</v>
      </c>
      <c r="AG301" s="573"/>
      <c r="AH301" s="574"/>
      <c r="AI301" s="575">
        <v>0.6763106140725907</v>
      </c>
      <c r="AJ301" s="558" t="s">
        <v>594</v>
      </c>
      <c r="AK301" s="576"/>
      <c r="AL301" s="576"/>
      <c r="AM301" s="983"/>
      <c r="AN301" s="434"/>
      <c r="AO301" s="434"/>
      <c r="AP301" s="434"/>
      <c r="AQ301" s="434"/>
      <c r="AR301" s="434"/>
      <c r="AS301" s="434"/>
      <c r="AT301" s="434"/>
      <c r="AU301" s="434"/>
      <c r="AV301" s="434"/>
      <c r="AW301" s="434"/>
      <c r="AX301" s="434"/>
      <c r="AY301" s="434"/>
      <c r="AZ301" s="434"/>
      <c r="BA301" s="434"/>
      <c r="BB301" s="434"/>
      <c r="BC301" s="434"/>
      <c r="BD301" s="434"/>
      <c r="BE301" s="434"/>
      <c r="BF301" s="434"/>
    </row>
    <row r="302" spans="1:58" s="578" customFormat="1" ht="24.75" customHeight="1">
      <c r="A302" s="559"/>
      <c r="B302" s="560" t="s">
        <v>651</v>
      </c>
      <c r="C302" s="561" t="s">
        <v>651</v>
      </c>
      <c r="D302" s="562">
        <v>656560034</v>
      </c>
      <c r="E302" s="563">
        <v>503</v>
      </c>
      <c r="F302" s="564">
        <v>656</v>
      </c>
      <c r="G302" s="668">
        <v>5600020605</v>
      </c>
      <c r="H302" s="566">
        <v>244</v>
      </c>
      <c r="I302" s="566">
        <v>226</v>
      </c>
      <c r="J302" s="755" t="s">
        <v>811</v>
      </c>
      <c r="K302" s="568"/>
      <c r="L302" s="569">
        <v>196000</v>
      </c>
      <c r="M302" s="569">
        <v>167000</v>
      </c>
      <c r="N302" s="569">
        <v>130000</v>
      </c>
      <c r="O302" s="569">
        <v>173615</v>
      </c>
      <c r="P302" s="569">
        <v>666615</v>
      </c>
      <c r="Q302" s="572">
        <f t="shared" si="4"/>
        <v>253370.64026</v>
      </c>
      <c r="R302" s="569">
        <f t="shared" si="5"/>
        <v>108490.2224544</v>
      </c>
      <c r="S302" s="569">
        <f t="shared" si="5"/>
        <v>50162.2</v>
      </c>
      <c r="T302" s="569">
        <f t="shared" si="5"/>
        <v>49085.573261599995</v>
      </c>
      <c r="U302" s="569">
        <f t="shared" si="5"/>
        <v>45632.644544</v>
      </c>
      <c r="V302" s="988">
        <v>288200</v>
      </c>
      <c r="W302" s="989" t="s">
        <v>812</v>
      </c>
      <c r="X302" s="612">
        <v>-288200</v>
      </c>
      <c r="Y302" s="613"/>
      <c r="Z302" s="569"/>
      <c r="AA302" s="569"/>
      <c r="AB302" s="573"/>
      <c r="AC302" s="573"/>
      <c r="AD302" s="573"/>
      <c r="AE302" s="573">
        <v>459201.6</v>
      </c>
      <c r="AF302" s="573">
        <v>8362.8</v>
      </c>
      <c r="AG302" s="573"/>
      <c r="AH302" s="574"/>
      <c r="AI302" s="575">
        <v>0.6763106140725907</v>
      </c>
      <c r="AJ302" s="558" t="s">
        <v>594</v>
      </c>
      <c r="AK302" s="576"/>
      <c r="AL302" s="576"/>
      <c r="AM302" s="983"/>
      <c r="AN302" s="434"/>
      <c r="AO302" s="434"/>
      <c r="AP302" s="434"/>
      <c r="AQ302" s="434"/>
      <c r="AR302" s="434"/>
      <c r="AS302" s="434"/>
      <c r="AT302" s="434"/>
      <c r="AU302" s="434"/>
      <c r="AV302" s="434"/>
      <c r="AW302" s="434"/>
      <c r="AX302" s="434"/>
      <c r="AY302" s="434"/>
      <c r="AZ302" s="434"/>
      <c r="BA302" s="434"/>
      <c r="BB302" s="434"/>
      <c r="BC302" s="434"/>
      <c r="BD302" s="434"/>
      <c r="BE302" s="434"/>
      <c r="BF302" s="434"/>
    </row>
    <row r="303" spans="1:58" s="578" customFormat="1" ht="12.75" customHeight="1">
      <c r="A303" s="559"/>
      <c r="B303" s="560" t="s">
        <v>803</v>
      </c>
      <c r="C303" s="561" t="s">
        <v>803</v>
      </c>
      <c r="D303" s="562">
        <v>656560034</v>
      </c>
      <c r="E303" s="563">
        <v>503</v>
      </c>
      <c r="F303" s="564">
        <v>656</v>
      </c>
      <c r="G303" s="668">
        <v>5600020605</v>
      </c>
      <c r="H303" s="566" t="s">
        <v>625</v>
      </c>
      <c r="I303" s="566">
        <v>310</v>
      </c>
      <c r="J303" s="567">
        <v>0</v>
      </c>
      <c r="K303" s="568"/>
      <c r="L303" s="569">
        <v>70000</v>
      </c>
      <c r="M303" s="569">
        <v>-70000</v>
      </c>
      <c r="N303" s="569">
        <v>0</v>
      </c>
      <c r="O303" s="569">
        <v>70000</v>
      </c>
      <c r="P303" s="569">
        <v>70000</v>
      </c>
      <c r="Q303" s="572">
        <f t="shared" si="4"/>
        <v>60000</v>
      </c>
      <c r="R303" s="568">
        <v>30000</v>
      </c>
      <c r="S303" s="568">
        <v>30000</v>
      </c>
      <c r="T303" s="568">
        <v>0</v>
      </c>
      <c r="U303" s="568"/>
      <c r="V303" s="799"/>
      <c r="W303" s="568"/>
      <c r="X303" s="612"/>
      <c r="Y303" s="613"/>
      <c r="Z303" s="611"/>
      <c r="AA303" s="611"/>
      <c r="AB303" s="573"/>
      <c r="AC303" s="573"/>
      <c r="AD303" s="573"/>
      <c r="AE303" s="573"/>
      <c r="AF303" s="573"/>
      <c r="AG303" s="573"/>
      <c r="AH303" s="574"/>
      <c r="AI303" s="575"/>
      <c r="AJ303" s="558"/>
      <c r="AK303" s="576"/>
      <c r="AL303" s="576"/>
      <c r="AM303" s="983"/>
      <c r="AN303" s="434"/>
      <c r="AO303" s="434"/>
      <c r="AP303" s="434"/>
      <c r="AQ303" s="434"/>
      <c r="AR303" s="434"/>
      <c r="AS303" s="434"/>
      <c r="AT303" s="434"/>
      <c r="AU303" s="434"/>
      <c r="AV303" s="434"/>
      <c r="AW303" s="434"/>
      <c r="AX303" s="434"/>
      <c r="AY303" s="434"/>
      <c r="AZ303" s="434"/>
      <c r="BA303" s="434"/>
      <c r="BB303" s="434"/>
      <c r="BC303" s="434"/>
      <c r="BD303" s="434"/>
      <c r="BE303" s="434"/>
      <c r="BF303" s="434"/>
    </row>
    <row r="304" spans="1:58" s="578" customFormat="1" ht="12.75" customHeight="1">
      <c r="A304" s="559"/>
      <c r="B304" s="560" t="s">
        <v>803</v>
      </c>
      <c r="C304" s="561" t="s">
        <v>803</v>
      </c>
      <c r="D304" s="562">
        <v>656560034</v>
      </c>
      <c r="E304" s="563">
        <v>503</v>
      </c>
      <c r="F304" s="564">
        <v>656</v>
      </c>
      <c r="G304" s="668">
        <v>5600084290</v>
      </c>
      <c r="H304" s="566" t="s">
        <v>625</v>
      </c>
      <c r="I304" s="566">
        <v>344</v>
      </c>
      <c r="J304" s="567" t="s">
        <v>813</v>
      </c>
      <c r="K304" s="568"/>
      <c r="L304" s="569">
        <v>70000</v>
      </c>
      <c r="M304" s="569">
        <v>-70000</v>
      </c>
      <c r="N304" s="569">
        <v>0</v>
      </c>
      <c r="O304" s="569">
        <v>70000</v>
      </c>
      <c r="P304" s="569">
        <v>70000</v>
      </c>
      <c r="Q304" s="572">
        <f t="shared" si="4"/>
        <v>60000</v>
      </c>
      <c r="R304" s="568">
        <v>30000</v>
      </c>
      <c r="S304" s="568">
        <v>30000</v>
      </c>
      <c r="T304" s="568">
        <v>0</v>
      </c>
      <c r="U304" s="568"/>
      <c r="V304" s="799">
        <v>2702.5</v>
      </c>
      <c r="W304" s="568" t="s">
        <v>814</v>
      </c>
      <c r="X304" s="612"/>
      <c r="Y304" s="613"/>
      <c r="Z304" s="611"/>
      <c r="AA304" s="611"/>
      <c r="AB304" s="573"/>
      <c r="AC304" s="573"/>
      <c r="AD304" s="573"/>
      <c r="AE304" s="573"/>
      <c r="AF304" s="573"/>
      <c r="AG304" s="573"/>
      <c r="AH304" s="574"/>
      <c r="AI304" s="575"/>
      <c r="AJ304" s="558"/>
      <c r="AK304" s="576"/>
      <c r="AL304" s="576"/>
      <c r="AM304" s="983"/>
      <c r="AN304" s="434"/>
      <c r="AO304" s="434"/>
      <c r="AP304" s="434"/>
      <c r="AQ304" s="434"/>
      <c r="AR304" s="434"/>
      <c r="AS304" s="434"/>
      <c r="AT304" s="434"/>
      <c r="AU304" s="434"/>
      <c r="AV304" s="434"/>
      <c r="AW304" s="434"/>
      <c r="AX304" s="434"/>
      <c r="AY304" s="434"/>
      <c r="AZ304" s="434"/>
      <c r="BA304" s="434"/>
      <c r="BB304" s="434"/>
      <c r="BC304" s="434"/>
      <c r="BD304" s="434"/>
      <c r="BE304" s="434"/>
      <c r="BF304" s="434"/>
    </row>
    <row r="305" spans="1:58" s="578" customFormat="1" ht="12.75" customHeight="1">
      <c r="A305" s="559"/>
      <c r="B305" s="1274" t="s">
        <v>613</v>
      </c>
      <c r="C305" s="1279"/>
      <c r="D305" s="1279"/>
      <c r="E305" s="1279"/>
      <c r="F305" s="1279"/>
      <c r="G305" s="1279"/>
      <c r="H305" s="1279"/>
      <c r="I305" s="1279"/>
      <c r="J305" s="1279"/>
      <c r="K305" s="1280"/>
      <c r="L305" s="582">
        <v>843000</v>
      </c>
      <c r="M305" s="583">
        <v>717000</v>
      </c>
      <c r="N305" s="583">
        <v>538195.4</v>
      </c>
      <c r="O305" s="582">
        <v>753951</v>
      </c>
      <c r="P305" s="583">
        <v>2852146.4</v>
      </c>
      <c r="Q305" s="584">
        <f t="shared" si="4"/>
        <v>3617040.63</v>
      </c>
      <c r="R305" s="582">
        <f>R297+R298</f>
        <v>1548772.7472</v>
      </c>
      <c r="S305" s="582">
        <f>S297+S298</f>
        <v>716100</v>
      </c>
      <c r="T305" s="582">
        <f>T297+T298</f>
        <v>700730.4108</v>
      </c>
      <c r="U305" s="582">
        <f>U297+U298</f>
        <v>651437.4720000001</v>
      </c>
      <c r="V305" s="960">
        <f>SUM(V297:V304)</f>
        <v>390902.5</v>
      </c>
      <c r="W305" s="682">
        <f>V300+V301+V303+V304+X303+X304</f>
        <v>102702.5</v>
      </c>
      <c r="X305" s="990">
        <f>SUM(X297:X304)</f>
        <v>133543.81</v>
      </c>
      <c r="Y305" s="684"/>
      <c r="Z305" s="583">
        <f>Z297+Z298</f>
        <v>0</v>
      </c>
      <c r="AA305" s="583">
        <f>AA297+AA298</f>
        <v>0</v>
      </c>
      <c r="AB305" s="1281"/>
      <c r="AC305" s="1282"/>
      <c r="AD305" s="1283"/>
      <c r="AE305" s="588">
        <v>1968169.27</v>
      </c>
      <c r="AF305" s="589">
        <v>29062.8</v>
      </c>
      <c r="AG305" s="1281"/>
      <c r="AH305" s="1283"/>
      <c r="AI305" s="590">
        <v>0.6798762048119268</v>
      </c>
      <c r="AJ305" s="558" t="s">
        <v>594</v>
      </c>
      <c r="AK305" s="576"/>
      <c r="AL305" s="576"/>
      <c r="AM305" s="983"/>
      <c r="AN305" s="434"/>
      <c r="AO305" s="434"/>
      <c r="AP305" s="434"/>
      <c r="AQ305" s="434"/>
      <c r="AR305" s="434"/>
      <c r="AS305" s="434"/>
      <c r="AT305" s="434"/>
      <c r="AU305" s="434"/>
      <c r="AV305" s="434"/>
      <c r="AW305" s="434"/>
      <c r="AX305" s="434"/>
      <c r="AY305" s="434"/>
      <c r="AZ305" s="434"/>
      <c r="BA305" s="434"/>
      <c r="BB305" s="434"/>
      <c r="BC305" s="434"/>
      <c r="BD305" s="434"/>
      <c r="BE305" s="434"/>
      <c r="BF305" s="434"/>
    </row>
    <row r="306" spans="1:58" s="578" customFormat="1" ht="12.75" customHeight="1">
      <c r="A306" s="559"/>
      <c r="B306" s="1274" t="s">
        <v>815</v>
      </c>
      <c r="C306" s="1279"/>
      <c r="D306" s="1279"/>
      <c r="E306" s="1279"/>
      <c r="F306" s="1279"/>
      <c r="G306" s="1279"/>
      <c r="H306" s="1279"/>
      <c r="I306" s="1279"/>
      <c r="J306" s="1279"/>
      <c r="K306" s="1279"/>
      <c r="L306" s="1279"/>
      <c r="M306" s="1279"/>
      <c r="N306" s="1279"/>
      <c r="O306" s="1279"/>
      <c r="P306" s="1279"/>
      <c r="Q306" s="1279"/>
      <c r="R306" s="1279"/>
      <c r="S306" s="1279"/>
      <c r="T306" s="1279"/>
      <c r="U306" s="1279"/>
      <c r="V306" s="1279"/>
      <c r="W306" s="1279"/>
      <c r="X306" s="1279"/>
      <c r="Y306" s="1279"/>
      <c r="Z306" s="1279"/>
      <c r="AA306" s="1279"/>
      <c r="AB306" s="1279"/>
      <c r="AC306" s="1279"/>
      <c r="AD306" s="1279"/>
      <c r="AE306" s="1279"/>
      <c r="AF306" s="1279"/>
      <c r="AG306" s="1279"/>
      <c r="AH306" s="1279"/>
      <c r="AI306" s="1301"/>
      <c r="AJ306" s="558" t="s">
        <v>594</v>
      </c>
      <c r="AK306" s="576"/>
      <c r="AL306" s="576"/>
      <c r="AM306" s="983"/>
      <c r="AN306" s="434"/>
      <c r="AO306" s="434"/>
      <c r="AP306" s="434"/>
      <c r="AQ306" s="434"/>
      <c r="AR306" s="434"/>
      <c r="AS306" s="434"/>
      <c r="AT306" s="434"/>
      <c r="AU306" s="434"/>
      <c r="AV306" s="434"/>
      <c r="AW306" s="434"/>
      <c r="AX306" s="434"/>
      <c r="AY306" s="434"/>
      <c r="AZ306" s="434"/>
      <c r="BA306" s="434"/>
      <c r="BB306" s="434"/>
      <c r="BC306" s="434"/>
      <c r="BD306" s="434"/>
      <c r="BE306" s="434"/>
      <c r="BF306" s="434"/>
    </row>
    <row r="307" spans="1:58" s="1002" customFormat="1" ht="13.5" customHeight="1">
      <c r="A307" s="991"/>
      <c r="B307" s="992" t="s">
        <v>651</v>
      </c>
      <c r="C307" s="993" t="s">
        <v>651</v>
      </c>
      <c r="D307" s="670">
        <v>656430034</v>
      </c>
      <c r="E307" s="671">
        <v>503</v>
      </c>
      <c r="F307" s="672">
        <v>656</v>
      </c>
      <c r="G307" s="673">
        <v>5600020605</v>
      </c>
      <c r="H307" s="674">
        <v>244</v>
      </c>
      <c r="I307" s="674">
        <v>226</v>
      </c>
      <c r="J307" s="804"/>
      <c r="K307" s="676"/>
      <c r="L307" s="677">
        <v>196000</v>
      </c>
      <c r="M307" s="677">
        <v>167000</v>
      </c>
      <c r="N307" s="677">
        <v>130000</v>
      </c>
      <c r="O307" s="677">
        <v>173615</v>
      </c>
      <c r="P307" s="677">
        <v>666615</v>
      </c>
      <c r="Q307" s="805" t="e">
        <f>R307+S307+T307+U307</f>
        <v>#REF!</v>
      </c>
      <c r="R307" s="677" t="e">
        <f>#REF!*30.2%</f>
        <v>#REF!</v>
      </c>
      <c r="S307" s="677" t="e">
        <f>#REF!*30.2%</f>
        <v>#REF!</v>
      </c>
      <c r="T307" s="677" t="e">
        <f>#REF!*30.2%</f>
        <v>#REF!</v>
      </c>
      <c r="U307" s="677" t="e">
        <f>#REF!*30.2%</f>
        <v>#REF!</v>
      </c>
      <c r="V307" s="994"/>
      <c r="W307" s="995" t="s">
        <v>810</v>
      </c>
      <c r="X307" s="806">
        <v>100000</v>
      </c>
      <c r="Y307" s="806"/>
      <c r="Z307" s="677"/>
      <c r="AA307" s="677"/>
      <c r="AB307" s="996"/>
      <c r="AC307" s="996"/>
      <c r="AD307" s="996"/>
      <c r="AE307" s="996">
        <v>459201.6</v>
      </c>
      <c r="AF307" s="996">
        <v>8362.8</v>
      </c>
      <c r="AG307" s="996"/>
      <c r="AH307" s="997"/>
      <c r="AI307" s="998">
        <v>0.6763106140725907</v>
      </c>
      <c r="AJ307" s="999" t="s">
        <v>594</v>
      </c>
      <c r="AK307" s="1000"/>
      <c r="AL307" s="1000"/>
      <c r="AM307" s="1001"/>
      <c r="AN307" s="1001"/>
      <c r="AO307" s="1001"/>
      <c r="AP307" s="1001"/>
      <c r="AQ307" s="1001"/>
      <c r="AR307" s="1001"/>
      <c r="AS307" s="1001"/>
      <c r="AT307" s="1001"/>
      <c r="AU307" s="1001"/>
      <c r="AV307" s="1001"/>
      <c r="AW307" s="1001"/>
      <c r="AX307" s="1001"/>
      <c r="AY307" s="1001"/>
      <c r="AZ307" s="1001"/>
      <c r="BA307" s="1001"/>
      <c r="BB307" s="1001"/>
      <c r="BC307" s="1001"/>
      <c r="BD307" s="1001"/>
      <c r="BE307" s="1001"/>
      <c r="BF307" s="1001"/>
    </row>
    <row r="308" spans="1:58" s="1002" customFormat="1" ht="13.5" customHeight="1">
      <c r="A308" s="991"/>
      <c r="B308" s="992" t="s">
        <v>651</v>
      </c>
      <c r="C308" s="993" t="s">
        <v>651</v>
      </c>
      <c r="D308" s="670">
        <v>656430034</v>
      </c>
      <c r="E308" s="671">
        <v>503</v>
      </c>
      <c r="F308" s="672">
        <v>656</v>
      </c>
      <c r="G308" s="673">
        <v>5600020605</v>
      </c>
      <c r="H308" s="674">
        <v>244</v>
      </c>
      <c r="I308" s="674">
        <v>226</v>
      </c>
      <c r="J308" s="804" t="s">
        <v>811</v>
      </c>
      <c r="K308" s="676"/>
      <c r="L308" s="677">
        <v>196000</v>
      </c>
      <c r="M308" s="677">
        <v>167000</v>
      </c>
      <c r="N308" s="677">
        <v>130000</v>
      </c>
      <c r="O308" s="677">
        <v>173615</v>
      </c>
      <c r="P308" s="677">
        <v>666615</v>
      </c>
      <c r="Q308" s="805" t="e">
        <f>R308+S308+T308+U308</f>
        <v>#REF!</v>
      </c>
      <c r="R308" s="677" t="e">
        <f>#REF!*30.2%</f>
        <v>#REF!</v>
      </c>
      <c r="S308" s="677" t="e">
        <f>#REF!*30.2%</f>
        <v>#REF!</v>
      </c>
      <c r="T308" s="677" t="e">
        <f>#REF!*30.2%</f>
        <v>#REF!</v>
      </c>
      <c r="U308" s="677" t="e">
        <f>#REF!*30.2%</f>
        <v>#REF!</v>
      </c>
      <c r="V308" s="994"/>
      <c r="W308" s="995" t="s">
        <v>812</v>
      </c>
      <c r="X308" s="806">
        <v>288200</v>
      </c>
      <c r="Y308" s="806"/>
      <c r="Z308" s="677"/>
      <c r="AA308" s="677"/>
      <c r="AB308" s="996"/>
      <c r="AC308" s="996"/>
      <c r="AD308" s="996"/>
      <c r="AE308" s="996">
        <v>459201.6</v>
      </c>
      <c r="AF308" s="996">
        <v>8362.8</v>
      </c>
      <c r="AG308" s="996"/>
      <c r="AH308" s="997"/>
      <c r="AI308" s="998">
        <v>0.6763106140725907</v>
      </c>
      <c r="AJ308" s="999" t="s">
        <v>594</v>
      </c>
      <c r="AK308" s="1000"/>
      <c r="AL308" s="1000"/>
      <c r="AM308" s="1001"/>
      <c r="AN308" s="1001"/>
      <c r="AO308" s="1001"/>
      <c r="AP308" s="1001"/>
      <c r="AQ308" s="1001"/>
      <c r="AR308" s="1001"/>
      <c r="AS308" s="1001"/>
      <c r="AT308" s="1001"/>
      <c r="AU308" s="1001"/>
      <c r="AV308" s="1001"/>
      <c r="AW308" s="1001"/>
      <c r="AX308" s="1001"/>
      <c r="AY308" s="1001"/>
      <c r="AZ308" s="1001"/>
      <c r="BA308" s="1001"/>
      <c r="BB308" s="1001"/>
      <c r="BC308" s="1001"/>
      <c r="BD308" s="1001"/>
      <c r="BE308" s="1001"/>
      <c r="BF308" s="1001"/>
    </row>
    <row r="309" spans="1:58" s="1002" customFormat="1" ht="12.75" customHeight="1">
      <c r="A309" s="991"/>
      <c r="B309" s="992" t="s">
        <v>803</v>
      </c>
      <c r="C309" s="993" t="s">
        <v>803</v>
      </c>
      <c r="D309" s="670">
        <v>656430034</v>
      </c>
      <c r="E309" s="671">
        <v>503</v>
      </c>
      <c r="F309" s="672">
        <v>656</v>
      </c>
      <c r="G309" s="673">
        <v>5600020605</v>
      </c>
      <c r="H309" s="674" t="s">
        <v>625</v>
      </c>
      <c r="I309" s="674">
        <v>226</v>
      </c>
      <c r="J309" s="675">
        <v>0</v>
      </c>
      <c r="K309" s="676"/>
      <c r="L309" s="677">
        <v>70000</v>
      </c>
      <c r="M309" s="677">
        <v>-70000</v>
      </c>
      <c r="N309" s="677">
        <v>0</v>
      </c>
      <c r="O309" s="677">
        <v>70000</v>
      </c>
      <c r="P309" s="677">
        <v>70000</v>
      </c>
      <c r="Q309" s="805">
        <f>R309+S309+T309+U309</f>
        <v>60000</v>
      </c>
      <c r="R309" s="676">
        <v>30000</v>
      </c>
      <c r="S309" s="676">
        <v>30000</v>
      </c>
      <c r="T309" s="676">
        <v>0</v>
      </c>
      <c r="U309" s="676"/>
      <c r="V309" s="679"/>
      <c r="W309" s="676" t="s">
        <v>816</v>
      </c>
      <c r="X309" s="806">
        <v>262887</v>
      </c>
      <c r="Y309" s="806"/>
      <c r="Z309" s="679"/>
      <c r="AA309" s="679"/>
      <c r="AB309" s="996"/>
      <c r="AC309" s="996"/>
      <c r="AD309" s="996"/>
      <c r="AE309" s="996"/>
      <c r="AF309" s="996"/>
      <c r="AG309" s="996"/>
      <c r="AH309" s="997"/>
      <c r="AI309" s="998"/>
      <c r="AJ309" s="999"/>
      <c r="AK309" s="1000"/>
      <c r="AL309" s="1000"/>
      <c r="AM309" s="1001"/>
      <c r="AN309" s="1001"/>
      <c r="AO309" s="1001"/>
      <c r="AP309" s="1001"/>
      <c r="AQ309" s="1001"/>
      <c r="AR309" s="1001"/>
      <c r="AS309" s="1001"/>
      <c r="AT309" s="1001"/>
      <c r="AU309" s="1001"/>
      <c r="AV309" s="1001"/>
      <c r="AW309" s="1001"/>
      <c r="AX309" s="1001"/>
      <c r="AY309" s="1001"/>
      <c r="AZ309" s="1001"/>
      <c r="BA309" s="1001"/>
      <c r="BB309" s="1001"/>
      <c r="BC309" s="1001"/>
      <c r="BD309" s="1001"/>
      <c r="BE309" s="1001"/>
      <c r="BF309" s="1001"/>
    </row>
    <row r="310" spans="1:58" s="1002" customFormat="1" ht="12.75" customHeight="1">
      <c r="A310" s="991"/>
      <c r="B310" s="1308" t="s">
        <v>613</v>
      </c>
      <c r="C310" s="1309"/>
      <c r="D310" s="1309"/>
      <c r="E310" s="1309"/>
      <c r="F310" s="1309"/>
      <c r="G310" s="1309"/>
      <c r="H310" s="1309"/>
      <c r="I310" s="1309"/>
      <c r="J310" s="1309"/>
      <c r="K310" s="1310"/>
      <c r="L310" s="1003">
        <v>843000</v>
      </c>
      <c r="M310" s="1004">
        <v>717000</v>
      </c>
      <c r="N310" s="1004">
        <v>538195.4</v>
      </c>
      <c r="O310" s="1003">
        <v>753951</v>
      </c>
      <c r="P310" s="1004">
        <v>2852146.4</v>
      </c>
      <c r="Q310" s="1005" t="e">
        <f>R310+S310+T310+U310</f>
        <v>#REF!</v>
      </c>
      <c r="R310" s="1003" t="e">
        <f>#REF!+#REF!</f>
        <v>#REF!</v>
      </c>
      <c r="S310" s="1003" t="e">
        <f>#REF!+#REF!</f>
        <v>#REF!</v>
      </c>
      <c r="T310" s="1003" t="e">
        <f>#REF!+#REF!</f>
        <v>#REF!</v>
      </c>
      <c r="U310" s="1003" t="e">
        <f>#REF!+#REF!</f>
        <v>#REF!</v>
      </c>
      <c r="V310" s="1004">
        <f>SUM(V307:V309)</f>
        <v>0</v>
      </c>
      <c r="W310" s="1006"/>
      <c r="X310" s="1004">
        <f>SUM(X307:X309)</f>
        <v>651087</v>
      </c>
      <c r="Y310" s="1007"/>
      <c r="Z310" s="1004"/>
      <c r="AA310" s="1004" t="e">
        <f>#REF!+#REF!</f>
        <v>#REF!</v>
      </c>
      <c r="AB310" s="1311"/>
      <c r="AC310" s="1312"/>
      <c r="AD310" s="1313"/>
      <c r="AE310" s="1008">
        <v>1968169.27</v>
      </c>
      <c r="AF310" s="1009">
        <v>29062.8</v>
      </c>
      <c r="AG310" s="1311"/>
      <c r="AH310" s="1313"/>
      <c r="AI310" s="1010">
        <v>0.6798762048119268</v>
      </c>
      <c r="AJ310" s="999" t="s">
        <v>594</v>
      </c>
      <c r="AK310" s="1000"/>
      <c r="AL310" s="1000"/>
      <c r="AM310" s="1001"/>
      <c r="AN310" s="1001"/>
      <c r="AO310" s="1001"/>
      <c r="AP310" s="1001"/>
      <c r="AQ310" s="1001"/>
      <c r="AR310" s="1001"/>
      <c r="AS310" s="1001"/>
      <c r="AT310" s="1001"/>
      <c r="AU310" s="1001"/>
      <c r="AV310" s="1001"/>
      <c r="AW310" s="1001"/>
      <c r="AX310" s="1001"/>
      <c r="AY310" s="1001"/>
      <c r="AZ310" s="1001"/>
      <c r="BA310" s="1001"/>
      <c r="BB310" s="1001"/>
      <c r="BC310" s="1001"/>
      <c r="BD310" s="1001"/>
      <c r="BE310" s="1001"/>
      <c r="BF310" s="1001"/>
    </row>
    <row r="311" spans="1:39" ht="12.75" customHeight="1">
      <c r="A311" s="557"/>
      <c r="B311" s="579"/>
      <c r="C311" s="580"/>
      <c r="D311" s="1307" t="s">
        <v>817</v>
      </c>
      <c r="E311" s="1307"/>
      <c r="F311" s="1307"/>
      <c r="G311" s="1307"/>
      <c r="H311" s="1307"/>
      <c r="I311" s="1307"/>
      <c r="J311" s="1307"/>
      <c r="K311" s="1307"/>
      <c r="L311" s="1307"/>
      <c r="M311" s="1307"/>
      <c r="N311" s="1307"/>
      <c r="O311" s="1307"/>
      <c r="P311" s="1307"/>
      <c r="Q311" s="1307"/>
      <c r="R311" s="1307"/>
      <c r="S311" s="1307"/>
      <c r="T311" s="1307"/>
      <c r="U311" s="1307"/>
      <c r="V311" s="1307"/>
      <c r="W311" s="1307"/>
      <c r="X311" s="1307"/>
      <c r="Y311" s="1307"/>
      <c r="Z311" s="1307"/>
      <c r="AA311" s="1307"/>
      <c r="AB311" s="587"/>
      <c r="AC311" s="587"/>
      <c r="AD311" s="587"/>
      <c r="AE311" s="667"/>
      <c r="AF311" s="667"/>
      <c r="AG311" s="587"/>
      <c r="AH311" s="587"/>
      <c r="AI311" s="590"/>
      <c r="AJ311" s="558"/>
      <c r="AK311" s="426"/>
      <c r="AL311" s="426"/>
      <c r="AM311" s="983"/>
    </row>
    <row r="312" spans="1:38" ht="12.75" customHeight="1">
      <c r="A312" s="557"/>
      <c r="B312" s="579"/>
      <c r="C312" s="580"/>
      <c r="D312" s="1290" t="s">
        <v>801</v>
      </c>
      <c r="E312" s="1290"/>
      <c r="F312" s="1290"/>
      <c r="G312" s="1290"/>
      <c r="H312" s="1290"/>
      <c r="I312" s="1290"/>
      <c r="J312" s="1290"/>
      <c r="K312" s="1290"/>
      <c r="L312" s="1290"/>
      <c r="M312" s="1290"/>
      <c r="N312" s="1290"/>
      <c r="O312" s="1290"/>
      <c r="P312" s="1290"/>
      <c r="Q312" s="1290"/>
      <c r="R312" s="1290"/>
      <c r="S312" s="1290"/>
      <c r="T312" s="1290"/>
      <c r="U312" s="1290"/>
      <c r="V312" s="1290"/>
      <c r="W312" s="1290"/>
      <c r="X312" s="1290"/>
      <c r="Y312" s="1290"/>
      <c r="Z312" s="1290"/>
      <c r="AA312" s="1290"/>
      <c r="AB312" s="587"/>
      <c r="AC312" s="587"/>
      <c r="AD312" s="587"/>
      <c r="AE312" s="667"/>
      <c r="AF312" s="667"/>
      <c r="AG312" s="587"/>
      <c r="AH312" s="587"/>
      <c r="AI312" s="590"/>
      <c r="AJ312" s="558"/>
      <c r="AK312" s="426"/>
      <c r="AL312" s="426"/>
    </row>
    <row r="313" spans="1:39" ht="12.75" customHeight="1">
      <c r="A313" s="557"/>
      <c r="B313" s="1274" t="s">
        <v>803</v>
      </c>
      <c r="C313" s="1279"/>
      <c r="D313" s="1279"/>
      <c r="E313" s="1279"/>
      <c r="F313" s="1279"/>
      <c r="G313" s="1279"/>
      <c r="H313" s="1279"/>
      <c r="I313" s="1279"/>
      <c r="J313" s="1279"/>
      <c r="K313" s="1279"/>
      <c r="L313" s="1279"/>
      <c r="M313" s="1279"/>
      <c r="N313" s="1279"/>
      <c r="O313" s="1279"/>
      <c r="P313" s="1279"/>
      <c r="Q313" s="1279"/>
      <c r="R313" s="1279"/>
      <c r="S313" s="1279"/>
      <c r="T313" s="1279"/>
      <c r="U313" s="1279"/>
      <c r="V313" s="1279"/>
      <c r="W313" s="1279"/>
      <c r="X313" s="1279"/>
      <c r="Y313" s="1279"/>
      <c r="Z313" s="1279"/>
      <c r="AA313" s="1279"/>
      <c r="AB313" s="1279"/>
      <c r="AC313" s="1279"/>
      <c r="AD313" s="1279"/>
      <c r="AE313" s="1279"/>
      <c r="AF313" s="1279"/>
      <c r="AG313" s="1279"/>
      <c r="AH313" s="1279"/>
      <c r="AI313" s="1301"/>
      <c r="AJ313" s="558" t="s">
        <v>594</v>
      </c>
      <c r="AK313" s="426"/>
      <c r="AL313" s="426"/>
      <c r="AM313" s="983"/>
    </row>
    <row r="314" spans="1:58" s="578" customFormat="1" ht="12.75" customHeight="1">
      <c r="A314" s="559"/>
      <c r="B314" s="560" t="s">
        <v>803</v>
      </c>
      <c r="C314" s="561" t="s">
        <v>803</v>
      </c>
      <c r="D314" s="562">
        <v>656560031</v>
      </c>
      <c r="E314" s="563">
        <v>503</v>
      </c>
      <c r="F314" s="564">
        <v>656</v>
      </c>
      <c r="G314" s="668">
        <v>5600020602</v>
      </c>
      <c r="H314" s="566" t="s">
        <v>625</v>
      </c>
      <c r="I314" s="566">
        <v>223</v>
      </c>
      <c r="J314" s="567">
        <v>0</v>
      </c>
      <c r="K314" s="568"/>
      <c r="L314" s="569">
        <v>170000</v>
      </c>
      <c r="M314" s="569">
        <v>50000</v>
      </c>
      <c r="N314" s="569">
        <v>-4000</v>
      </c>
      <c r="O314" s="569">
        <v>30055</v>
      </c>
      <c r="P314" s="569">
        <v>246055</v>
      </c>
      <c r="Q314" s="572">
        <f>R314+S314+T314+U314</f>
        <v>110000</v>
      </c>
      <c r="R314" s="568">
        <v>50000</v>
      </c>
      <c r="S314" s="568">
        <v>60000</v>
      </c>
      <c r="T314" s="568">
        <v>0</v>
      </c>
      <c r="U314" s="568"/>
      <c r="V314" s="799">
        <v>170000</v>
      </c>
      <c r="W314" s="707" t="s">
        <v>990</v>
      </c>
      <c r="X314" s="896">
        <v>400000</v>
      </c>
      <c r="Y314" s="800" t="s">
        <v>991</v>
      </c>
      <c r="Z314" s="799"/>
      <c r="AA314" s="799"/>
      <c r="AB314" s="573"/>
      <c r="AC314" s="573"/>
      <c r="AD314" s="573"/>
      <c r="AE314" s="573">
        <v>118122.21</v>
      </c>
      <c r="AF314" s="573">
        <v>3464.99</v>
      </c>
      <c r="AG314" s="573"/>
      <c r="AH314" s="574"/>
      <c r="AI314" s="575">
        <v>0.4659820771778668</v>
      </c>
      <c r="AJ314" s="558" t="s">
        <v>594</v>
      </c>
      <c r="AK314" s="576"/>
      <c r="AL314" s="576"/>
      <c r="AM314" s="983"/>
      <c r="AN314" s="434"/>
      <c r="AO314" s="434"/>
      <c r="AP314" s="434"/>
      <c r="AQ314" s="434"/>
      <c r="AR314" s="434"/>
      <c r="AS314" s="434"/>
      <c r="AT314" s="434"/>
      <c r="AU314" s="434"/>
      <c r="AV314" s="434"/>
      <c r="AW314" s="434"/>
      <c r="AX314" s="434"/>
      <c r="AY314" s="434"/>
      <c r="AZ314" s="434"/>
      <c r="BA314" s="434"/>
      <c r="BB314" s="434"/>
      <c r="BC314" s="434"/>
      <c r="BD314" s="434"/>
      <c r="BE314" s="434"/>
      <c r="BF314" s="434"/>
    </row>
    <row r="315" spans="1:58" s="578" customFormat="1" ht="21.75" customHeight="1">
      <c r="A315" s="559"/>
      <c r="B315" s="560" t="s">
        <v>803</v>
      </c>
      <c r="C315" s="561" t="s">
        <v>803</v>
      </c>
      <c r="D315" s="562">
        <v>656560031</v>
      </c>
      <c r="E315" s="563">
        <v>503</v>
      </c>
      <c r="F315" s="564">
        <v>656</v>
      </c>
      <c r="G315" s="668">
        <v>5600020602</v>
      </c>
      <c r="H315" s="566" t="s">
        <v>625</v>
      </c>
      <c r="I315" s="566">
        <v>225</v>
      </c>
      <c r="J315" s="567">
        <v>0</v>
      </c>
      <c r="K315" s="568"/>
      <c r="L315" s="569">
        <v>70000</v>
      </c>
      <c r="M315" s="569">
        <v>-70000</v>
      </c>
      <c r="N315" s="569">
        <v>0</v>
      </c>
      <c r="O315" s="569">
        <v>70000</v>
      </c>
      <c r="P315" s="569">
        <v>70000</v>
      </c>
      <c r="Q315" s="572">
        <f>R315+S315+T315+U315</f>
        <v>60000</v>
      </c>
      <c r="R315" s="568">
        <v>30000</v>
      </c>
      <c r="S315" s="568">
        <v>30000</v>
      </c>
      <c r="T315" s="568">
        <v>0</v>
      </c>
      <c r="U315" s="568"/>
      <c r="V315" s="799">
        <v>0</v>
      </c>
      <c r="W315" s="707" t="s">
        <v>818</v>
      </c>
      <c r="X315" s="896">
        <f>102000+96000+60000</f>
        <v>258000</v>
      </c>
      <c r="Y315" s="982" t="s">
        <v>819</v>
      </c>
      <c r="Z315" s="799"/>
      <c r="AA315" s="799"/>
      <c r="AB315" s="573"/>
      <c r="AC315" s="573"/>
      <c r="AD315" s="573"/>
      <c r="AE315" s="573">
        <v>29855.56</v>
      </c>
      <c r="AF315" s="573">
        <v>13961.51</v>
      </c>
      <c r="AG315" s="573"/>
      <c r="AH315" s="574"/>
      <c r="AI315" s="575">
        <v>0.22705785714285712</v>
      </c>
      <c r="AJ315" s="558" t="s">
        <v>594</v>
      </c>
      <c r="AK315" s="576"/>
      <c r="AL315" s="576"/>
      <c r="AM315" s="983"/>
      <c r="AN315" s="434"/>
      <c r="AO315" s="434"/>
      <c r="AP315" s="434"/>
      <c r="AQ315" s="434"/>
      <c r="AR315" s="434"/>
      <c r="AS315" s="434"/>
      <c r="AT315" s="434"/>
      <c r="AU315" s="434"/>
      <c r="AV315" s="434"/>
      <c r="AW315" s="434"/>
      <c r="AX315" s="434"/>
      <c r="AY315" s="434"/>
      <c r="AZ315" s="434"/>
      <c r="BA315" s="434"/>
      <c r="BB315" s="434"/>
      <c r="BC315" s="434"/>
      <c r="BD315" s="434"/>
      <c r="BE315" s="434"/>
      <c r="BF315" s="434"/>
    </row>
    <row r="316" spans="1:58" s="578" customFormat="1" ht="12.75" customHeight="1">
      <c r="A316" s="559"/>
      <c r="B316" s="762"/>
      <c r="C316" s="580"/>
      <c r="D316" s="705"/>
      <c r="E316" s="898"/>
      <c r="F316" s="899"/>
      <c r="G316" s="900"/>
      <c r="H316" s="901"/>
      <c r="I316" s="901"/>
      <c r="J316" s="902"/>
      <c r="K316" s="903"/>
      <c r="L316" s="767"/>
      <c r="M316" s="569"/>
      <c r="N316" s="569"/>
      <c r="O316" s="767"/>
      <c r="P316" s="569"/>
      <c r="Q316" s="570"/>
      <c r="R316" s="769"/>
      <c r="S316" s="769"/>
      <c r="T316" s="769"/>
      <c r="U316" s="769"/>
      <c r="V316" s="984"/>
      <c r="W316" s="811"/>
      <c r="X316" s="906"/>
      <c r="Y316" s="907"/>
      <c r="Z316" s="984"/>
      <c r="AA316" s="984"/>
      <c r="AB316" s="589"/>
      <c r="AC316" s="667"/>
      <c r="AD316" s="588"/>
      <c r="AE316" s="588"/>
      <c r="AF316" s="589"/>
      <c r="AG316" s="589"/>
      <c r="AH316" s="909"/>
      <c r="AI316" s="590"/>
      <c r="AJ316" s="558"/>
      <c r="AK316" s="576"/>
      <c r="AL316" s="576"/>
      <c r="AM316" s="983"/>
      <c r="AN316" s="434"/>
      <c r="AO316" s="434"/>
      <c r="AP316" s="434"/>
      <c r="AQ316" s="434"/>
      <c r="AR316" s="434"/>
      <c r="AS316" s="434"/>
      <c r="AT316" s="434"/>
      <c r="AU316" s="434"/>
      <c r="AV316" s="434"/>
      <c r="AW316" s="434"/>
      <c r="AX316" s="434"/>
      <c r="AY316" s="434"/>
      <c r="AZ316" s="434"/>
      <c r="BA316" s="434"/>
      <c r="BB316" s="434"/>
      <c r="BC316" s="434"/>
      <c r="BD316" s="434"/>
      <c r="BE316" s="434"/>
      <c r="BF316" s="434"/>
    </row>
    <row r="317" spans="1:58" s="578" customFormat="1" ht="12.75" customHeight="1">
      <c r="A317" s="559"/>
      <c r="B317" s="1274" t="s">
        <v>613</v>
      </c>
      <c r="C317" s="1279"/>
      <c r="D317" s="1279"/>
      <c r="E317" s="1279"/>
      <c r="F317" s="1279"/>
      <c r="G317" s="1279"/>
      <c r="H317" s="1279"/>
      <c r="I317" s="1279"/>
      <c r="J317" s="1279"/>
      <c r="K317" s="1280"/>
      <c r="L317" s="582">
        <v>240000</v>
      </c>
      <c r="M317" s="583">
        <v>-20000</v>
      </c>
      <c r="N317" s="583">
        <v>-4000</v>
      </c>
      <c r="O317" s="582">
        <v>100055</v>
      </c>
      <c r="P317" s="583">
        <v>316055</v>
      </c>
      <c r="Q317" s="756">
        <f>R317+S317+T317+U317</f>
        <v>170000</v>
      </c>
      <c r="R317" s="681">
        <f>R314+R315</f>
        <v>80000</v>
      </c>
      <c r="S317" s="681">
        <f>S314+S315</f>
        <v>90000</v>
      </c>
      <c r="T317" s="681">
        <f>T314+T315</f>
        <v>0</v>
      </c>
      <c r="U317" s="681">
        <f>U314+U315</f>
        <v>0</v>
      </c>
      <c r="V317" s="910">
        <f>V314+V315</f>
        <v>170000</v>
      </c>
      <c r="W317" s="911"/>
      <c r="X317" s="709">
        <f>X314+X315+X316</f>
        <v>658000</v>
      </c>
      <c r="Y317" s="912"/>
      <c r="Z317" s="910">
        <f>Z314+Z315</f>
        <v>0</v>
      </c>
      <c r="AA317" s="910">
        <f>AA314+AA315</f>
        <v>0</v>
      </c>
      <c r="AB317" s="1281"/>
      <c r="AC317" s="1282"/>
      <c r="AD317" s="1283"/>
      <c r="AE317" s="588">
        <v>147977.77</v>
      </c>
      <c r="AF317" s="589">
        <v>17426.5</v>
      </c>
      <c r="AG317" s="1281"/>
      <c r="AH317" s="1283"/>
      <c r="AI317" s="590">
        <v>0.41306503614877166</v>
      </c>
      <c r="AJ317" s="558" t="s">
        <v>594</v>
      </c>
      <c r="AK317" s="576"/>
      <c r="AL317" s="576"/>
      <c r="AM317" s="983"/>
      <c r="AN317" s="434"/>
      <c r="AO317" s="434"/>
      <c r="AP317" s="434"/>
      <c r="AQ317" s="434"/>
      <c r="AR317" s="434"/>
      <c r="AS317" s="434"/>
      <c r="AT317" s="434"/>
      <c r="AU317" s="434"/>
      <c r="AV317" s="434"/>
      <c r="AW317" s="434"/>
      <c r="AX317" s="434"/>
      <c r="AY317" s="434"/>
      <c r="AZ317" s="434"/>
      <c r="BA317" s="434"/>
      <c r="BB317" s="434"/>
      <c r="BC317" s="434"/>
      <c r="BD317" s="434"/>
      <c r="BE317" s="434"/>
      <c r="BF317" s="434"/>
    </row>
    <row r="318" spans="1:58" s="578" customFormat="1" ht="24.75" customHeight="1">
      <c r="A318" s="559"/>
      <c r="B318" s="1274" t="s">
        <v>820</v>
      </c>
      <c r="C318" s="1279"/>
      <c r="D318" s="1279"/>
      <c r="E318" s="1279"/>
      <c r="F318" s="1279"/>
      <c r="G318" s="1279"/>
      <c r="H318" s="1279"/>
      <c r="I318" s="1279"/>
      <c r="J318" s="1279"/>
      <c r="K318" s="1279"/>
      <c r="L318" s="1279"/>
      <c r="M318" s="1279"/>
      <c r="N318" s="1279"/>
      <c r="O318" s="1279"/>
      <c r="P318" s="1279"/>
      <c r="Q318" s="1279"/>
      <c r="R318" s="1279"/>
      <c r="S318" s="1279"/>
      <c r="T318" s="1279"/>
      <c r="U318" s="1279"/>
      <c r="V318" s="1279"/>
      <c r="W318" s="1279"/>
      <c r="X318" s="1279"/>
      <c r="Y318" s="1279"/>
      <c r="Z318" s="1279"/>
      <c r="AA318" s="1279"/>
      <c r="AB318" s="1279"/>
      <c r="AC318" s="1279"/>
      <c r="AD318" s="1279"/>
      <c r="AE318" s="1279"/>
      <c r="AF318" s="1279"/>
      <c r="AG318" s="1279"/>
      <c r="AH318" s="1279"/>
      <c r="AI318" s="1301"/>
      <c r="AJ318" s="558" t="s">
        <v>594</v>
      </c>
      <c r="AK318" s="576"/>
      <c r="AL318" s="576"/>
      <c r="AM318" s="983"/>
      <c r="AN318" s="434"/>
      <c r="AO318" s="434"/>
      <c r="AP318" s="434"/>
      <c r="AQ318" s="434"/>
      <c r="AR318" s="434"/>
      <c r="AS318" s="434"/>
      <c r="AT318" s="434"/>
      <c r="AU318" s="434"/>
      <c r="AV318" s="434"/>
      <c r="AW318" s="434"/>
      <c r="AX318" s="434"/>
      <c r="AY318" s="434"/>
      <c r="AZ318" s="434"/>
      <c r="BA318" s="434"/>
      <c r="BB318" s="434"/>
      <c r="BC318" s="434"/>
      <c r="BD318" s="434"/>
      <c r="BE318" s="434"/>
      <c r="BF318" s="434"/>
    </row>
    <row r="319" spans="1:58" s="578" customFormat="1" ht="12" customHeight="1">
      <c r="A319" s="559"/>
      <c r="B319" s="560" t="s">
        <v>821</v>
      </c>
      <c r="C319" s="561" t="s">
        <v>821</v>
      </c>
      <c r="D319" s="562">
        <v>656560032</v>
      </c>
      <c r="E319" s="563">
        <v>503</v>
      </c>
      <c r="F319" s="564">
        <v>656</v>
      </c>
      <c r="G319" s="668">
        <v>5600020603</v>
      </c>
      <c r="H319" s="566" t="s">
        <v>625</v>
      </c>
      <c r="I319" s="566">
        <v>225</v>
      </c>
      <c r="J319" s="567">
        <v>0</v>
      </c>
      <c r="K319" s="568"/>
      <c r="L319" s="569">
        <v>100000</v>
      </c>
      <c r="M319" s="569">
        <v>1509042</v>
      </c>
      <c r="N319" s="569">
        <v>-504218.47</v>
      </c>
      <c r="O319" s="569">
        <v>0</v>
      </c>
      <c r="P319" s="569">
        <v>1104823.53</v>
      </c>
      <c r="Q319" s="572">
        <f>R319+S319+T319+U319</f>
        <v>30000</v>
      </c>
      <c r="R319" s="568">
        <f>V319-S319-T319</f>
        <v>-42685</v>
      </c>
      <c r="S319" s="568">
        <v>36342.5</v>
      </c>
      <c r="T319" s="568">
        <v>36342.5</v>
      </c>
      <c r="U319" s="568"/>
      <c r="V319" s="799">
        <v>30000</v>
      </c>
      <c r="W319" s="568" t="s">
        <v>822</v>
      </c>
      <c r="X319" s="896">
        <v>49200</v>
      </c>
      <c r="Y319" s="613" t="s">
        <v>823</v>
      </c>
      <c r="Z319" s="568"/>
      <c r="AA319" s="568"/>
      <c r="AB319" s="573"/>
      <c r="AC319" s="573"/>
      <c r="AD319" s="573"/>
      <c r="AE319" s="573">
        <v>468876.92</v>
      </c>
      <c r="AF319" s="573">
        <v>0</v>
      </c>
      <c r="AG319" s="573"/>
      <c r="AH319" s="574"/>
      <c r="AI319" s="575">
        <v>0.4243907803085982</v>
      </c>
      <c r="AJ319" s="558" t="s">
        <v>594</v>
      </c>
      <c r="AK319" s="576"/>
      <c r="AL319" s="576"/>
      <c r="AM319" s="983"/>
      <c r="AN319" s="434"/>
      <c r="AO319" s="434"/>
      <c r="AP319" s="434"/>
      <c r="AQ319" s="434"/>
      <c r="AR319" s="434"/>
      <c r="AS319" s="434"/>
      <c r="AT319" s="434"/>
      <c r="AU319" s="434"/>
      <c r="AV319" s="434"/>
      <c r="AW319" s="434"/>
      <c r="AX319" s="434"/>
      <c r="AY319" s="434"/>
      <c r="AZ319" s="434"/>
      <c r="BA319" s="434"/>
      <c r="BB319" s="434"/>
      <c r="BC319" s="434"/>
      <c r="BD319" s="434"/>
      <c r="BE319" s="434"/>
      <c r="BF319" s="434"/>
    </row>
    <row r="320" spans="1:58" s="578" customFormat="1" ht="10.5" customHeight="1">
      <c r="A320" s="559"/>
      <c r="B320" s="560" t="s">
        <v>821</v>
      </c>
      <c r="C320" s="561" t="s">
        <v>821</v>
      </c>
      <c r="D320" s="562"/>
      <c r="E320" s="563"/>
      <c r="F320" s="564"/>
      <c r="G320" s="668"/>
      <c r="H320" s="566"/>
      <c r="I320" s="566"/>
      <c r="J320" s="567">
        <v>0</v>
      </c>
      <c r="K320" s="568"/>
      <c r="L320" s="569">
        <v>0</v>
      </c>
      <c r="M320" s="569">
        <v>100000</v>
      </c>
      <c r="N320" s="569">
        <v>733095.39</v>
      </c>
      <c r="O320" s="569">
        <v>0</v>
      </c>
      <c r="P320" s="569">
        <v>833095.39</v>
      </c>
      <c r="Q320" s="572"/>
      <c r="R320" s="568"/>
      <c r="S320" s="568"/>
      <c r="T320" s="568"/>
      <c r="U320" s="568"/>
      <c r="V320" s="611"/>
      <c r="W320" s="568"/>
      <c r="X320" s="896"/>
      <c r="Y320" s="613"/>
      <c r="Z320" s="568"/>
      <c r="AA320" s="897"/>
      <c r="AB320" s="573"/>
      <c r="AC320" s="573"/>
      <c r="AD320" s="573"/>
      <c r="AE320" s="573">
        <v>701095.39</v>
      </c>
      <c r="AF320" s="573">
        <v>0</v>
      </c>
      <c r="AG320" s="573"/>
      <c r="AH320" s="574"/>
      <c r="AI320" s="575">
        <v>0.8415547588133935</v>
      </c>
      <c r="AJ320" s="558" t="s">
        <v>594</v>
      </c>
      <c r="AK320" s="576"/>
      <c r="AL320" s="576"/>
      <c r="AM320" s="983"/>
      <c r="AN320" s="434"/>
      <c r="AO320" s="434"/>
      <c r="AP320" s="434"/>
      <c r="AQ320" s="434"/>
      <c r="AR320" s="434"/>
      <c r="AS320" s="434"/>
      <c r="AT320" s="434"/>
      <c r="AU320" s="434"/>
      <c r="AV320" s="434"/>
      <c r="AW320" s="434"/>
      <c r="AX320" s="434"/>
      <c r="AY320" s="434"/>
      <c r="AZ320" s="434"/>
      <c r="BA320" s="434"/>
      <c r="BB320" s="434"/>
      <c r="BC320" s="434"/>
      <c r="BD320" s="434"/>
      <c r="BE320" s="434"/>
      <c r="BF320" s="434"/>
    </row>
    <row r="321" spans="1:58" s="578" customFormat="1" ht="14.25" customHeight="1">
      <c r="A321" s="559"/>
      <c r="B321" s="560" t="s">
        <v>821</v>
      </c>
      <c r="C321" s="561" t="s">
        <v>821</v>
      </c>
      <c r="D321" s="562"/>
      <c r="E321" s="563"/>
      <c r="F321" s="564"/>
      <c r="G321" s="668"/>
      <c r="H321" s="566"/>
      <c r="I321" s="566"/>
      <c r="J321" s="567" t="s">
        <v>152</v>
      </c>
      <c r="K321" s="568"/>
      <c r="L321" s="569">
        <v>0</v>
      </c>
      <c r="M321" s="569">
        <v>0</v>
      </c>
      <c r="N321" s="569">
        <v>11800</v>
      </c>
      <c r="O321" s="569">
        <v>0</v>
      </c>
      <c r="P321" s="569">
        <v>11800</v>
      </c>
      <c r="Q321" s="572"/>
      <c r="R321" s="568"/>
      <c r="S321" s="568"/>
      <c r="T321" s="568"/>
      <c r="U321" s="568"/>
      <c r="V321" s="611"/>
      <c r="W321" s="568"/>
      <c r="X321" s="896"/>
      <c r="Y321" s="613"/>
      <c r="Z321" s="568"/>
      <c r="AA321" s="897"/>
      <c r="AB321" s="573"/>
      <c r="AC321" s="573"/>
      <c r="AD321" s="573"/>
      <c r="AE321" s="573">
        <v>11800</v>
      </c>
      <c r="AF321" s="573">
        <v>0</v>
      </c>
      <c r="AG321" s="573"/>
      <c r="AH321" s="574"/>
      <c r="AI321" s="575">
        <v>1</v>
      </c>
      <c r="AJ321" s="558" t="s">
        <v>594</v>
      </c>
      <c r="AK321" s="576"/>
      <c r="AL321" s="576"/>
      <c r="AM321" s="983"/>
      <c r="AN321" s="434"/>
      <c r="AO321" s="434"/>
      <c r="AP321" s="434"/>
      <c r="AQ321" s="434"/>
      <c r="AR321" s="434"/>
      <c r="AS321" s="434"/>
      <c r="AT321" s="434"/>
      <c r="AU321" s="434"/>
      <c r="AV321" s="434"/>
      <c r="AW321" s="434"/>
      <c r="AX321" s="434"/>
      <c r="AY321" s="434"/>
      <c r="AZ321" s="434"/>
      <c r="BA321" s="434"/>
      <c r="BB321" s="434"/>
      <c r="BC321" s="434"/>
      <c r="BD321" s="434"/>
      <c r="BE321" s="434"/>
      <c r="BF321" s="434"/>
    </row>
    <row r="322" spans="1:58" s="578" customFormat="1" ht="12" customHeight="1">
      <c r="A322" s="559"/>
      <c r="B322" s="1274" t="s">
        <v>613</v>
      </c>
      <c r="C322" s="1279"/>
      <c r="D322" s="1279"/>
      <c r="E322" s="1279"/>
      <c r="F322" s="1279"/>
      <c r="G322" s="1279"/>
      <c r="H322" s="1279"/>
      <c r="I322" s="1279"/>
      <c r="J322" s="1279"/>
      <c r="K322" s="1280"/>
      <c r="L322" s="582">
        <v>100000</v>
      </c>
      <c r="M322" s="583">
        <v>1609042</v>
      </c>
      <c r="N322" s="583">
        <v>240676.92</v>
      </c>
      <c r="O322" s="582">
        <v>0</v>
      </c>
      <c r="P322" s="583">
        <v>1949718.92</v>
      </c>
      <c r="Q322" s="756">
        <f>R322+S322+T322+U322</f>
        <v>30000</v>
      </c>
      <c r="R322" s="568">
        <f>V322-S322-T322</f>
        <v>-42685</v>
      </c>
      <c r="S322" s="568">
        <v>36342.5</v>
      </c>
      <c r="T322" s="568">
        <v>36342.5</v>
      </c>
      <c r="U322" s="568"/>
      <c r="V322" s="681">
        <f>V319</f>
        <v>30000</v>
      </c>
      <c r="W322" s="682"/>
      <c r="X322" s="987">
        <f>X319</f>
        <v>49200</v>
      </c>
      <c r="Y322" s="684"/>
      <c r="Z322" s="681">
        <f>Z319</f>
        <v>0</v>
      </c>
      <c r="AA322" s="681">
        <f>AA319</f>
        <v>0</v>
      </c>
      <c r="AB322" s="1281"/>
      <c r="AC322" s="1282"/>
      <c r="AD322" s="1283"/>
      <c r="AE322" s="588">
        <v>1181772.31</v>
      </c>
      <c r="AF322" s="589">
        <v>0</v>
      </c>
      <c r="AG322" s="1281"/>
      <c r="AH322" s="1283"/>
      <c r="AI322" s="590">
        <v>0.6061244510054814</v>
      </c>
      <c r="AJ322" s="558" t="s">
        <v>594</v>
      </c>
      <c r="AK322" s="576"/>
      <c r="AL322" s="576"/>
      <c r="AM322" s="983"/>
      <c r="AN322" s="434"/>
      <c r="AO322" s="434"/>
      <c r="AP322" s="434"/>
      <c r="AQ322" s="434"/>
      <c r="AR322" s="434"/>
      <c r="AS322" s="434"/>
      <c r="AT322" s="434"/>
      <c r="AU322" s="434"/>
      <c r="AV322" s="434"/>
      <c r="AW322" s="434"/>
      <c r="AX322" s="434"/>
      <c r="AY322" s="434"/>
      <c r="AZ322" s="434"/>
      <c r="BA322" s="434"/>
      <c r="BB322" s="434"/>
      <c r="BC322" s="434"/>
      <c r="BD322" s="434"/>
      <c r="BE322" s="434"/>
      <c r="BF322" s="434"/>
    </row>
    <row r="323" spans="1:58" s="578" customFormat="1" ht="21" customHeight="1" hidden="1">
      <c r="A323" s="559"/>
      <c r="B323" s="1274"/>
      <c r="C323" s="1279"/>
      <c r="D323" s="1279"/>
      <c r="E323" s="1279"/>
      <c r="F323" s="1279"/>
      <c r="G323" s="1279"/>
      <c r="H323" s="1279"/>
      <c r="I323" s="1279"/>
      <c r="J323" s="1279"/>
      <c r="K323" s="1279"/>
      <c r="L323" s="1279"/>
      <c r="M323" s="1279"/>
      <c r="N323" s="1279"/>
      <c r="O323" s="1279"/>
      <c r="P323" s="1279"/>
      <c r="Q323" s="1279"/>
      <c r="R323" s="1279"/>
      <c r="S323" s="1279"/>
      <c r="T323" s="1279"/>
      <c r="U323" s="1279"/>
      <c r="V323" s="1279"/>
      <c r="W323" s="1279"/>
      <c r="X323" s="1279"/>
      <c r="Y323" s="1279"/>
      <c r="Z323" s="1279"/>
      <c r="AA323" s="1279"/>
      <c r="AB323" s="1279"/>
      <c r="AC323" s="1279"/>
      <c r="AD323" s="1279"/>
      <c r="AE323" s="1279"/>
      <c r="AF323" s="1279"/>
      <c r="AG323" s="1279"/>
      <c r="AH323" s="1279"/>
      <c r="AI323" s="1301"/>
      <c r="AJ323" s="558" t="s">
        <v>594</v>
      </c>
      <c r="AK323" s="576"/>
      <c r="AL323" s="576"/>
      <c r="AM323" s="434"/>
      <c r="AN323" s="434"/>
      <c r="AO323" s="434"/>
      <c r="AP323" s="434"/>
      <c r="AQ323" s="434"/>
      <c r="AR323" s="434"/>
      <c r="AS323" s="434"/>
      <c r="AT323" s="434"/>
      <c r="AU323" s="434"/>
      <c r="AV323" s="434"/>
      <c r="AW323" s="434"/>
      <c r="AX323" s="434"/>
      <c r="AY323" s="434"/>
      <c r="AZ323" s="434"/>
      <c r="BA323" s="434"/>
      <c r="BB323" s="434"/>
      <c r="BC323" s="434"/>
      <c r="BD323" s="434"/>
      <c r="BE323" s="434"/>
      <c r="BF323" s="434"/>
    </row>
    <row r="324" spans="1:58" s="578" customFormat="1" ht="9.75" customHeight="1" hidden="1">
      <c r="A324" s="559"/>
      <c r="B324" s="762"/>
      <c r="C324" s="579"/>
      <c r="D324" s="562"/>
      <c r="E324" s="763"/>
      <c r="F324" s="764"/>
      <c r="G324" s="1011"/>
      <c r="H324" s="765"/>
      <c r="I324" s="765"/>
      <c r="J324" s="766"/>
      <c r="K324" s="667"/>
      <c r="L324" s="767"/>
      <c r="M324" s="569"/>
      <c r="N324" s="569"/>
      <c r="O324" s="767"/>
      <c r="P324" s="569"/>
      <c r="Q324" s="570"/>
      <c r="R324" s="568"/>
      <c r="S324" s="568"/>
      <c r="T324" s="568"/>
      <c r="U324" s="568"/>
      <c r="V324" s="768"/>
      <c r="W324" s="769"/>
      <c r="X324" s="770"/>
      <c r="Y324" s="771"/>
      <c r="Z324" s="768"/>
      <c r="AA324" s="768"/>
      <c r="AB324" s="573"/>
      <c r="AC324" s="573"/>
      <c r="AD324" s="573"/>
      <c r="AE324" s="588"/>
      <c r="AF324" s="589"/>
      <c r="AG324" s="573"/>
      <c r="AH324" s="574"/>
      <c r="AI324" s="590"/>
      <c r="AJ324" s="558"/>
      <c r="AK324" s="576"/>
      <c r="AL324" s="576"/>
      <c r="AM324" s="434"/>
      <c r="AN324" s="434"/>
      <c r="AO324" s="434"/>
      <c r="AP324" s="434"/>
      <c r="AQ324" s="434"/>
      <c r="AR324" s="434"/>
      <c r="AS324" s="434"/>
      <c r="AT324" s="434"/>
      <c r="AU324" s="434"/>
      <c r="AV324" s="434"/>
      <c r="AW324" s="434"/>
      <c r="AX324" s="434"/>
      <c r="AY324" s="434"/>
      <c r="AZ324" s="434"/>
      <c r="BA324" s="434"/>
      <c r="BB324" s="434"/>
      <c r="BC324" s="434"/>
      <c r="BD324" s="434"/>
      <c r="BE324" s="434"/>
      <c r="BF324" s="434"/>
    </row>
    <row r="325" spans="1:58" s="578" customFormat="1" ht="9" customHeight="1" hidden="1">
      <c r="A325" s="559"/>
      <c r="B325" s="1274" t="s">
        <v>613</v>
      </c>
      <c r="C325" s="1279"/>
      <c r="D325" s="1279"/>
      <c r="E325" s="1279"/>
      <c r="F325" s="1279"/>
      <c r="G325" s="1279"/>
      <c r="H325" s="1279"/>
      <c r="I325" s="1279"/>
      <c r="J325" s="1279"/>
      <c r="K325" s="1280"/>
      <c r="L325" s="582"/>
      <c r="M325" s="583"/>
      <c r="N325" s="583"/>
      <c r="O325" s="582"/>
      <c r="P325" s="583"/>
      <c r="Q325" s="570"/>
      <c r="R325" s="680"/>
      <c r="S325" s="667"/>
      <c r="T325" s="680"/>
      <c r="U325" s="667"/>
      <c r="V325" s="681">
        <v>0</v>
      </c>
      <c r="W325" s="682"/>
      <c r="X325" s="683"/>
      <c r="Y325" s="684"/>
      <c r="Z325" s="682"/>
      <c r="AA325" s="927"/>
      <c r="AB325" s="1281"/>
      <c r="AC325" s="1282"/>
      <c r="AD325" s="1283"/>
      <c r="AE325" s="588">
        <v>0</v>
      </c>
      <c r="AF325" s="589">
        <v>0</v>
      </c>
      <c r="AG325" s="1281"/>
      <c r="AH325" s="1283"/>
      <c r="AI325" s="590"/>
      <c r="AJ325" s="558" t="s">
        <v>594</v>
      </c>
      <c r="AK325" s="576"/>
      <c r="AL325" s="576"/>
      <c r="AM325" s="434"/>
      <c r="AN325" s="434"/>
      <c r="AO325" s="434"/>
      <c r="AP325" s="434"/>
      <c r="AQ325" s="434"/>
      <c r="AR325" s="434"/>
      <c r="AS325" s="434"/>
      <c r="AT325" s="434"/>
      <c r="AU325" s="434"/>
      <c r="AV325" s="434"/>
      <c r="AW325" s="434"/>
      <c r="AX325" s="434"/>
      <c r="AY325" s="434"/>
      <c r="AZ325" s="434"/>
      <c r="BA325" s="434"/>
      <c r="BB325" s="434"/>
      <c r="BC325" s="434"/>
      <c r="BD325" s="434"/>
      <c r="BE325" s="434"/>
      <c r="BF325" s="434"/>
    </row>
    <row r="326" spans="1:58" s="578" customFormat="1" ht="12.75" customHeight="1" hidden="1">
      <c r="A326" s="559"/>
      <c r="B326" s="1274"/>
      <c r="C326" s="1279"/>
      <c r="D326" s="1279"/>
      <c r="E326" s="1279"/>
      <c r="F326" s="1279"/>
      <c r="G326" s="1279"/>
      <c r="H326" s="1279"/>
      <c r="I326" s="1279"/>
      <c r="J326" s="1279"/>
      <c r="K326" s="1279"/>
      <c r="L326" s="1279"/>
      <c r="M326" s="1279"/>
      <c r="N326" s="1279"/>
      <c r="O326" s="1279"/>
      <c r="P326" s="1279"/>
      <c r="Q326" s="1279"/>
      <c r="R326" s="1279"/>
      <c r="S326" s="1279"/>
      <c r="T326" s="1279"/>
      <c r="U326" s="1279"/>
      <c r="V326" s="1279"/>
      <c r="W326" s="1279"/>
      <c r="X326" s="1279"/>
      <c r="Y326" s="1279"/>
      <c r="Z326" s="1279"/>
      <c r="AA326" s="1279"/>
      <c r="AB326" s="1279"/>
      <c r="AC326" s="1279"/>
      <c r="AD326" s="1279"/>
      <c r="AE326" s="1279"/>
      <c r="AF326" s="1279"/>
      <c r="AG326" s="1279"/>
      <c r="AH326" s="1279"/>
      <c r="AI326" s="1301"/>
      <c r="AJ326" s="558" t="s">
        <v>594</v>
      </c>
      <c r="AK326" s="576"/>
      <c r="AL326" s="576"/>
      <c r="AM326" s="434"/>
      <c r="AN326" s="434"/>
      <c r="AO326" s="434"/>
      <c r="AP326" s="434"/>
      <c r="AQ326" s="434"/>
      <c r="AR326" s="434"/>
      <c r="AS326" s="434"/>
      <c r="AT326" s="434"/>
      <c r="AU326" s="434"/>
      <c r="AV326" s="434"/>
      <c r="AW326" s="434"/>
      <c r="AX326" s="434"/>
      <c r="AY326" s="434"/>
      <c r="AZ326" s="434"/>
      <c r="BA326" s="434"/>
      <c r="BB326" s="434"/>
      <c r="BC326" s="434"/>
      <c r="BD326" s="434"/>
      <c r="BE326" s="434"/>
      <c r="BF326" s="434"/>
    </row>
    <row r="327" spans="1:58" s="578" customFormat="1" ht="12.75" customHeight="1" hidden="1">
      <c r="A327" s="559"/>
      <c r="B327" s="560"/>
      <c r="C327" s="561"/>
      <c r="D327" s="562"/>
      <c r="E327" s="563"/>
      <c r="F327" s="564"/>
      <c r="G327" s="668"/>
      <c r="H327" s="566"/>
      <c r="I327" s="566"/>
      <c r="J327" s="567"/>
      <c r="K327" s="568"/>
      <c r="L327" s="569"/>
      <c r="M327" s="569"/>
      <c r="N327" s="569"/>
      <c r="O327" s="569"/>
      <c r="P327" s="569"/>
      <c r="Q327" s="572"/>
      <c r="R327" s="568"/>
      <c r="S327" s="568"/>
      <c r="T327" s="568"/>
      <c r="U327" s="568"/>
      <c r="V327" s="611"/>
      <c r="W327" s="568"/>
      <c r="X327" s="612"/>
      <c r="Y327" s="613"/>
      <c r="Z327" s="568"/>
      <c r="AA327" s="897"/>
      <c r="AB327" s="573"/>
      <c r="AC327" s="573"/>
      <c r="AD327" s="573"/>
      <c r="AE327" s="573"/>
      <c r="AF327" s="573"/>
      <c r="AG327" s="573"/>
      <c r="AH327" s="574"/>
      <c r="AI327" s="575"/>
      <c r="AJ327" s="558" t="s">
        <v>594</v>
      </c>
      <c r="AK327" s="576"/>
      <c r="AL327" s="576"/>
      <c r="AM327" s="434"/>
      <c r="AN327" s="434"/>
      <c r="AO327" s="434"/>
      <c r="AP327" s="434"/>
      <c r="AQ327" s="434"/>
      <c r="AR327" s="434"/>
      <c r="AS327" s="434"/>
      <c r="AT327" s="434"/>
      <c r="AU327" s="434"/>
      <c r="AV327" s="434"/>
      <c r="AW327" s="434"/>
      <c r="AX327" s="434"/>
      <c r="AY327" s="434"/>
      <c r="AZ327" s="434"/>
      <c r="BA327" s="434"/>
      <c r="BB327" s="434"/>
      <c r="BC327" s="434"/>
      <c r="BD327" s="434"/>
      <c r="BE327" s="434"/>
      <c r="BF327" s="434"/>
    </row>
    <row r="328" spans="1:58" s="578" customFormat="1" ht="15" customHeight="1" hidden="1">
      <c r="A328" s="559"/>
      <c r="B328" s="1274" t="s">
        <v>613</v>
      </c>
      <c r="C328" s="1279"/>
      <c r="D328" s="1279"/>
      <c r="E328" s="1279"/>
      <c r="F328" s="1279"/>
      <c r="G328" s="1279"/>
      <c r="H328" s="1279"/>
      <c r="I328" s="1279"/>
      <c r="J328" s="1279"/>
      <c r="K328" s="1280"/>
      <c r="L328" s="582">
        <v>62480</v>
      </c>
      <c r="M328" s="583">
        <v>0</v>
      </c>
      <c r="N328" s="583">
        <v>-62480</v>
      </c>
      <c r="O328" s="582">
        <v>0</v>
      </c>
      <c r="P328" s="583">
        <v>0</v>
      </c>
      <c r="Q328" s="570"/>
      <c r="R328" s="680"/>
      <c r="S328" s="667"/>
      <c r="T328" s="680"/>
      <c r="U328" s="667"/>
      <c r="V328" s="681">
        <v>0</v>
      </c>
      <c r="W328" s="682"/>
      <c r="X328" s="683"/>
      <c r="Y328" s="684"/>
      <c r="Z328" s="682"/>
      <c r="AA328" s="927"/>
      <c r="AB328" s="1281"/>
      <c r="AC328" s="1282"/>
      <c r="AD328" s="1283"/>
      <c r="AE328" s="588">
        <v>0</v>
      </c>
      <c r="AF328" s="589">
        <v>0</v>
      </c>
      <c r="AG328" s="1281"/>
      <c r="AH328" s="1283"/>
      <c r="AI328" s="590"/>
      <c r="AJ328" s="558" t="s">
        <v>594</v>
      </c>
      <c r="AK328" s="576"/>
      <c r="AL328" s="576"/>
      <c r="AM328" s="434"/>
      <c r="AN328" s="434"/>
      <c r="AO328" s="434"/>
      <c r="AP328" s="434"/>
      <c r="AQ328" s="434"/>
      <c r="AR328" s="434"/>
      <c r="AS328" s="434"/>
      <c r="AT328" s="434"/>
      <c r="AU328" s="434"/>
      <c r="AV328" s="434"/>
      <c r="AW328" s="434"/>
      <c r="AX328" s="434"/>
      <c r="AY328" s="434"/>
      <c r="AZ328" s="434"/>
      <c r="BA328" s="434"/>
      <c r="BB328" s="434"/>
      <c r="BC328" s="434"/>
      <c r="BD328" s="434"/>
      <c r="BE328" s="434"/>
      <c r="BF328" s="434"/>
    </row>
    <row r="329" spans="1:58" s="578" customFormat="1" ht="34.5" customHeight="1">
      <c r="A329" s="559"/>
      <c r="B329" s="1274" t="s">
        <v>824</v>
      </c>
      <c r="C329" s="1279"/>
      <c r="D329" s="1279"/>
      <c r="E329" s="1279"/>
      <c r="F329" s="1279"/>
      <c r="G329" s="1279"/>
      <c r="H329" s="1279"/>
      <c r="I329" s="1279"/>
      <c r="J329" s="1279"/>
      <c r="K329" s="1279"/>
      <c r="L329" s="1279"/>
      <c r="M329" s="1279"/>
      <c r="N329" s="1279"/>
      <c r="O329" s="1279"/>
      <c r="P329" s="1279"/>
      <c r="Q329" s="1279"/>
      <c r="R329" s="1279"/>
      <c r="S329" s="1279"/>
      <c r="T329" s="1279"/>
      <c r="U329" s="1279"/>
      <c r="V329" s="1279"/>
      <c r="W329" s="1279"/>
      <c r="X329" s="1279"/>
      <c r="Y329" s="1279"/>
      <c r="Z329" s="1279"/>
      <c r="AA329" s="1279"/>
      <c r="AB329" s="1279"/>
      <c r="AC329" s="1279"/>
      <c r="AD329" s="1279"/>
      <c r="AE329" s="1279"/>
      <c r="AF329" s="1279"/>
      <c r="AG329" s="1279"/>
      <c r="AH329" s="1279"/>
      <c r="AI329" s="1301"/>
      <c r="AJ329" s="558" t="s">
        <v>594</v>
      </c>
      <c r="AK329" s="576"/>
      <c r="AL329" s="576"/>
      <c r="AM329" s="434"/>
      <c r="AN329" s="434"/>
      <c r="AO329" s="434"/>
      <c r="AP329" s="434"/>
      <c r="AQ329" s="434"/>
      <c r="AR329" s="434"/>
      <c r="AS329" s="434"/>
      <c r="AT329" s="434"/>
      <c r="AU329" s="434"/>
      <c r="AV329" s="434"/>
      <c r="AW329" s="434"/>
      <c r="AX329" s="434"/>
      <c r="AY329" s="434"/>
      <c r="AZ329" s="434"/>
      <c r="BA329" s="434"/>
      <c r="BB329" s="434"/>
      <c r="BC329" s="434"/>
      <c r="BD329" s="434"/>
      <c r="BE329" s="434"/>
      <c r="BF329" s="434"/>
    </row>
    <row r="330" spans="1:58" s="578" customFormat="1" ht="22.5" customHeight="1">
      <c r="A330" s="559"/>
      <c r="B330" s="560" t="s">
        <v>825</v>
      </c>
      <c r="C330" s="561" t="s">
        <v>825</v>
      </c>
      <c r="D330" s="593">
        <v>656590011</v>
      </c>
      <c r="E330" s="793">
        <v>503</v>
      </c>
      <c r="F330" s="794">
        <v>656</v>
      </c>
      <c r="G330" s="956" t="s">
        <v>826</v>
      </c>
      <c r="H330" s="795" t="s">
        <v>625</v>
      </c>
      <c r="I330" s="795">
        <v>225</v>
      </c>
      <c r="J330" s="796">
        <v>0</v>
      </c>
      <c r="K330" s="707"/>
      <c r="L330" s="797">
        <v>0</v>
      </c>
      <c r="M330" s="797">
        <v>100000</v>
      </c>
      <c r="N330" s="797">
        <v>-14850</v>
      </c>
      <c r="O330" s="797">
        <v>0</v>
      </c>
      <c r="P330" s="797">
        <v>85150</v>
      </c>
      <c r="Q330" s="798"/>
      <c r="R330" s="707"/>
      <c r="S330" s="707"/>
      <c r="T330" s="707"/>
      <c r="U330" s="707"/>
      <c r="V330" s="799">
        <v>0</v>
      </c>
      <c r="W330" s="797" t="s">
        <v>827</v>
      </c>
      <c r="X330" s="896">
        <v>533000</v>
      </c>
      <c r="Y330" s="613" t="s">
        <v>828</v>
      </c>
      <c r="Z330" s="568">
        <v>0</v>
      </c>
      <c r="AA330" s="897"/>
      <c r="AB330" s="573"/>
      <c r="AC330" s="573"/>
      <c r="AD330" s="573"/>
      <c r="AE330" s="573">
        <v>83042.25</v>
      </c>
      <c r="AF330" s="573">
        <v>0</v>
      </c>
      <c r="AG330" s="573"/>
      <c r="AH330" s="574"/>
      <c r="AI330" s="575">
        <v>0.9752466236054023</v>
      </c>
      <c r="AJ330" s="558" t="s">
        <v>594</v>
      </c>
      <c r="AK330" s="576"/>
      <c r="AL330" s="576"/>
      <c r="AM330" s="434"/>
      <c r="AN330" s="434"/>
      <c r="AO330" s="434"/>
      <c r="AP330" s="434"/>
      <c r="AQ330" s="434"/>
      <c r="AR330" s="434"/>
      <c r="AS330" s="434"/>
      <c r="AT330" s="434"/>
      <c r="AU330" s="434"/>
      <c r="AV330" s="434"/>
      <c r="AW330" s="434"/>
      <c r="AX330" s="434"/>
      <c r="AY330" s="434"/>
      <c r="AZ330" s="434"/>
      <c r="BA330" s="434"/>
      <c r="BB330" s="434"/>
      <c r="BC330" s="434"/>
      <c r="BD330" s="434"/>
      <c r="BE330" s="434"/>
      <c r="BF330" s="434"/>
    </row>
    <row r="331" spans="1:38" ht="14.25" customHeight="1" thickBot="1">
      <c r="A331" s="557"/>
      <c r="B331" s="1274" t="s">
        <v>613</v>
      </c>
      <c r="C331" s="1279"/>
      <c r="D331" s="1279"/>
      <c r="E331" s="1279"/>
      <c r="F331" s="1279"/>
      <c r="G331" s="1279"/>
      <c r="H331" s="1279"/>
      <c r="I331" s="1279"/>
      <c r="J331" s="1279"/>
      <c r="K331" s="1280"/>
      <c r="L331" s="845">
        <v>0</v>
      </c>
      <c r="M331" s="608">
        <v>100000</v>
      </c>
      <c r="N331" s="608">
        <v>0</v>
      </c>
      <c r="O331" s="845">
        <v>0</v>
      </c>
      <c r="P331" s="608">
        <v>100000</v>
      </c>
      <c r="Q331" s="570"/>
      <c r="R331" s="846"/>
      <c r="S331" s="847"/>
      <c r="T331" s="846"/>
      <c r="U331" s="847"/>
      <c r="V331" s="681">
        <f>V330</f>
        <v>0</v>
      </c>
      <c r="W331" s="682"/>
      <c r="X331" s="709">
        <f>X330</f>
        <v>533000</v>
      </c>
      <c r="Y331" s="684"/>
      <c r="Z331" s="681">
        <f>Z330</f>
        <v>0</v>
      </c>
      <c r="AA331" s="681">
        <f>AA330</f>
        <v>0</v>
      </c>
      <c r="AB331" s="1281"/>
      <c r="AC331" s="1282"/>
      <c r="AD331" s="1283"/>
      <c r="AE331" s="588">
        <v>95085.75</v>
      </c>
      <c r="AF331" s="589">
        <v>0</v>
      </c>
      <c r="AG331" s="1281"/>
      <c r="AH331" s="1283"/>
      <c r="AI331" s="590">
        <v>0.9508575</v>
      </c>
      <c r="AJ331" s="558" t="s">
        <v>594</v>
      </c>
      <c r="AK331" s="426"/>
      <c r="AL331" s="426"/>
    </row>
    <row r="332" spans="1:38" ht="18.75" customHeight="1" hidden="1">
      <c r="A332" s="557"/>
      <c r="B332" s="1274"/>
      <c r="C332" s="1279"/>
      <c r="D332" s="1279"/>
      <c r="E332" s="1279"/>
      <c r="F332" s="1279"/>
      <c r="G332" s="1279"/>
      <c r="H332" s="1279"/>
      <c r="I332" s="1279"/>
      <c r="J332" s="1279"/>
      <c r="K332" s="1279"/>
      <c r="L332" s="1279"/>
      <c r="M332" s="1279"/>
      <c r="N332" s="1279"/>
      <c r="O332" s="1279"/>
      <c r="P332" s="1279"/>
      <c r="Q332" s="1279"/>
      <c r="R332" s="1279"/>
      <c r="S332" s="1279"/>
      <c r="T332" s="1279"/>
      <c r="U332" s="1279"/>
      <c r="V332" s="1279"/>
      <c r="W332" s="1279"/>
      <c r="X332" s="1279"/>
      <c r="Y332" s="1279"/>
      <c r="Z332" s="1279"/>
      <c r="AA332" s="1279"/>
      <c r="AB332" s="1279"/>
      <c r="AC332" s="1279"/>
      <c r="AD332" s="1279"/>
      <c r="AE332" s="1279"/>
      <c r="AF332" s="1279"/>
      <c r="AG332" s="1279"/>
      <c r="AH332" s="1279"/>
      <c r="AI332" s="1301"/>
      <c r="AJ332" s="558" t="s">
        <v>594</v>
      </c>
      <c r="AK332" s="426"/>
      <c r="AL332" s="426"/>
    </row>
    <row r="333" spans="1:38" ht="18.75" customHeight="1" hidden="1">
      <c r="A333" s="557"/>
      <c r="B333" s="560"/>
      <c r="C333" s="561"/>
      <c r="D333" s="562"/>
      <c r="E333" s="563"/>
      <c r="F333" s="564"/>
      <c r="G333" s="668"/>
      <c r="H333" s="566"/>
      <c r="I333" s="566"/>
      <c r="J333" s="567"/>
      <c r="K333" s="568"/>
      <c r="L333" s="607"/>
      <c r="M333" s="607"/>
      <c r="N333" s="607"/>
      <c r="O333" s="607"/>
      <c r="P333" s="607"/>
      <c r="Q333" s="572"/>
      <c r="R333" s="919"/>
      <c r="S333" s="919"/>
      <c r="T333" s="919"/>
      <c r="U333" s="919"/>
      <c r="V333" s="611"/>
      <c r="W333" s="568"/>
      <c r="X333" s="612"/>
      <c r="Y333" s="613"/>
      <c r="Z333" s="568"/>
      <c r="AA333" s="897"/>
      <c r="AB333" s="573"/>
      <c r="AC333" s="573"/>
      <c r="AD333" s="573"/>
      <c r="AE333" s="573"/>
      <c r="AF333" s="573"/>
      <c r="AG333" s="573"/>
      <c r="AH333" s="574"/>
      <c r="AI333" s="575"/>
      <c r="AJ333" s="558" t="s">
        <v>594</v>
      </c>
      <c r="AK333" s="426"/>
      <c r="AL333" s="426"/>
    </row>
    <row r="334" spans="1:38" ht="18.75" customHeight="1" hidden="1">
      <c r="A334" s="557"/>
      <c r="B334" s="1274" t="s">
        <v>613</v>
      </c>
      <c r="C334" s="1279"/>
      <c r="D334" s="1302"/>
      <c r="E334" s="1302"/>
      <c r="F334" s="1302"/>
      <c r="G334" s="1302"/>
      <c r="H334" s="1302"/>
      <c r="I334" s="1302"/>
      <c r="J334" s="1302"/>
      <c r="K334" s="1303"/>
      <c r="L334" s="947">
        <v>0</v>
      </c>
      <c r="M334" s="948">
        <v>400000</v>
      </c>
      <c r="N334" s="948">
        <v>500000</v>
      </c>
      <c r="O334" s="947">
        <v>0</v>
      </c>
      <c r="P334" s="948">
        <v>900000</v>
      </c>
      <c r="Q334" s="826"/>
      <c r="R334" s="949"/>
      <c r="S334" s="950"/>
      <c r="T334" s="949"/>
      <c r="U334" s="950"/>
      <c r="V334" s="817"/>
      <c r="W334" s="831"/>
      <c r="X334" s="951"/>
      <c r="Y334" s="833"/>
      <c r="Z334" s="831"/>
      <c r="AA334" s="952"/>
      <c r="AB334" s="1281"/>
      <c r="AC334" s="1282"/>
      <c r="AD334" s="1283"/>
      <c r="AE334" s="588">
        <v>900000</v>
      </c>
      <c r="AF334" s="589">
        <v>0</v>
      </c>
      <c r="AG334" s="1281"/>
      <c r="AH334" s="1283"/>
      <c r="AI334" s="590">
        <v>1</v>
      </c>
      <c r="AJ334" s="558" t="s">
        <v>594</v>
      </c>
      <c r="AK334" s="426"/>
      <c r="AL334" s="426"/>
    </row>
    <row r="335" spans="1:39" ht="18.75" customHeight="1" thickBot="1">
      <c r="A335" s="557"/>
      <c r="B335" s="579"/>
      <c r="C335" s="580"/>
      <c r="D335" s="1304" t="s">
        <v>829</v>
      </c>
      <c r="E335" s="1305"/>
      <c r="F335" s="1305"/>
      <c r="G335" s="1305"/>
      <c r="H335" s="1305"/>
      <c r="I335" s="1305"/>
      <c r="J335" s="1305"/>
      <c r="K335" s="1305"/>
      <c r="L335" s="1305"/>
      <c r="M335" s="1305"/>
      <c r="N335" s="1305"/>
      <c r="O335" s="1305"/>
      <c r="P335" s="1305"/>
      <c r="Q335" s="1305"/>
      <c r="R335" s="1305"/>
      <c r="S335" s="1305"/>
      <c r="T335" s="1305"/>
      <c r="U335" s="1305"/>
      <c r="V335" s="1305"/>
      <c r="W335" s="1305"/>
      <c r="X335" s="1305"/>
      <c r="Y335" s="1305"/>
      <c r="Z335" s="1305"/>
      <c r="AA335" s="1306"/>
      <c r="AB335" s="587"/>
      <c r="AC335" s="587"/>
      <c r="AD335" s="587"/>
      <c r="AE335" s="667"/>
      <c r="AF335" s="667"/>
      <c r="AG335" s="587"/>
      <c r="AH335" s="587"/>
      <c r="AI335" s="590"/>
      <c r="AJ335" s="558"/>
      <c r="AK335" s="426"/>
      <c r="AL335" s="426"/>
      <c r="AM335" s="577">
        <f>AM338-3111653</f>
        <v>-259653</v>
      </c>
    </row>
    <row r="336" spans="1:38" ht="12.75" customHeight="1">
      <c r="A336" s="557"/>
      <c r="B336" s="579"/>
      <c r="C336" s="580"/>
      <c r="D336" s="1290" t="s">
        <v>830</v>
      </c>
      <c r="E336" s="1290"/>
      <c r="F336" s="1290"/>
      <c r="G336" s="1290"/>
      <c r="H336" s="1290"/>
      <c r="I336" s="1290"/>
      <c r="J336" s="1290"/>
      <c r="K336" s="1290"/>
      <c r="L336" s="1290"/>
      <c r="M336" s="1290"/>
      <c r="N336" s="1290"/>
      <c r="O336" s="1290"/>
      <c r="P336" s="1290"/>
      <c r="Q336" s="1290"/>
      <c r="R336" s="1290"/>
      <c r="S336" s="1290"/>
      <c r="T336" s="1290"/>
      <c r="U336" s="1290"/>
      <c r="V336" s="1290"/>
      <c r="W336" s="1290"/>
      <c r="X336" s="1290"/>
      <c r="Y336" s="1290"/>
      <c r="Z336" s="1290"/>
      <c r="AA336" s="1290"/>
      <c r="AB336" s="587"/>
      <c r="AC336" s="587"/>
      <c r="AD336" s="587"/>
      <c r="AE336" s="667"/>
      <c r="AF336" s="667"/>
      <c r="AG336" s="587"/>
      <c r="AH336" s="587"/>
      <c r="AI336" s="590"/>
      <c r="AJ336" s="558"/>
      <c r="AK336" s="426"/>
      <c r="AL336" s="426"/>
    </row>
    <row r="337" spans="1:40" ht="12.75" customHeight="1">
      <c r="A337" s="557"/>
      <c r="B337" s="1274" t="s">
        <v>831</v>
      </c>
      <c r="C337" s="1279"/>
      <c r="D337" s="1285"/>
      <c r="E337" s="1285"/>
      <c r="F337" s="1285"/>
      <c r="G337" s="1285"/>
      <c r="H337" s="1285"/>
      <c r="I337" s="1285"/>
      <c r="J337" s="1285"/>
      <c r="K337" s="1285"/>
      <c r="L337" s="1285"/>
      <c r="M337" s="1285"/>
      <c r="N337" s="1285"/>
      <c r="O337" s="1285"/>
      <c r="P337" s="1285"/>
      <c r="Q337" s="1285"/>
      <c r="R337" s="1285"/>
      <c r="S337" s="1285"/>
      <c r="T337" s="1285"/>
      <c r="U337" s="1285"/>
      <c r="V337" s="1285"/>
      <c r="W337" s="1285"/>
      <c r="X337" s="1285"/>
      <c r="Y337" s="1285"/>
      <c r="Z337" s="1285"/>
      <c r="AA337" s="1285"/>
      <c r="AB337" s="1279"/>
      <c r="AC337" s="1279"/>
      <c r="AD337" s="1279"/>
      <c r="AE337" s="1279"/>
      <c r="AF337" s="1279"/>
      <c r="AG337" s="1279"/>
      <c r="AH337" s="1279"/>
      <c r="AI337" s="1301"/>
      <c r="AJ337" s="558" t="s">
        <v>594</v>
      </c>
      <c r="AK337" s="426"/>
      <c r="AL337" s="426"/>
      <c r="AM337" s="434" t="s">
        <v>832</v>
      </c>
      <c r="AN337" s="434" t="s">
        <v>833</v>
      </c>
    </row>
    <row r="338" spans="1:58" s="578" customFormat="1" ht="12.75" customHeight="1">
      <c r="A338" s="559"/>
      <c r="B338" s="560" t="s">
        <v>831</v>
      </c>
      <c r="C338" s="561" t="s">
        <v>831</v>
      </c>
      <c r="D338" s="562">
        <v>656530011</v>
      </c>
      <c r="E338" s="563">
        <v>801</v>
      </c>
      <c r="F338" s="564">
        <v>656</v>
      </c>
      <c r="G338" s="668">
        <v>5300000590</v>
      </c>
      <c r="H338" s="566" t="s">
        <v>652</v>
      </c>
      <c r="I338" s="566">
        <v>211</v>
      </c>
      <c r="J338" s="567"/>
      <c r="K338" s="568"/>
      <c r="L338" s="569">
        <v>628000</v>
      </c>
      <c r="M338" s="569">
        <v>896000</v>
      </c>
      <c r="N338" s="569">
        <v>877700</v>
      </c>
      <c r="O338" s="569">
        <v>373000</v>
      </c>
      <c r="P338" s="569">
        <v>2774700</v>
      </c>
      <c r="Q338" s="572">
        <f>R338+S338+T338+U338</f>
        <v>2599000</v>
      </c>
      <c r="R338" s="569">
        <v>800000</v>
      </c>
      <c r="S338" s="569">
        <v>599000</v>
      </c>
      <c r="T338" s="569">
        <v>700000</v>
      </c>
      <c r="U338" s="569">
        <v>500000</v>
      </c>
      <c r="V338" s="799">
        <f>3240000-718000-V340</f>
        <v>2522000</v>
      </c>
      <c r="W338" s="568" t="s">
        <v>834</v>
      </c>
      <c r="X338" s="896"/>
      <c r="Y338" s="613">
        <f>V338+V339+V390</f>
        <v>2802500</v>
      </c>
      <c r="Z338" s="799">
        <f>3240000-718000-Z340</f>
        <v>2522000</v>
      </c>
      <c r="AA338" s="799">
        <f>3240000-718000-AA340</f>
        <v>2522000</v>
      </c>
      <c r="AB338" s="573"/>
      <c r="AC338" s="573"/>
      <c r="AD338" s="573"/>
      <c r="AE338" s="573">
        <v>2276384.1</v>
      </c>
      <c r="AF338" s="573">
        <v>0</v>
      </c>
      <c r="AG338" s="573"/>
      <c r="AH338" s="574"/>
      <c r="AI338" s="575">
        <v>0.8204072872742998</v>
      </c>
      <c r="AJ338" s="558" t="s">
        <v>594</v>
      </c>
      <c r="AK338" s="576"/>
      <c r="AL338" s="576"/>
      <c r="AM338" s="1012">
        <f>Z338+Z339+Z390</f>
        <v>2852000</v>
      </c>
      <c r="AN338" s="578" t="s">
        <v>835</v>
      </c>
      <c r="AP338" s="434"/>
      <c r="AQ338" s="434"/>
      <c r="AR338" s="434"/>
      <c r="AS338" s="434"/>
      <c r="AT338" s="434"/>
      <c r="AU338" s="434"/>
      <c r="AV338" s="434"/>
      <c r="AW338" s="434"/>
      <c r="AX338" s="434"/>
      <c r="AY338" s="434"/>
      <c r="AZ338" s="434"/>
      <c r="BA338" s="434"/>
      <c r="BB338" s="434"/>
      <c r="BC338" s="434"/>
      <c r="BD338" s="434"/>
      <c r="BE338" s="434"/>
      <c r="BF338" s="434"/>
    </row>
    <row r="339" spans="1:58" s="578" customFormat="1" ht="12.75" customHeight="1">
      <c r="A339" s="559"/>
      <c r="B339" s="560" t="s">
        <v>831</v>
      </c>
      <c r="C339" s="561" t="s">
        <v>831</v>
      </c>
      <c r="D339" s="562">
        <v>656530011</v>
      </c>
      <c r="E339" s="563">
        <v>801</v>
      </c>
      <c r="F339" s="564">
        <v>656</v>
      </c>
      <c r="G339" s="668">
        <v>5300082440</v>
      </c>
      <c r="H339" s="566" t="s">
        <v>652</v>
      </c>
      <c r="I339" s="566">
        <v>211</v>
      </c>
      <c r="J339" s="567">
        <v>0</v>
      </c>
      <c r="K339" s="568"/>
      <c r="L339" s="569">
        <v>628000</v>
      </c>
      <c r="M339" s="569">
        <v>896000</v>
      </c>
      <c r="N339" s="569">
        <v>877700</v>
      </c>
      <c r="O339" s="569">
        <v>373000</v>
      </c>
      <c r="P339" s="569">
        <v>2774700</v>
      </c>
      <c r="Q339" s="572">
        <f>R339+S339+T339+U339</f>
        <v>2599000</v>
      </c>
      <c r="R339" s="569">
        <v>800000</v>
      </c>
      <c r="S339" s="569">
        <v>599000</v>
      </c>
      <c r="T339" s="569">
        <v>700000</v>
      </c>
      <c r="U339" s="569">
        <v>500000</v>
      </c>
      <c r="V339" s="799"/>
      <c r="W339" s="568" t="s">
        <v>836</v>
      </c>
      <c r="X339" s="896"/>
      <c r="Y339" s="612">
        <v>718000</v>
      </c>
      <c r="Z339" s="799"/>
      <c r="AA339" s="799"/>
      <c r="AB339" s="573"/>
      <c r="AC339" s="573"/>
      <c r="AD339" s="573"/>
      <c r="AE339" s="573">
        <v>2276384.1</v>
      </c>
      <c r="AF339" s="573">
        <v>0</v>
      </c>
      <c r="AG339" s="573"/>
      <c r="AH339" s="574"/>
      <c r="AI339" s="575">
        <v>0.8204072872742998</v>
      </c>
      <c r="AJ339" s="558" t="s">
        <v>594</v>
      </c>
      <c r="AK339" s="576"/>
      <c r="AL339" s="576"/>
      <c r="AM339" s="1012">
        <f>Z341+Z391</f>
        <v>441974</v>
      </c>
      <c r="AN339" s="578" t="s">
        <v>837</v>
      </c>
      <c r="AP339" s="434"/>
      <c r="AQ339" s="434"/>
      <c r="AR339" s="434"/>
      <c r="AS339" s="434"/>
      <c r="AT339" s="434"/>
      <c r="AU339" s="434"/>
      <c r="AV339" s="434"/>
      <c r="AW339" s="434"/>
      <c r="AX339" s="434"/>
      <c r="AY339" s="434"/>
      <c r="AZ339" s="434"/>
      <c r="BA339" s="434"/>
      <c r="BB339" s="434"/>
      <c r="BC339" s="434"/>
      <c r="BD339" s="434"/>
      <c r="BE339" s="434"/>
      <c r="BF339" s="434"/>
    </row>
    <row r="340" spans="1:58" s="578" customFormat="1" ht="12.75" customHeight="1">
      <c r="A340" s="559"/>
      <c r="B340" s="560" t="s">
        <v>831</v>
      </c>
      <c r="C340" s="561" t="s">
        <v>831</v>
      </c>
      <c r="D340" s="1013">
        <v>656530011</v>
      </c>
      <c r="E340" s="1014">
        <v>801</v>
      </c>
      <c r="F340" s="1015">
        <v>656</v>
      </c>
      <c r="G340" s="1016" t="s">
        <v>838</v>
      </c>
      <c r="H340" s="1017" t="s">
        <v>652</v>
      </c>
      <c r="I340" s="1017">
        <v>211</v>
      </c>
      <c r="J340" s="942">
        <v>0</v>
      </c>
      <c r="K340" s="943"/>
      <c r="L340" s="757">
        <v>628000</v>
      </c>
      <c r="M340" s="757">
        <v>896000</v>
      </c>
      <c r="N340" s="757">
        <v>877700</v>
      </c>
      <c r="O340" s="757">
        <v>373000</v>
      </c>
      <c r="P340" s="757">
        <v>2774700</v>
      </c>
      <c r="Q340" s="703">
        <f>R340+S340+T340+U340</f>
        <v>2599000</v>
      </c>
      <c r="R340" s="757">
        <v>800000</v>
      </c>
      <c r="S340" s="757">
        <v>599000</v>
      </c>
      <c r="T340" s="757">
        <v>700000</v>
      </c>
      <c r="U340" s="757">
        <v>500000</v>
      </c>
      <c r="V340" s="944"/>
      <c r="W340" s="943" t="s">
        <v>839</v>
      </c>
      <c r="X340" s="896"/>
      <c r="Y340" s="613"/>
      <c r="Z340" s="944"/>
      <c r="AA340" s="944"/>
      <c r="AB340" s="573"/>
      <c r="AC340" s="573"/>
      <c r="AD340" s="573"/>
      <c r="AE340" s="573">
        <v>2276384.1</v>
      </c>
      <c r="AF340" s="573">
        <v>0</v>
      </c>
      <c r="AG340" s="573"/>
      <c r="AH340" s="574"/>
      <c r="AI340" s="575">
        <v>0.8204072872742998</v>
      </c>
      <c r="AJ340" s="558" t="s">
        <v>594</v>
      </c>
      <c r="AK340" s="576"/>
      <c r="AL340" s="576"/>
      <c r="AP340" s="434"/>
      <c r="AQ340" s="434"/>
      <c r="AR340" s="434"/>
      <c r="AS340" s="434"/>
      <c r="AT340" s="434"/>
      <c r="AU340" s="434"/>
      <c r="AV340" s="434"/>
      <c r="AW340" s="434"/>
      <c r="AX340" s="434"/>
      <c r="AY340" s="434"/>
      <c r="AZ340" s="434"/>
      <c r="BA340" s="434"/>
      <c r="BB340" s="434"/>
      <c r="BC340" s="434"/>
      <c r="BD340" s="434"/>
      <c r="BE340" s="434"/>
      <c r="BF340" s="434"/>
    </row>
    <row r="341" spans="1:58" s="578" customFormat="1" ht="12.75" customHeight="1">
      <c r="A341" s="559"/>
      <c r="B341" s="560" t="s">
        <v>831</v>
      </c>
      <c r="C341" s="561" t="s">
        <v>831</v>
      </c>
      <c r="D341" s="562">
        <v>656530011</v>
      </c>
      <c r="E341" s="563">
        <v>801</v>
      </c>
      <c r="F341" s="564">
        <v>656</v>
      </c>
      <c r="G341" s="668">
        <v>5300000590</v>
      </c>
      <c r="H341" s="566">
        <v>119</v>
      </c>
      <c r="I341" s="566">
        <v>213</v>
      </c>
      <c r="J341" s="567">
        <v>0</v>
      </c>
      <c r="K341" s="568"/>
      <c r="L341" s="569">
        <v>190000</v>
      </c>
      <c r="M341" s="569">
        <v>271000</v>
      </c>
      <c r="N341" s="569">
        <v>248000</v>
      </c>
      <c r="O341" s="569">
        <v>113000</v>
      </c>
      <c r="P341" s="569">
        <v>822000</v>
      </c>
      <c r="Q341" s="572">
        <f>R341+S341+T341+U341</f>
        <v>823960</v>
      </c>
      <c r="R341" s="569">
        <f>R338*30.2%</f>
        <v>241600</v>
      </c>
      <c r="S341" s="569">
        <f>S338*30.2%</f>
        <v>180898</v>
      </c>
      <c r="T341" s="569">
        <f>T338*30.2%</f>
        <v>211400</v>
      </c>
      <c r="U341" s="569">
        <f>U338*30.2%+39062</f>
        <v>190062</v>
      </c>
      <c r="V341" s="799">
        <f>725500-443186+60000</f>
        <v>342314</v>
      </c>
      <c r="W341" s="568"/>
      <c r="X341" s="896">
        <v>419330</v>
      </c>
      <c r="Y341" s="612">
        <v>420000</v>
      </c>
      <c r="Z341" s="799">
        <f>725500-443186+60000</f>
        <v>342314</v>
      </c>
      <c r="AA341" s="799">
        <f>725500-443186+60000</f>
        <v>342314</v>
      </c>
      <c r="AB341" s="573"/>
      <c r="AC341" s="573"/>
      <c r="AD341" s="573"/>
      <c r="AE341" s="573">
        <v>690155.25</v>
      </c>
      <c r="AF341" s="573">
        <v>0</v>
      </c>
      <c r="AG341" s="573"/>
      <c r="AH341" s="574"/>
      <c r="AI341" s="575">
        <v>0.8396049270072994</v>
      </c>
      <c r="AJ341" s="558" t="s">
        <v>594</v>
      </c>
      <c r="AK341" s="576"/>
      <c r="AL341" s="576"/>
      <c r="AM341" s="578" t="s">
        <v>840</v>
      </c>
      <c r="AN341" s="1012">
        <f>3111653-V338-V339-V340-V390</f>
        <v>309153</v>
      </c>
      <c r="AP341" s="434"/>
      <c r="AQ341" s="434"/>
      <c r="AR341" s="434"/>
      <c r="AS341" s="434"/>
      <c r="AT341" s="434"/>
      <c r="AU341" s="434"/>
      <c r="AV341" s="434"/>
      <c r="AW341" s="434"/>
      <c r="AX341" s="434"/>
      <c r="AY341" s="434"/>
      <c r="AZ341" s="434"/>
      <c r="BA341" s="434"/>
      <c r="BB341" s="434"/>
      <c r="BC341" s="434"/>
      <c r="BD341" s="434"/>
      <c r="BE341" s="434"/>
      <c r="BF341" s="434"/>
    </row>
    <row r="342" spans="1:58" s="578" customFormat="1" ht="12.75" customHeight="1">
      <c r="A342" s="559"/>
      <c r="B342" s="1274" t="s">
        <v>613</v>
      </c>
      <c r="C342" s="1279"/>
      <c r="D342" s="1279"/>
      <c r="E342" s="1279"/>
      <c r="F342" s="1279"/>
      <c r="G342" s="1279"/>
      <c r="H342" s="1279"/>
      <c r="I342" s="1279"/>
      <c r="J342" s="1279"/>
      <c r="K342" s="1280"/>
      <c r="L342" s="582">
        <v>818000</v>
      </c>
      <c r="M342" s="583">
        <v>1167000</v>
      </c>
      <c r="N342" s="583">
        <v>1125700</v>
      </c>
      <c r="O342" s="582">
        <v>486000</v>
      </c>
      <c r="P342" s="583">
        <v>3596700</v>
      </c>
      <c r="Q342" s="756">
        <f>R342+S342+T342+U342</f>
        <v>3422960</v>
      </c>
      <c r="R342" s="681">
        <f>R338+R341</f>
        <v>1041600</v>
      </c>
      <c r="S342" s="681">
        <f>S338+S341</f>
        <v>779898</v>
      </c>
      <c r="T342" s="681">
        <f>T338+T341</f>
        <v>911400</v>
      </c>
      <c r="U342" s="681">
        <f>U338+U341</f>
        <v>690062</v>
      </c>
      <c r="V342" s="681">
        <f>SUM(V338:V341)</f>
        <v>2864314</v>
      </c>
      <c r="W342" s="682">
        <v>3240000</v>
      </c>
      <c r="X342" s="987">
        <f>SUM(X338:X341)</f>
        <v>419330</v>
      </c>
      <c r="Y342" s="684">
        <f>W342-V338-V340</f>
        <v>718000</v>
      </c>
      <c r="Z342" s="681">
        <f>SUM(Z338:Z341)</f>
        <v>2864314</v>
      </c>
      <c r="AA342" s="681">
        <f>SUM(AA338:AA341)</f>
        <v>2864314</v>
      </c>
      <c r="AB342" s="1281"/>
      <c r="AC342" s="1282"/>
      <c r="AD342" s="1283"/>
      <c r="AE342" s="588">
        <v>2966539.35</v>
      </c>
      <c r="AF342" s="589">
        <v>0</v>
      </c>
      <c r="AG342" s="1281"/>
      <c r="AH342" s="1283"/>
      <c r="AI342" s="590">
        <v>0.8247947702060221</v>
      </c>
      <c r="AJ342" s="558" t="s">
        <v>594</v>
      </c>
      <c r="AK342" s="576"/>
      <c r="AL342" s="576"/>
      <c r="AM342" s="577">
        <f>V338+V339+V340+V390</f>
        <v>2802500</v>
      </c>
      <c r="AN342" s="434"/>
      <c r="AO342" s="434"/>
      <c r="AP342" s="434"/>
      <c r="AQ342" s="434"/>
      <c r="AR342" s="434"/>
      <c r="AS342" s="434"/>
      <c r="AT342" s="434"/>
      <c r="AU342" s="434"/>
      <c r="AV342" s="434"/>
      <c r="AW342" s="434"/>
      <c r="AX342" s="434"/>
      <c r="AY342" s="434"/>
      <c r="AZ342" s="434"/>
      <c r="BA342" s="434"/>
      <c r="BB342" s="434"/>
      <c r="BC342" s="434"/>
      <c r="BD342" s="434"/>
      <c r="BE342" s="434"/>
      <c r="BF342" s="434"/>
    </row>
    <row r="343" spans="1:58" s="578" customFormat="1" ht="12.75" customHeight="1">
      <c r="A343" s="559"/>
      <c r="B343" s="1274" t="s">
        <v>841</v>
      </c>
      <c r="C343" s="1279"/>
      <c r="D343" s="1279"/>
      <c r="E343" s="1279"/>
      <c r="F343" s="1279"/>
      <c r="G343" s="1279"/>
      <c r="H343" s="1279"/>
      <c r="I343" s="1279"/>
      <c r="J343" s="1279"/>
      <c r="K343" s="1279"/>
      <c r="L343" s="1279"/>
      <c r="M343" s="1279"/>
      <c r="N343" s="1279"/>
      <c r="O343" s="1279"/>
      <c r="P343" s="1279"/>
      <c r="Q343" s="1279"/>
      <c r="R343" s="1279"/>
      <c r="S343" s="1279"/>
      <c r="T343" s="1279"/>
      <c r="U343" s="1279"/>
      <c r="V343" s="1279"/>
      <c r="W343" s="1279"/>
      <c r="X343" s="1279"/>
      <c r="Y343" s="1279"/>
      <c r="Z343" s="1279"/>
      <c r="AA343" s="1279"/>
      <c r="AB343" s="1279"/>
      <c r="AC343" s="1279"/>
      <c r="AD343" s="1279"/>
      <c r="AE343" s="1279"/>
      <c r="AF343" s="1279"/>
      <c r="AG343" s="1279"/>
      <c r="AH343" s="1279"/>
      <c r="AI343" s="1301"/>
      <c r="AJ343" s="558" t="s">
        <v>594</v>
      </c>
      <c r="AK343" s="576"/>
      <c r="AL343" s="576"/>
      <c r="AM343" s="577">
        <f>V341+V391</f>
        <v>417025</v>
      </c>
      <c r="AN343" s="434"/>
      <c r="AO343" s="434"/>
      <c r="AP343" s="434"/>
      <c r="AQ343" s="434"/>
      <c r="AR343" s="434"/>
      <c r="AS343" s="434"/>
      <c r="AT343" s="434"/>
      <c r="AU343" s="434"/>
      <c r="AV343" s="434"/>
      <c r="AW343" s="434"/>
      <c r="AX343" s="434"/>
      <c r="AY343" s="434"/>
      <c r="AZ343" s="434"/>
      <c r="BA343" s="434"/>
      <c r="BB343" s="434"/>
      <c r="BC343" s="434"/>
      <c r="BD343" s="434"/>
      <c r="BE343" s="434"/>
      <c r="BF343" s="434"/>
    </row>
    <row r="344" spans="1:58" s="578" customFormat="1" ht="12.75" customHeight="1">
      <c r="A344" s="559"/>
      <c r="B344" s="560" t="s">
        <v>841</v>
      </c>
      <c r="C344" s="561" t="s">
        <v>841</v>
      </c>
      <c r="D344" s="562">
        <v>656530012</v>
      </c>
      <c r="E344" s="563">
        <v>801</v>
      </c>
      <c r="F344" s="564">
        <v>656</v>
      </c>
      <c r="G344" s="668">
        <v>5300000590</v>
      </c>
      <c r="H344" s="566" t="s">
        <v>647</v>
      </c>
      <c r="I344" s="566">
        <v>212</v>
      </c>
      <c r="J344" s="567">
        <v>0</v>
      </c>
      <c r="K344" s="568"/>
      <c r="L344" s="569">
        <v>50000</v>
      </c>
      <c r="M344" s="569">
        <v>50000</v>
      </c>
      <c r="N344" s="569">
        <v>50000</v>
      </c>
      <c r="O344" s="569">
        <v>0</v>
      </c>
      <c r="P344" s="569">
        <v>150000</v>
      </c>
      <c r="Q344" s="572">
        <f>R344+S344+T344+U344</f>
        <v>60000</v>
      </c>
      <c r="R344" s="568"/>
      <c r="S344" s="568">
        <v>30000</v>
      </c>
      <c r="T344" s="568">
        <v>30000</v>
      </c>
      <c r="U344" s="568">
        <v>0</v>
      </c>
      <c r="V344" s="611">
        <v>30000</v>
      </c>
      <c r="W344" s="568"/>
      <c r="X344" s="896">
        <v>170000</v>
      </c>
      <c r="Y344" s="613"/>
      <c r="Z344" s="613"/>
      <c r="AA344" s="611"/>
      <c r="AB344" s="573"/>
      <c r="AC344" s="573"/>
      <c r="AD344" s="573"/>
      <c r="AE344" s="573">
        <v>24440.3</v>
      </c>
      <c r="AF344" s="573">
        <v>0</v>
      </c>
      <c r="AG344" s="573"/>
      <c r="AH344" s="574"/>
      <c r="AI344" s="575">
        <v>0.16293533333333332</v>
      </c>
      <c r="AJ344" s="558" t="s">
        <v>594</v>
      </c>
      <c r="AK344" s="576"/>
      <c r="AL344" s="576"/>
      <c r="AM344" s="434"/>
      <c r="AN344" s="434"/>
      <c r="AO344" s="434"/>
      <c r="AP344" s="434"/>
      <c r="AQ344" s="434"/>
      <c r="AR344" s="434"/>
      <c r="AS344" s="434"/>
      <c r="AT344" s="434"/>
      <c r="AU344" s="434"/>
      <c r="AV344" s="434"/>
      <c r="AW344" s="434"/>
      <c r="AX344" s="434"/>
      <c r="AY344" s="434"/>
      <c r="AZ344" s="434"/>
      <c r="BA344" s="434"/>
      <c r="BB344" s="434"/>
      <c r="BC344" s="434"/>
      <c r="BD344" s="434"/>
      <c r="BE344" s="434"/>
      <c r="BF344" s="434"/>
    </row>
    <row r="345" spans="1:58" s="578" customFormat="1" ht="12.75" customHeight="1">
      <c r="A345" s="559"/>
      <c r="B345" s="1274" t="s">
        <v>613</v>
      </c>
      <c r="C345" s="1279"/>
      <c r="D345" s="1279"/>
      <c r="E345" s="1279"/>
      <c r="F345" s="1279"/>
      <c r="G345" s="1279"/>
      <c r="H345" s="1279"/>
      <c r="I345" s="1279"/>
      <c r="J345" s="1279"/>
      <c r="K345" s="1280"/>
      <c r="L345" s="582">
        <v>50000</v>
      </c>
      <c r="M345" s="583">
        <v>50000</v>
      </c>
      <c r="N345" s="583">
        <v>50000</v>
      </c>
      <c r="O345" s="582">
        <v>0</v>
      </c>
      <c r="P345" s="583">
        <v>150000</v>
      </c>
      <c r="Q345" s="756">
        <f>R345+S345+T345+U345</f>
        <v>60000</v>
      </c>
      <c r="R345" s="681">
        <f>R344</f>
        <v>0</v>
      </c>
      <c r="S345" s="681">
        <f>S344</f>
        <v>30000</v>
      </c>
      <c r="T345" s="681">
        <f>T344</f>
        <v>30000</v>
      </c>
      <c r="U345" s="681">
        <f>U344</f>
        <v>0</v>
      </c>
      <c r="V345" s="681">
        <f>V344</f>
        <v>30000</v>
      </c>
      <c r="W345" s="682"/>
      <c r="X345" s="987">
        <f>X344</f>
        <v>170000</v>
      </c>
      <c r="Y345" s="681">
        <f>Y344</f>
        <v>0</v>
      </c>
      <c r="Z345" s="681">
        <f>Z344</f>
        <v>0</v>
      </c>
      <c r="AA345" s="681">
        <f>AA344</f>
        <v>0</v>
      </c>
      <c r="AB345" s="1281"/>
      <c r="AC345" s="1282"/>
      <c r="AD345" s="1283"/>
      <c r="AE345" s="588">
        <v>24440.3</v>
      </c>
      <c r="AF345" s="589">
        <v>0</v>
      </c>
      <c r="AG345" s="1281"/>
      <c r="AH345" s="1283"/>
      <c r="AI345" s="590">
        <v>0.16293533333333332</v>
      </c>
      <c r="AJ345" s="558" t="s">
        <v>594</v>
      </c>
      <c r="AK345" s="576"/>
      <c r="AL345" s="576"/>
      <c r="AM345" s="434"/>
      <c r="AN345" s="434"/>
      <c r="AO345" s="434"/>
      <c r="AP345" s="434"/>
      <c r="AQ345" s="434"/>
      <c r="AR345" s="434"/>
      <c r="AS345" s="434"/>
      <c r="AT345" s="434"/>
      <c r="AU345" s="434"/>
      <c r="AV345" s="434"/>
      <c r="AW345" s="434"/>
      <c r="AX345" s="434"/>
      <c r="AY345" s="434"/>
      <c r="AZ345" s="434"/>
      <c r="BA345" s="434"/>
      <c r="BB345" s="434"/>
      <c r="BC345" s="434"/>
      <c r="BD345" s="434"/>
      <c r="BE345" s="434"/>
      <c r="BF345" s="434"/>
    </row>
    <row r="346" spans="1:58" s="578" customFormat="1" ht="7.5" customHeight="1">
      <c r="A346" s="559"/>
      <c r="B346" s="1274"/>
      <c r="C346" s="1279"/>
      <c r="D346" s="1279"/>
      <c r="E346" s="1279"/>
      <c r="F346" s="1279"/>
      <c r="G346" s="1279"/>
      <c r="H346" s="1279"/>
      <c r="I346" s="1279"/>
      <c r="J346" s="1279"/>
      <c r="K346" s="1279"/>
      <c r="L346" s="1279"/>
      <c r="M346" s="1279"/>
      <c r="N346" s="1279"/>
      <c r="O346" s="1279"/>
      <c r="P346" s="1279"/>
      <c r="Q346" s="1279"/>
      <c r="R346" s="1279"/>
      <c r="S346" s="1279"/>
      <c r="T346" s="1279"/>
      <c r="U346" s="1279"/>
      <c r="V346" s="1279"/>
      <c r="W346" s="1279"/>
      <c r="X346" s="1279"/>
      <c r="Y346" s="1279"/>
      <c r="Z346" s="1279"/>
      <c r="AA346" s="1279"/>
      <c r="AB346" s="1279"/>
      <c r="AC346" s="1279"/>
      <c r="AD346" s="1279"/>
      <c r="AE346" s="1279"/>
      <c r="AF346" s="1279"/>
      <c r="AG346" s="1279"/>
      <c r="AH346" s="1279"/>
      <c r="AI346" s="1301"/>
      <c r="AJ346" s="558" t="s">
        <v>594</v>
      </c>
      <c r="AK346" s="576"/>
      <c r="AL346" s="576"/>
      <c r="AM346" s="434"/>
      <c r="AN346" s="434"/>
      <c r="AO346" s="434"/>
      <c r="AP346" s="434"/>
      <c r="AQ346" s="434"/>
      <c r="AR346" s="434"/>
      <c r="AS346" s="434"/>
      <c r="AT346" s="434"/>
      <c r="AU346" s="434"/>
      <c r="AV346" s="434"/>
      <c r="AW346" s="434"/>
      <c r="AX346" s="434"/>
      <c r="AY346" s="434"/>
      <c r="AZ346" s="434"/>
      <c r="BA346" s="434"/>
      <c r="BB346" s="434"/>
      <c r="BC346" s="434"/>
      <c r="BD346" s="434"/>
      <c r="BE346" s="434"/>
      <c r="BF346" s="434"/>
    </row>
    <row r="347" spans="1:58" s="578" customFormat="1" ht="12.75" customHeight="1">
      <c r="A347" s="559"/>
      <c r="B347" s="560" t="s">
        <v>842</v>
      </c>
      <c r="C347" s="561" t="s">
        <v>842</v>
      </c>
      <c r="D347" s="562">
        <v>656530013</v>
      </c>
      <c r="E347" s="563">
        <v>801</v>
      </c>
      <c r="F347" s="564">
        <v>656</v>
      </c>
      <c r="G347" s="668">
        <v>5300000590</v>
      </c>
      <c r="H347" s="566" t="s">
        <v>124</v>
      </c>
      <c r="I347" s="566">
        <v>221</v>
      </c>
      <c r="J347" s="567">
        <v>0</v>
      </c>
      <c r="K347" s="568"/>
      <c r="L347" s="569">
        <v>28000</v>
      </c>
      <c r="M347" s="569">
        <v>11000</v>
      </c>
      <c r="N347" s="569">
        <v>11000</v>
      </c>
      <c r="O347" s="569">
        <v>12000</v>
      </c>
      <c r="P347" s="569">
        <v>62000</v>
      </c>
      <c r="Q347" s="572">
        <f>R347+S347+T347+U347</f>
        <v>19000</v>
      </c>
      <c r="R347" s="568">
        <v>4750</v>
      </c>
      <c r="S347" s="568">
        <v>4750</v>
      </c>
      <c r="T347" s="568">
        <v>4750</v>
      </c>
      <c r="U347" s="568">
        <v>4750</v>
      </c>
      <c r="V347" s="611">
        <v>17500</v>
      </c>
      <c r="W347" s="568" t="s">
        <v>843</v>
      </c>
      <c r="X347" s="896">
        <v>0</v>
      </c>
      <c r="Y347" s="613"/>
      <c r="Z347" s="611">
        <v>17500</v>
      </c>
      <c r="AA347" s="611">
        <v>17500</v>
      </c>
      <c r="AB347" s="573"/>
      <c r="AC347" s="573"/>
      <c r="AD347" s="573"/>
      <c r="AE347" s="573">
        <v>22907.29</v>
      </c>
      <c r="AF347" s="573">
        <v>0</v>
      </c>
      <c r="AG347" s="573"/>
      <c r="AH347" s="574"/>
      <c r="AI347" s="575">
        <v>0.36947241935483865</v>
      </c>
      <c r="AJ347" s="558" t="s">
        <v>594</v>
      </c>
      <c r="AK347" s="576"/>
      <c r="AL347" s="576"/>
      <c r="AM347" s="434"/>
      <c r="AN347" s="434"/>
      <c r="AO347" s="434"/>
      <c r="AP347" s="434"/>
      <c r="AQ347" s="434"/>
      <c r="AR347" s="434"/>
      <c r="AS347" s="434"/>
      <c r="AT347" s="434"/>
      <c r="AU347" s="434"/>
      <c r="AV347" s="434"/>
      <c r="AW347" s="434"/>
      <c r="AX347" s="434"/>
      <c r="AY347" s="434"/>
      <c r="AZ347" s="434"/>
      <c r="BA347" s="434"/>
      <c r="BB347" s="434"/>
      <c r="BC347" s="434"/>
      <c r="BD347" s="434"/>
      <c r="BE347" s="434"/>
      <c r="BF347" s="434"/>
    </row>
    <row r="348" spans="1:58" s="578" customFormat="1" ht="12.75" customHeight="1">
      <c r="A348" s="559"/>
      <c r="B348" s="560" t="s">
        <v>842</v>
      </c>
      <c r="C348" s="561" t="s">
        <v>842</v>
      </c>
      <c r="D348" s="562"/>
      <c r="E348" s="563"/>
      <c r="F348" s="564"/>
      <c r="G348" s="668"/>
      <c r="H348" s="566" t="s">
        <v>124</v>
      </c>
      <c r="I348" s="566">
        <v>221</v>
      </c>
      <c r="J348" s="567"/>
      <c r="K348" s="568"/>
      <c r="L348" s="569"/>
      <c r="M348" s="569"/>
      <c r="N348" s="569"/>
      <c r="O348" s="569"/>
      <c r="P348" s="569"/>
      <c r="Q348" s="572">
        <f>R348+S348+T348+U348</f>
        <v>17000</v>
      </c>
      <c r="R348" s="568">
        <v>17000</v>
      </c>
      <c r="S348" s="568"/>
      <c r="T348" s="568"/>
      <c r="U348" s="568"/>
      <c r="V348" s="611">
        <v>25200</v>
      </c>
      <c r="W348" s="568" t="s">
        <v>844</v>
      </c>
      <c r="X348" s="896">
        <v>17300</v>
      </c>
      <c r="Y348" s="613"/>
      <c r="Z348" s="611">
        <v>25200</v>
      </c>
      <c r="AA348" s="611">
        <v>25200</v>
      </c>
      <c r="AB348" s="573"/>
      <c r="AC348" s="573"/>
      <c r="AD348" s="573"/>
      <c r="AE348" s="573">
        <v>22907.29</v>
      </c>
      <c r="AF348" s="573">
        <v>0</v>
      </c>
      <c r="AG348" s="573"/>
      <c r="AH348" s="574"/>
      <c r="AI348" s="575">
        <v>0.36947241935483865</v>
      </c>
      <c r="AJ348" s="558" t="s">
        <v>594</v>
      </c>
      <c r="AK348" s="576"/>
      <c r="AL348" s="576"/>
      <c r="AM348" s="434"/>
      <c r="AN348" s="434"/>
      <c r="AO348" s="434"/>
      <c r="AP348" s="434"/>
      <c r="AQ348" s="434"/>
      <c r="AR348" s="434"/>
      <c r="AS348" s="434"/>
      <c r="AT348" s="434"/>
      <c r="AU348" s="434"/>
      <c r="AV348" s="434"/>
      <c r="AW348" s="434"/>
      <c r="AX348" s="434"/>
      <c r="AY348" s="434"/>
      <c r="AZ348" s="434"/>
      <c r="BA348" s="434"/>
      <c r="BB348" s="434"/>
      <c r="BC348" s="434"/>
      <c r="BD348" s="434"/>
      <c r="BE348" s="434"/>
      <c r="BF348" s="434"/>
    </row>
    <row r="349" spans="1:58" s="578" customFormat="1" ht="12.75" customHeight="1">
      <c r="A349" s="559"/>
      <c r="B349" s="1274" t="s">
        <v>613</v>
      </c>
      <c r="C349" s="1279"/>
      <c r="D349" s="1279"/>
      <c r="E349" s="1279"/>
      <c r="F349" s="1279"/>
      <c r="G349" s="1279"/>
      <c r="H349" s="1279"/>
      <c r="I349" s="1279"/>
      <c r="J349" s="1279"/>
      <c r="K349" s="1280"/>
      <c r="L349" s="582">
        <v>28000</v>
      </c>
      <c r="M349" s="583">
        <v>11000</v>
      </c>
      <c r="N349" s="583">
        <v>11000</v>
      </c>
      <c r="O349" s="582">
        <v>12000</v>
      </c>
      <c r="P349" s="583">
        <v>62000</v>
      </c>
      <c r="Q349" s="756">
        <f>R349+S349+T349+U349</f>
        <v>36000</v>
      </c>
      <c r="R349" s="681">
        <f>R347+R348</f>
        <v>21750</v>
      </c>
      <c r="S349" s="681">
        <f>S347+S348</f>
        <v>4750</v>
      </c>
      <c r="T349" s="681">
        <f>T347+T348</f>
        <v>4750</v>
      </c>
      <c r="U349" s="681">
        <f>U347+U348</f>
        <v>4750</v>
      </c>
      <c r="V349" s="681">
        <f>SUM(V347:V348)</f>
        <v>42700</v>
      </c>
      <c r="W349" s="682">
        <v>3.637978807091713E-12</v>
      </c>
      <c r="X349" s="709">
        <f>X348</f>
        <v>17300</v>
      </c>
      <c r="Y349" s="684"/>
      <c r="Z349" s="681">
        <f>SUM(Z347:Z348)</f>
        <v>42700</v>
      </c>
      <c r="AA349" s="681">
        <f>SUM(AA347:AA348)</f>
        <v>42700</v>
      </c>
      <c r="AB349" s="1281"/>
      <c r="AC349" s="1282"/>
      <c r="AD349" s="1283"/>
      <c r="AE349" s="588">
        <v>22907.29</v>
      </c>
      <c r="AF349" s="589">
        <v>0</v>
      </c>
      <c r="AG349" s="1281"/>
      <c r="AH349" s="1283"/>
      <c r="AI349" s="590">
        <v>0.36947241935483865</v>
      </c>
      <c r="AJ349" s="558" t="s">
        <v>594</v>
      </c>
      <c r="AK349" s="576"/>
      <c r="AL349" s="576"/>
      <c r="AM349" s="434"/>
      <c r="AN349" s="434"/>
      <c r="AO349" s="434"/>
      <c r="AP349" s="434"/>
      <c r="AQ349" s="434"/>
      <c r="AR349" s="434"/>
      <c r="AS349" s="434"/>
      <c r="AT349" s="434"/>
      <c r="AU349" s="434"/>
      <c r="AV349" s="434"/>
      <c r="AW349" s="434"/>
      <c r="AX349" s="434"/>
      <c r="AY349" s="434"/>
      <c r="AZ349" s="434"/>
      <c r="BA349" s="434"/>
      <c r="BB349" s="434"/>
      <c r="BC349" s="434"/>
      <c r="BD349" s="434"/>
      <c r="BE349" s="434"/>
      <c r="BF349" s="434"/>
    </row>
    <row r="350" spans="1:58" s="578" customFormat="1" ht="15.75" customHeight="1">
      <c r="A350" s="559"/>
      <c r="B350" s="1274" t="s">
        <v>845</v>
      </c>
      <c r="C350" s="1279"/>
      <c r="D350" s="1279"/>
      <c r="E350" s="1279"/>
      <c r="F350" s="1279"/>
      <c r="G350" s="1279"/>
      <c r="H350" s="1279"/>
      <c r="I350" s="1279"/>
      <c r="J350" s="1279"/>
      <c r="K350" s="1279"/>
      <c r="L350" s="1279"/>
      <c r="M350" s="1279"/>
      <c r="N350" s="1279"/>
      <c r="O350" s="1279"/>
      <c r="P350" s="1279"/>
      <c r="Q350" s="1279"/>
      <c r="R350" s="1279"/>
      <c r="S350" s="1279"/>
      <c r="T350" s="1279"/>
      <c r="U350" s="1279"/>
      <c r="V350" s="1279"/>
      <c r="W350" s="1279"/>
      <c r="X350" s="1279"/>
      <c r="Y350" s="1279"/>
      <c r="Z350" s="1279"/>
      <c r="AA350" s="1279"/>
      <c r="AB350" s="1279"/>
      <c r="AC350" s="1279"/>
      <c r="AD350" s="1279"/>
      <c r="AE350" s="1279"/>
      <c r="AF350" s="1279"/>
      <c r="AG350" s="1279"/>
      <c r="AH350" s="1279"/>
      <c r="AI350" s="1301"/>
      <c r="AJ350" s="558" t="s">
        <v>594</v>
      </c>
      <c r="AK350" s="576"/>
      <c r="AL350" s="576"/>
      <c r="AM350" s="434"/>
      <c r="AN350" s="434"/>
      <c r="AO350" s="434"/>
      <c r="AP350" s="434"/>
      <c r="AQ350" s="434"/>
      <c r="AR350" s="434"/>
      <c r="AS350" s="434"/>
      <c r="AT350" s="434"/>
      <c r="AU350" s="434"/>
      <c r="AV350" s="434"/>
      <c r="AW350" s="434"/>
      <c r="AX350" s="434"/>
      <c r="AY350" s="434"/>
      <c r="AZ350" s="434"/>
      <c r="BA350" s="434"/>
      <c r="BB350" s="434"/>
      <c r="BC350" s="434"/>
      <c r="BD350" s="434"/>
      <c r="BE350" s="434"/>
      <c r="BF350" s="434"/>
    </row>
    <row r="351" spans="1:58" s="578" customFormat="1" ht="12.75" customHeight="1">
      <c r="A351" s="559"/>
      <c r="B351" s="560" t="s">
        <v>845</v>
      </c>
      <c r="C351" s="561" t="s">
        <v>845</v>
      </c>
      <c r="D351" s="562">
        <v>656530014</v>
      </c>
      <c r="E351" s="563">
        <v>801</v>
      </c>
      <c r="F351" s="564">
        <v>656</v>
      </c>
      <c r="G351" s="668">
        <v>5300000590</v>
      </c>
      <c r="H351" s="566" t="s">
        <v>625</v>
      </c>
      <c r="I351" s="566">
        <v>223</v>
      </c>
      <c r="J351" s="567">
        <v>0</v>
      </c>
      <c r="K351" s="568"/>
      <c r="L351" s="569">
        <v>515376</v>
      </c>
      <c r="M351" s="569">
        <v>124624</v>
      </c>
      <c r="N351" s="569">
        <v>30000</v>
      </c>
      <c r="O351" s="569">
        <v>4000</v>
      </c>
      <c r="P351" s="569">
        <v>674000</v>
      </c>
      <c r="Q351" s="572"/>
      <c r="R351" s="568"/>
      <c r="S351" s="568"/>
      <c r="T351" s="568"/>
      <c r="U351" s="568"/>
      <c r="V351" s="611"/>
      <c r="W351" s="568"/>
      <c r="X351" s="896"/>
      <c r="Y351" s="613"/>
      <c r="Z351" s="611"/>
      <c r="AA351" s="611"/>
      <c r="AB351" s="573"/>
      <c r="AC351" s="573"/>
      <c r="AD351" s="573"/>
      <c r="AE351" s="573">
        <v>482852.32</v>
      </c>
      <c r="AF351" s="573">
        <v>0</v>
      </c>
      <c r="AG351" s="573"/>
      <c r="AH351" s="574"/>
      <c r="AI351" s="575">
        <v>0.7163981008902075</v>
      </c>
      <c r="AJ351" s="558" t="s">
        <v>594</v>
      </c>
      <c r="AK351" s="576"/>
      <c r="AL351" s="576"/>
      <c r="AM351" s="785" t="s">
        <v>846</v>
      </c>
      <c r="AN351" s="785"/>
      <c r="AO351" s="785"/>
      <c r="AP351" s="434"/>
      <c r="AQ351" s="434"/>
      <c r="AR351" s="434"/>
      <c r="AS351" s="434"/>
      <c r="AT351" s="434"/>
      <c r="AU351" s="434"/>
      <c r="AV351" s="434"/>
      <c r="AW351" s="434"/>
      <c r="AX351" s="434"/>
      <c r="AY351" s="434"/>
      <c r="AZ351" s="434"/>
      <c r="BA351" s="434"/>
      <c r="BB351" s="434"/>
      <c r="BC351" s="434"/>
      <c r="BD351" s="434"/>
      <c r="BE351" s="434"/>
      <c r="BF351" s="434"/>
    </row>
    <row r="352" spans="1:58" s="578" customFormat="1" ht="12.75" customHeight="1">
      <c r="A352" s="559"/>
      <c r="B352" s="560" t="s">
        <v>845</v>
      </c>
      <c r="C352" s="561" t="s">
        <v>845</v>
      </c>
      <c r="D352" s="562"/>
      <c r="E352" s="563"/>
      <c r="F352" s="564"/>
      <c r="G352" s="668">
        <v>5300000590</v>
      </c>
      <c r="H352" s="566" t="s">
        <v>625</v>
      </c>
      <c r="I352" s="566">
        <v>223</v>
      </c>
      <c r="J352" s="567"/>
      <c r="K352" s="568"/>
      <c r="L352" s="569"/>
      <c r="M352" s="569"/>
      <c r="N352" s="569"/>
      <c r="O352" s="569"/>
      <c r="P352" s="569"/>
      <c r="Q352" s="572">
        <f>R352+S352+T352+U352</f>
        <v>74000</v>
      </c>
      <c r="R352" s="568">
        <f>22000+18000</f>
        <v>40000</v>
      </c>
      <c r="S352" s="568">
        <v>20000</v>
      </c>
      <c r="T352" s="568">
        <v>14000</v>
      </c>
      <c r="U352" s="568"/>
      <c r="V352" s="611">
        <v>20000</v>
      </c>
      <c r="W352" s="568" t="s">
        <v>847</v>
      </c>
      <c r="X352" s="896"/>
      <c r="Y352" s="613"/>
      <c r="Z352" s="611"/>
      <c r="AA352" s="611">
        <v>50000</v>
      </c>
      <c r="AB352" s="573"/>
      <c r="AC352" s="573"/>
      <c r="AD352" s="573"/>
      <c r="AE352" s="573">
        <v>482852.32</v>
      </c>
      <c r="AF352" s="573">
        <v>0</v>
      </c>
      <c r="AG352" s="573"/>
      <c r="AH352" s="574"/>
      <c r="AI352" s="575">
        <v>0.7163981008902075</v>
      </c>
      <c r="AJ352" s="558" t="s">
        <v>594</v>
      </c>
      <c r="AK352" s="576"/>
      <c r="AL352" s="576"/>
      <c r="AM352" s="434" t="s">
        <v>848</v>
      </c>
      <c r="AN352" s="434"/>
      <c r="AO352" s="479">
        <f>X356+X366+X372+X377+X378</f>
        <v>174558.59</v>
      </c>
      <c r="AP352" s="434"/>
      <c r="AQ352" s="434"/>
      <c r="AR352" s="434"/>
      <c r="AS352" s="434"/>
      <c r="AT352" s="434"/>
      <c r="AU352" s="434"/>
      <c r="AV352" s="434"/>
      <c r="AW352" s="434"/>
      <c r="AX352" s="434"/>
      <c r="AY352" s="434"/>
      <c r="AZ352" s="434"/>
      <c r="BA352" s="434"/>
      <c r="BB352" s="434"/>
      <c r="BC352" s="434"/>
      <c r="BD352" s="434"/>
      <c r="BE352" s="434"/>
      <c r="BF352" s="434"/>
    </row>
    <row r="353" spans="1:58" s="578" customFormat="1" ht="12.75" customHeight="1">
      <c r="A353" s="559"/>
      <c r="B353" s="560" t="s">
        <v>845</v>
      </c>
      <c r="C353" s="561" t="s">
        <v>845</v>
      </c>
      <c r="D353" s="562"/>
      <c r="E353" s="563"/>
      <c r="F353" s="564"/>
      <c r="G353" s="668">
        <v>5300000590</v>
      </c>
      <c r="H353" s="566" t="s">
        <v>625</v>
      </c>
      <c r="I353" s="566">
        <v>223</v>
      </c>
      <c r="J353" s="567"/>
      <c r="K353" s="568"/>
      <c r="L353" s="569"/>
      <c r="M353" s="569"/>
      <c r="N353" s="569"/>
      <c r="O353" s="569"/>
      <c r="P353" s="569"/>
      <c r="Q353" s="572">
        <f>R353+S353+T353+U353</f>
        <v>430000</v>
      </c>
      <c r="R353" s="568">
        <v>253000</v>
      </c>
      <c r="S353" s="568">
        <v>253000</v>
      </c>
      <c r="T353" s="568">
        <v>70000</v>
      </c>
      <c r="U353" s="568">
        <f>V353-R353-S353-T353</f>
        <v>-146000</v>
      </c>
      <c r="V353" s="611">
        <v>430000</v>
      </c>
      <c r="W353" s="568" t="s">
        <v>849</v>
      </c>
      <c r="X353" s="896">
        <v>16627.46</v>
      </c>
      <c r="Y353" s="613"/>
      <c r="Z353" s="611"/>
      <c r="AA353" s="611">
        <v>800000</v>
      </c>
      <c r="AB353" s="573"/>
      <c r="AC353" s="573"/>
      <c r="AD353" s="573"/>
      <c r="AE353" s="573">
        <v>482852.32</v>
      </c>
      <c r="AF353" s="573">
        <v>0</v>
      </c>
      <c r="AG353" s="573"/>
      <c r="AH353" s="574"/>
      <c r="AI353" s="575">
        <v>0.7163981008902075</v>
      </c>
      <c r="AJ353" s="558" t="s">
        <v>594</v>
      </c>
      <c r="AK353" s="576"/>
      <c r="AL353" s="576"/>
      <c r="AM353" s="434"/>
      <c r="AN353" s="434"/>
      <c r="AO353" s="434"/>
      <c r="AP353" s="434"/>
      <c r="AQ353" s="434"/>
      <c r="AR353" s="434"/>
      <c r="AS353" s="434"/>
      <c r="AT353" s="434"/>
      <c r="AU353" s="434"/>
      <c r="AV353" s="434"/>
      <c r="AW353" s="434"/>
      <c r="AX353" s="434"/>
      <c r="AY353" s="434"/>
      <c r="AZ353" s="434"/>
      <c r="BA353" s="434"/>
      <c r="BB353" s="434"/>
      <c r="BC353" s="434"/>
      <c r="BD353" s="434"/>
      <c r="BE353" s="434"/>
      <c r="BF353" s="434"/>
    </row>
    <row r="354" spans="1:58" s="578" customFormat="1" ht="12.75" customHeight="1">
      <c r="A354" s="559"/>
      <c r="B354" s="560" t="s">
        <v>845</v>
      </c>
      <c r="C354" s="561" t="s">
        <v>845</v>
      </c>
      <c r="D354" s="562"/>
      <c r="E354" s="563"/>
      <c r="F354" s="564"/>
      <c r="G354" s="668">
        <v>5300000590</v>
      </c>
      <c r="H354" s="566" t="s">
        <v>625</v>
      </c>
      <c r="I354" s="566">
        <v>223</v>
      </c>
      <c r="J354" s="567"/>
      <c r="K354" s="568"/>
      <c r="L354" s="569"/>
      <c r="M354" s="569"/>
      <c r="N354" s="569"/>
      <c r="O354" s="569"/>
      <c r="P354" s="569"/>
      <c r="Q354" s="572">
        <f>R354+S354+T354+U354</f>
        <v>70000</v>
      </c>
      <c r="R354" s="568">
        <v>25000</v>
      </c>
      <c r="S354" s="568">
        <v>17500</v>
      </c>
      <c r="T354" s="568">
        <v>17500</v>
      </c>
      <c r="U354" s="568">
        <v>10000</v>
      </c>
      <c r="V354" s="611">
        <v>65000</v>
      </c>
      <c r="W354" s="568" t="s">
        <v>850</v>
      </c>
      <c r="X354" s="896"/>
      <c r="Y354" s="613"/>
      <c r="Z354" s="611"/>
      <c r="AA354" s="611">
        <v>65000</v>
      </c>
      <c r="AB354" s="573"/>
      <c r="AC354" s="573"/>
      <c r="AD354" s="573"/>
      <c r="AE354" s="573">
        <v>482852.32</v>
      </c>
      <c r="AF354" s="573">
        <v>0</v>
      </c>
      <c r="AG354" s="573"/>
      <c r="AH354" s="574"/>
      <c r="AI354" s="575">
        <v>0.7163981008902075</v>
      </c>
      <c r="AJ354" s="558" t="s">
        <v>594</v>
      </c>
      <c r="AK354" s="576"/>
      <c r="AL354" s="576"/>
      <c r="AM354" s="434"/>
      <c r="AN354" s="434"/>
      <c r="AO354" s="434"/>
      <c r="AP354" s="434"/>
      <c r="AQ354" s="434"/>
      <c r="AR354" s="434"/>
      <c r="AS354" s="434"/>
      <c r="AT354" s="434"/>
      <c r="AU354" s="434"/>
      <c r="AV354" s="434"/>
      <c r="AW354" s="434"/>
      <c r="AX354" s="434"/>
      <c r="AY354" s="434"/>
      <c r="AZ354" s="434"/>
      <c r="BA354" s="434"/>
      <c r="BB354" s="434"/>
      <c r="BC354" s="434"/>
      <c r="BD354" s="434"/>
      <c r="BE354" s="434"/>
      <c r="BF354" s="434"/>
    </row>
    <row r="355" spans="1:58" s="578" customFormat="1" ht="12.75" customHeight="1">
      <c r="A355" s="559"/>
      <c r="B355" s="560" t="s">
        <v>845</v>
      </c>
      <c r="C355" s="561" t="s">
        <v>845</v>
      </c>
      <c r="D355" s="562"/>
      <c r="E355" s="563"/>
      <c r="F355" s="564"/>
      <c r="G355" s="668">
        <v>5300000590</v>
      </c>
      <c r="H355" s="566" t="s">
        <v>625</v>
      </c>
      <c r="I355" s="566">
        <v>223</v>
      </c>
      <c r="J355" s="567"/>
      <c r="K355" s="568"/>
      <c r="L355" s="569"/>
      <c r="M355" s="569"/>
      <c r="N355" s="569"/>
      <c r="O355" s="569"/>
      <c r="P355" s="569"/>
      <c r="Q355" s="572">
        <f>R355+S355+T355+U355</f>
        <v>45000</v>
      </c>
      <c r="R355" s="568">
        <v>15000</v>
      </c>
      <c r="S355" s="568">
        <v>15000</v>
      </c>
      <c r="T355" s="568">
        <v>5000</v>
      </c>
      <c r="U355" s="568">
        <v>10000</v>
      </c>
      <c r="V355" s="799">
        <v>33500</v>
      </c>
      <c r="W355" s="568" t="s">
        <v>851</v>
      </c>
      <c r="X355" s="896"/>
      <c r="Y355" s="613"/>
      <c r="Z355" s="799"/>
      <c r="AA355" s="799">
        <v>33500</v>
      </c>
      <c r="AB355" s="573"/>
      <c r="AC355" s="573"/>
      <c r="AD355" s="573"/>
      <c r="AE355" s="573">
        <v>482852.32</v>
      </c>
      <c r="AF355" s="573">
        <v>0</v>
      </c>
      <c r="AG355" s="573"/>
      <c r="AH355" s="574"/>
      <c r="AI355" s="575">
        <v>0.7163981008902075</v>
      </c>
      <c r="AJ355" s="558" t="s">
        <v>594</v>
      </c>
      <c r="AK355" s="576"/>
      <c r="AL355" s="576"/>
      <c r="AM355" s="434"/>
      <c r="AN355" s="434"/>
      <c r="AO355" s="434"/>
      <c r="AP355" s="434"/>
      <c r="AQ355" s="434"/>
      <c r="AR355" s="434"/>
      <c r="AS355" s="434"/>
      <c r="AT355" s="434"/>
      <c r="AU355" s="434"/>
      <c r="AV355" s="434"/>
      <c r="AW355" s="434"/>
      <c r="AX355" s="434"/>
      <c r="AY355" s="434"/>
      <c r="AZ355" s="434"/>
      <c r="BA355" s="434"/>
      <c r="BB355" s="434"/>
      <c r="BC355" s="434"/>
      <c r="BD355" s="434"/>
      <c r="BE355" s="434"/>
      <c r="BF355" s="434"/>
    </row>
    <row r="356" spans="1:58" s="578" customFormat="1" ht="12.75" customHeight="1">
      <c r="A356" s="559"/>
      <c r="B356" s="560"/>
      <c r="C356" s="561"/>
      <c r="D356" s="562"/>
      <c r="E356" s="563"/>
      <c r="F356" s="564"/>
      <c r="G356" s="668"/>
      <c r="H356" s="566"/>
      <c r="I356" s="566"/>
      <c r="J356" s="567"/>
      <c r="K356" s="568"/>
      <c r="L356" s="569"/>
      <c r="M356" s="569"/>
      <c r="N356" s="569"/>
      <c r="O356" s="569"/>
      <c r="P356" s="569"/>
      <c r="Q356" s="1018">
        <f>(Q352+Q353+Q354+Q355)</f>
        <v>619000</v>
      </c>
      <c r="R356" s="1018">
        <f>R352+R353+R354+R355</f>
        <v>333000</v>
      </c>
      <c r="S356" s="1018">
        <f>S352+S353+S354+S355</f>
        <v>305500</v>
      </c>
      <c r="T356" s="1018">
        <f>T352+T353+T354+T355</f>
        <v>106500</v>
      </c>
      <c r="U356" s="1018">
        <f>U352+U353+U354+U355</f>
        <v>-126000</v>
      </c>
      <c r="V356" s="1019">
        <f>SUM(V352:V355)</f>
        <v>548500</v>
      </c>
      <c r="W356" s="568"/>
      <c r="X356" s="1020">
        <f>(X352+X353+X354+X355)</f>
        <v>16627.46</v>
      </c>
      <c r="Y356" s="613"/>
      <c r="Z356" s="1019">
        <f>SUM(Z352:Z355)</f>
        <v>0</v>
      </c>
      <c r="AA356" s="1019">
        <f>SUM(AA352:AA355)</f>
        <v>948500</v>
      </c>
      <c r="AB356" s="573"/>
      <c r="AC356" s="573"/>
      <c r="AD356" s="573"/>
      <c r="AE356" s="573"/>
      <c r="AF356" s="573"/>
      <c r="AG356" s="573"/>
      <c r="AH356" s="574"/>
      <c r="AI356" s="575"/>
      <c r="AJ356" s="558"/>
      <c r="AK356" s="576"/>
      <c r="AL356" s="576"/>
      <c r="AM356" s="434"/>
      <c r="AN356" s="434"/>
      <c r="AO356" s="434"/>
      <c r="AP356" s="434"/>
      <c r="AQ356" s="434"/>
      <c r="AR356" s="434"/>
      <c r="AS356" s="434"/>
      <c r="AT356" s="434"/>
      <c r="AU356" s="434"/>
      <c r="AV356" s="434"/>
      <c r="AW356" s="434"/>
      <c r="AX356" s="434"/>
      <c r="AY356" s="434"/>
      <c r="AZ356" s="434"/>
      <c r="BA356" s="434"/>
      <c r="BB356" s="434"/>
      <c r="BC356" s="434"/>
      <c r="BD356" s="434"/>
      <c r="BE356" s="434"/>
      <c r="BF356" s="434"/>
    </row>
    <row r="357" spans="1:58" s="578" customFormat="1" ht="21.75" customHeight="1">
      <c r="A357" s="559"/>
      <c r="B357" s="560" t="s">
        <v>845</v>
      </c>
      <c r="C357" s="561" t="s">
        <v>845</v>
      </c>
      <c r="D357" s="562">
        <v>656530014</v>
      </c>
      <c r="E357" s="563">
        <v>801</v>
      </c>
      <c r="F357" s="564">
        <v>656</v>
      </c>
      <c r="G357" s="668">
        <v>5300000590</v>
      </c>
      <c r="H357" s="566" t="s">
        <v>625</v>
      </c>
      <c r="I357" s="566">
        <v>225</v>
      </c>
      <c r="J357" s="567"/>
      <c r="K357" s="568"/>
      <c r="L357" s="569"/>
      <c r="M357" s="569"/>
      <c r="N357" s="569"/>
      <c r="O357" s="569"/>
      <c r="P357" s="569"/>
      <c r="Q357" s="572">
        <f aca="true" t="shared" si="6" ref="Q357:Q365">R357+S357+T357+U357</f>
        <v>42000</v>
      </c>
      <c r="R357" s="568">
        <v>10500</v>
      </c>
      <c r="S357" s="568">
        <v>10500</v>
      </c>
      <c r="T357" s="568">
        <v>10500</v>
      </c>
      <c r="U357" s="568">
        <v>10500</v>
      </c>
      <c r="V357" s="799">
        <f>(54000+2400)/2</f>
        <v>28200</v>
      </c>
      <c r="W357" s="569" t="s">
        <v>852</v>
      </c>
      <c r="X357" s="572"/>
      <c r="Y357" s="799"/>
      <c r="Z357" s="799"/>
      <c r="AA357" s="799">
        <v>57000</v>
      </c>
      <c r="AB357" s="573"/>
      <c r="AC357" s="573"/>
      <c r="AD357" s="573"/>
      <c r="AE357" s="573">
        <v>149721.59</v>
      </c>
      <c r="AF357" s="573">
        <v>0</v>
      </c>
      <c r="AG357" s="573"/>
      <c r="AH357" s="574"/>
      <c r="AI357" s="575">
        <v>0.6606602031027576</v>
      </c>
      <c r="AJ357" s="558" t="s">
        <v>594</v>
      </c>
      <c r="AK357" s="576"/>
      <c r="AL357" s="576"/>
      <c r="AM357" s="434"/>
      <c r="AN357" s="434"/>
      <c r="AO357" s="434"/>
      <c r="AP357" s="434"/>
      <c r="AQ357" s="434"/>
      <c r="AR357" s="434"/>
      <c r="AS357" s="434"/>
      <c r="AT357" s="434"/>
      <c r="AU357" s="434"/>
      <c r="AV357" s="434"/>
      <c r="AW357" s="434"/>
      <c r="AX357" s="434"/>
      <c r="AY357" s="434"/>
      <c r="AZ357" s="434"/>
      <c r="BA357" s="434"/>
      <c r="BB357" s="434"/>
      <c r="BC357" s="434"/>
      <c r="BD357" s="434"/>
      <c r="BE357" s="434"/>
      <c r="BF357" s="434"/>
    </row>
    <row r="358" spans="1:38" ht="12.75" customHeight="1">
      <c r="A358" s="557"/>
      <c r="B358" s="560" t="s">
        <v>845</v>
      </c>
      <c r="C358" s="561" t="s">
        <v>845</v>
      </c>
      <c r="D358" s="562"/>
      <c r="E358" s="563"/>
      <c r="F358" s="564"/>
      <c r="G358" s="668">
        <v>5300000590</v>
      </c>
      <c r="H358" s="566" t="s">
        <v>625</v>
      </c>
      <c r="I358" s="566">
        <v>225</v>
      </c>
      <c r="J358" s="567"/>
      <c r="K358" s="568"/>
      <c r="L358" s="569"/>
      <c r="M358" s="569"/>
      <c r="N358" s="569"/>
      <c r="O358" s="569"/>
      <c r="P358" s="569"/>
      <c r="Q358" s="572">
        <f t="shared" si="6"/>
        <v>17000</v>
      </c>
      <c r="R358" s="568">
        <v>4250</v>
      </c>
      <c r="S358" s="568">
        <v>4250</v>
      </c>
      <c r="T358" s="568">
        <v>4250</v>
      </c>
      <c r="U358" s="568">
        <v>4250</v>
      </c>
      <c r="V358" s="799">
        <v>37000</v>
      </c>
      <c r="W358" s="568" t="s">
        <v>853</v>
      </c>
      <c r="X358" s="611"/>
      <c r="Y358" s="799"/>
      <c r="Z358" s="799"/>
      <c r="AA358" s="799">
        <v>74000</v>
      </c>
      <c r="AB358" s="573"/>
      <c r="AC358" s="573"/>
      <c r="AD358" s="573"/>
      <c r="AE358" s="573">
        <v>149721.59</v>
      </c>
      <c r="AF358" s="573">
        <v>0</v>
      </c>
      <c r="AG358" s="573"/>
      <c r="AH358" s="574"/>
      <c r="AI358" s="575">
        <v>0.6606602031027576</v>
      </c>
      <c r="AJ358" s="558" t="s">
        <v>594</v>
      </c>
      <c r="AK358" s="426"/>
      <c r="AL358" s="426"/>
    </row>
    <row r="359" spans="1:38" ht="12.75" customHeight="1">
      <c r="A359" s="557"/>
      <c r="B359" s="560" t="s">
        <v>845</v>
      </c>
      <c r="C359" s="561" t="s">
        <v>845</v>
      </c>
      <c r="D359" s="562"/>
      <c r="E359" s="563"/>
      <c r="F359" s="564"/>
      <c r="G359" s="668">
        <v>5300000590</v>
      </c>
      <c r="H359" s="566" t="s">
        <v>625</v>
      </c>
      <c r="I359" s="566">
        <v>225</v>
      </c>
      <c r="J359" s="567"/>
      <c r="K359" s="568"/>
      <c r="L359" s="569"/>
      <c r="M359" s="569"/>
      <c r="N359" s="569"/>
      <c r="O359" s="569"/>
      <c r="P359" s="569"/>
      <c r="Q359" s="572">
        <f t="shared" si="6"/>
        <v>30000</v>
      </c>
      <c r="R359" s="568">
        <v>7500</v>
      </c>
      <c r="S359" s="568">
        <v>7500</v>
      </c>
      <c r="T359" s="568">
        <v>7500</v>
      </c>
      <c r="U359" s="568">
        <v>7500</v>
      </c>
      <c r="V359" s="799">
        <v>10000</v>
      </c>
      <c r="W359" s="568" t="s">
        <v>854</v>
      </c>
      <c r="X359" s="613"/>
      <c r="Y359" s="613"/>
      <c r="Z359" s="799"/>
      <c r="AA359" s="799">
        <v>20000</v>
      </c>
      <c r="AB359" s="573"/>
      <c r="AC359" s="573"/>
      <c r="AD359" s="573"/>
      <c r="AE359" s="573">
        <v>149721.59</v>
      </c>
      <c r="AF359" s="573">
        <v>0</v>
      </c>
      <c r="AG359" s="573"/>
      <c r="AH359" s="574"/>
      <c r="AI359" s="575">
        <v>0.6606602031027576</v>
      </c>
      <c r="AJ359" s="558" t="s">
        <v>594</v>
      </c>
      <c r="AK359" s="426"/>
      <c r="AL359" s="426"/>
    </row>
    <row r="360" spans="1:38" ht="12.75" customHeight="1">
      <c r="A360" s="557"/>
      <c r="B360" s="560" t="s">
        <v>845</v>
      </c>
      <c r="C360" s="561" t="s">
        <v>845</v>
      </c>
      <c r="D360" s="562"/>
      <c r="E360" s="563"/>
      <c r="F360" s="564"/>
      <c r="G360" s="668">
        <v>5300000590</v>
      </c>
      <c r="H360" s="566" t="s">
        <v>625</v>
      </c>
      <c r="I360" s="566">
        <v>225</v>
      </c>
      <c r="J360" s="567"/>
      <c r="K360" s="568"/>
      <c r="L360" s="569"/>
      <c r="M360" s="569"/>
      <c r="N360" s="569"/>
      <c r="O360" s="569"/>
      <c r="P360" s="569"/>
      <c r="Q360" s="572">
        <f t="shared" si="6"/>
        <v>3000</v>
      </c>
      <c r="R360" s="568">
        <v>1000</v>
      </c>
      <c r="S360" s="568">
        <v>1000</v>
      </c>
      <c r="T360" s="568">
        <v>1000</v>
      </c>
      <c r="U360" s="568"/>
      <c r="V360" s="799">
        <v>3000</v>
      </c>
      <c r="W360" s="568" t="s">
        <v>855</v>
      </c>
      <c r="X360" s="613"/>
      <c r="Y360" s="613"/>
      <c r="Z360" s="799"/>
      <c r="AA360" s="799">
        <v>7500</v>
      </c>
      <c r="AB360" s="573"/>
      <c r="AC360" s="573"/>
      <c r="AD360" s="573"/>
      <c r="AE360" s="573">
        <v>149721.59</v>
      </c>
      <c r="AF360" s="573">
        <v>0</v>
      </c>
      <c r="AG360" s="573"/>
      <c r="AH360" s="574"/>
      <c r="AI360" s="575">
        <v>0.6606602031027576</v>
      </c>
      <c r="AJ360" s="558" t="s">
        <v>594</v>
      </c>
      <c r="AK360" s="426"/>
      <c r="AL360" s="426"/>
    </row>
    <row r="361" spans="1:38" ht="12.75" customHeight="1">
      <c r="A361" s="557"/>
      <c r="B361" s="560" t="s">
        <v>845</v>
      </c>
      <c r="C361" s="561" t="s">
        <v>845</v>
      </c>
      <c r="D361" s="562"/>
      <c r="E361" s="563"/>
      <c r="F361" s="564"/>
      <c r="G361" s="668">
        <v>5300000590</v>
      </c>
      <c r="H361" s="566" t="s">
        <v>625</v>
      </c>
      <c r="I361" s="566">
        <v>225</v>
      </c>
      <c r="J361" s="567"/>
      <c r="K361" s="568"/>
      <c r="L361" s="569"/>
      <c r="M361" s="569"/>
      <c r="N361" s="569"/>
      <c r="O361" s="569"/>
      <c r="P361" s="569"/>
      <c r="Q361" s="572">
        <f t="shared" si="6"/>
        <v>42000</v>
      </c>
      <c r="R361" s="568">
        <v>10500</v>
      </c>
      <c r="S361" s="568">
        <v>10500</v>
      </c>
      <c r="T361" s="568">
        <v>10500</v>
      </c>
      <c r="U361" s="568">
        <v>10500</v>
      </c>
      <c r="V361" s="799">
        <v>7500</v>
      </c>
      <c r="W361" s="568" t="s">
        <v>856</v>
      </c>
      <c r="X361" s="613"/>
      <c r="Y361" s="613"/>
      <c r="Z361" s="799"/>
      <c r="AA361" s="799">
        <v>0</v>
      </c>
      <c r="AB361" s="573"/>
      <c r="AC361" s="573"/>
      <c r="AD361" s="573"/>
      <c r="AE361" s="573">
        <v>149721.59</v>
      </c>
      <c r="AF361" s="573">
        <v>0</v>
      </c>
      <c r="AG361" s="573"/>
      <c r="AH361" s="574"/>
      <c r="AI361" s="575">
        <v>0.6606602031027576</v>
      </c>
      <c r="AJ361" s="558" t="s">
        <v>594</v>
      </c>
      <c r="AK361" s="426"/>
      <c r="AL361" s="426"/>
    </row>
    <row r="362" spans="1:38" ht="12.75" customHeight="1">
      <c r="A362" s="557"/>
      <c r="B362" s="560"/>
      <c r="C362" s="561"/>
      <c r="D362" s="562"/>
      <c r="E362" s="563"/>
      <c r="F362" s="564"/>
      <c r="G362" s="668">
        <v>5300000590</v>
      </c>
      <c r="H362" s="566"/>
      <c r="I362" s="566"/>
      <c r="J362" s="567"/>
      <c r="K362" s="568"/>
      <c r="L362" s="569"/>
      <c r="M362" s="569"/>
      <c r="N362" s="569"/>
      <c r="O362" s="569"/>
      <c r="P362" s="569"/>
      <c r="Q362" s="572"/>
      <c r="R362" s="568"/>
      <c r="S362" s="568"/>
      <c r="T362" s="568"/>
      <c r="U362" s="568"/>
      <c r="V362" s="799">
        <v>0</v>
      </c>
      <c r="W362" s="568" t="s">
        <v>857</v>
      </c>
      <c r="X362" s="613"/>
      <c r="Y362" s="613"/>
      <c r="Z362" s="799"/>
      <c r="AA362" s="799"/>
      <c r="AB362" s="573"/>
      <c r="AC362" s="573"/>
      <c r="AD362" s="573"/>
      <c r="AE362" s="573"/>
      <c r="AF362" s="573"/>
      <c r="AG362" s="573"/>
      <c r="AH362" s="574"/>
      <c r="AI362" s="575"/>
      <c r="AJ362" s="558"/>
      <c r="AK362" s="426"/>
      <c r="AL362" s="426"/>
    </row>
    <row r="363" spans="1:38" ht="12.75" customHeight="1">
      <c r="A363" s="557"/>
      <c r="B363" s="560"/>
      <c r="C363" s="561"/>
      <c r="D363" s="562"/>
      <c r="E363" s="563"/>
      <c r="F363" s="564"/>
      <c r="G363" s="668">
        <v>5300000590</v>
      </c>
      <c r="H363" s="566"/>
      <c r="I363" s="566">
        <v>225</v>
      </c>
      <c r="J363" s="567"/>
      <c r="K363" s="568"/>
      <c r="L363" s="569"/>
      <c r="M363" s="569"/>
      <c r="N363" s="569"/>
      <c r="O363" s="569"/>
      <c r="P363" s="569"/>
      <c r="Q363" s="572">
        <f t="shared" si="6"/>
        <v>71000</v>
      </c>
      <c r="R363" s="611">
        <v>71000</v>
      </c>
      <c r="S363" s="568"/>
      <c r="T363" s="568"/>
      <c r="U363" s="568"/>
      <c r="V363" s="799">
        <f>(54000+1800)/2</f>
        <v>27900</v>
      </c>
      <c r="W363" s="568" t="s">
        <v>858</v>
      </c>
      <c r="X363" s="613"/>
      <c r="Y363" s="613"/>
      <c r="Z363" s="799"/>
      <c r="AA363" s="799">
        <v>60000</v>
      </c>
      <c r="AB363" s="573"/>
      <c r="AC363" s="573"/>
      <c r="AD363" s="573"/>
      <c r="AE363" s="573"/>
      <c r="AF363" s="573"/>
      <c r="AG363" s="573"/>
      <c r="AH363" s="574"/>
      <c r="AI363" s="575"/>
      <c r="AJ363" s="558"/>
      <c r="AK363" s="426"/>
      <c r="AL363" s="426"/>
    </row>
    <row r="364" spans="1:38" ht="12.75" customHeight="1">
      <c r="A364" s="557"/>
      <c r="B364" s="560" t="s">
        <v>845</v>
      </c>
      <c r="C364" s="561" t="s">
        <v>845</v>
      </c>
      <c r="D364" s="562"/>
      <c r="E364" s="563"/>
      <c r="F364" s="564"/>
      <c r="G364" s="668">
        <v>5300000590</v>
      </c>
      <c r="H364" s="566" t="s">
        <v>625</v>
      </c>
      <c r="I364" s="566">
        <v>225</v>
      </c>
      <c r="J364" s="567"/>
      <c r="K364" s="568"/>
      <c r="L364" s="569"/>
      <c r="M364" s="569"/>
      <c r="N364" s="569"/>
      <c r="O364" s="569"/>
      <c r="P364" s="569"/>
      <c r="Q364" s="572">
        <f t="shared" si="6"/>
        <v>65000</v>
      </c>
      <c r="R364" s="611">
        <v>65000</v>
      </c>
      <c r="S364" s="568"/>
      <c r="T364" s="568"/>
      <c r="U364" s="568"/>
      <c r="V364" s="799">
        <v>0</v>
      </c>
      <c r="W364" s="568" t="s">
        <v>859</v>
      </c>
      <c r="X364" s="613"/>
      <c r="Y364" s="613"/>
      <c r="Z364" s="799">
        <f>187491.9+29323.1-200027.43+8000</f>
        <v>24787.570000000007</v>
      </c>
      <c r="AA364" s="799">
        <f>40000-21231</f>
        <v>18769</v>
      </c>
      <c r="AB364" s="573"/>
      <c r="AC364" s="573"/>
      <c r="AD364" s="573"/>
      <c r="AE364" s="573">
        <v>149721.59</v>
      </c>
      <c r="AF364" s="573">
        <v>0</v>
      </c>
      <c r="AG364" s="573"/>
      <c r="AH364" s="574"/>
      <c r="AI364" s="575">
        <v>0.6606602031027576</v>
      </c>
      <c r="AJ364" s="558" t="s">
        <v>594</v>
      </c>
      <c r="AK364" s="426"/>
      <c r="AL364" s="426"/>
    </row>
    <row r="365" spans="1:58" s="578" customFormat="1" ht="12.75" customHeight="1">
      <c r="A365" s="559"/>
      <c r="B365" s="560" t="s">
        <v>845</v>
      </c>
      <c r="C365" s="561" t="s">
        <v>845</v>
      </c>
      <c r="D365" s="562"/>
      <c r="E365" s="563"/>
      <c r="F365" s="564"/>
      <c r="G365" s="668">
        <v>5300000590</v>
      </c>
      <c r="H365" s="566" t="s">
        <v>625</v>
      </c>
      <c r="I365" s="566">
        <v>225</v>
      </c>
      <c r="J365" s="567"/>
      <c r="K365" s="568"/>
      <c r="L365" s="569"/>
      <c r="M365" s="569"/>
      <c r="N365" s="569"/>
      <c r="O365" s="569"/>
      <c r="P365" s="569"/>
      <c r="Q365" s="572">
        <f t="shared" si="6"/>
        <v>60000</v>
      </c>
      <c r="R365" s="568">
        <v>60000</v>
      </c>
      <c r="S365" s="568">
        <v>0</v>
      </c>
      <c r="T365" s="568">
        <v>0</v>
      </c>
      <c r="U365" s="568">
        <v>0</v>
      </c>
      <c r="V365" s="799">
        <v>15000</v>
      </c>
      <c r="W365" s="568" t="s">
        <v>860</v>
      </c>
      <c r="X365" s="613"/>
      <c r="Y365" s="613"/>
      <c r="Z365" s="799"/>
      <c r="AA365" s="1019">
        <v>60000</v>
      </c>
      <c r="AB365" s="573"/>
      <c r="AC365" s="573"/>
      <c r="AD365" s="573"/>
      <c r="AE365" s="573">
        <v>149721.59</v>
      </c>
      <c r="AF365" s="573">
        <v>0</v>
      </c>
      <c r="AG365" s="573"/>
      <c r="AH365" s="574"/>
      <c r="AI365" s="575">
        <v>0.6606602031027576</v>
      </c>
      <c r="AJ365" s="558" t="s">
        <v>594</v>
      </c>
      <c r="AK365" s="576"/>
      <c r="AL365" s="576"/>
      <c r="AM365" s="434"/>
      <c r="AN365" s="434"/>
      <c r="AO365" s="434"/>
      <c r="AP365" s="434"/>
      <c r="AQ365" s="434"/>
      <c r="AR365" s="434"/>
      <c r="AS365" s="434"/>
      <c r="AT365" s="434"/>
      <c r="AU365" s="434"/>
      <c r="AV365" s="434"/>
      <c r="AW365" s="434"/>
      <c r="AX365" s="434"/>
      <c r="AY365" s="434"/>
      <c r="AZ365" s="434"/>
      <c r="BA365" s="434"/>
      <c r="BB365" s="434"/>
      <c r="BC365" s="434"/>
      <c r="BD365" s="434"/>
      <c r="BE365" s="434"/>
      <c r="BF365" s="434"/>
    </row>
    <row r="366" spans="1:58" s="578" customFormat="1" ht="12.75" customHeight="1">
      <c r="A366" s="559"/>
      <c r="B366" s="560"/>
      <c r="C366" s="561"/>
      <c r="D366" s="562"/>
      <c r="E366" s="563"/>
      <c r="F366" s="564"/>
      <c r="G366" s="668"/>
      <c r="H366" s="566"/>
      <c r="I366" s="566"/>
      <c r="J366" s="567"/>
      <c r="K366" s="568"/>
      <c r="L366" s="569"/>
      <c r="M366" s="569"/>
      <c r="N366" s="569"/>
      <c r="O366" s="569"/>
      <c r="P366" s="569"/>
      <c r="Q366" s="1018">
        <f>Q358+Q359+Q360+Q361+Q364+Q365+Q363+Q357</f>
        <v>330000</v>
      </c>
      <c r="R366" s="1018">
        <f>SUM(R357:R365)</f>
        <v>229750</v>
      </c>
      <c r="S366" s="1018">
        <f>SUM(S357:S365)</f>
        <v>33750</v>
      </c>
      <c r="T366" s="1018">
        <f>SUM(T357:T365)</f>
        <v>33750</v>
      </c>
      <c r="U366" s="1018">
        <f>SUM(U357:U365)</f>
        <v>32750</v>
      </c>
      <c r="V366" s="1019">
        <f>SUM(V357:V365)</f>
        <v>128600</v>
      </c>
      <c r="W366" s="568"/>
      <c r="X366" s="1020">
        <v>117931.13</v>
      </c>
      <c r="Y366" s="613"/>
      <c r="Z366" s="1019">
        <f>SUM(Z357:Z365)</f>
        <v>24787.570000000007</v>
      </c>
      <c r="AA366" s="1019">
        <f>SUM(AA357:AA365)</f>
        <v>297269</v>
      </c>
      <c r="AB366" s="573"/>
      <c r="AC366" s="573"/>
      <c r="AD366" s="573"/>
      <c r="AE366" s="573"/>
      <c r="AF366" s="573"/>
      <c r="AG366" s="573"/>
      <c r="AH366" s="574"/>
      <c r="AI366" s="575"/>
      <c r="AJ366" s="558"/>
      <c r="AK366" s="576"/>
      <c r="AL366" s="576"/>
      <c r="AM366" s="434"/>
      <c r="AN366" s="434"/>
      <c r="AO366" s="434"/>
      <c r="AP366" s="434"/>
      <c r="AQ366" s="434"/>
      <c r="AR366" s="434"/>
      <c r="AS366" s="434"/>
      <c r="AT366" s="434"/>
      <c r="AU366" s="434"/>
      <c r="AV366" s="434"/>
      <c r="AW366" s="434"/>
      <c r="AX366" s="434"/>
      <c r="AY366" s="434"/>
      <c r="AZ366" s="434"/>
      <c r="BA366" s="434"/>
      <c r="BB366" s="434"/>
      <c r="BC366" s="434"/>
      <c r="BD366" s="434"/>
      <c r="BE366" s="434"/>
      <c r="BF366" s="434"/>
    </row>
    <row r="367" spans="1:58" s="578" customFormat="1" ht="12.75" customHeight="1">
      <c r="A367" s="559"/>
      <c r="B367" s="560" t="s">
        <v>845</v>
      </c>
      <c r="C367" s="561" t="s">
        <v>845</v>
      </c>
      <c r="D367" s="562">
        <v>656530014</v>
      </c>
      <c r="E367" s="563">
        <v>801</v>
      </c>
      <c r="F367" s="564">
        <v>656</v>
      </c>
      <c r="G367" s="668">
        <v>5300000590</v>
      </c>
      <c r="H367" s="566" t="s">
        <v>625</v>
      </c>
      <c r="I367" s="566">
        <v>226</v>
      </c>
      <c r="J367" s="567">
        <v>0</v>
      </c>
      <c r="K367" s="568"/>
      <c r="L367" s="569">
        <v>33000</v>
      </c>
      <c r="M367" s="569">
        <v>5000</v>
      </c>
      <c r="N367" s="569">
        <v>7328</v>
      </c>
      <c r="O367" s="569">
        <v>2000</v>
      </c>
      <c r="P367" s="569">
        <v>47328</v>
      </c>
      <c r="Q367" s="572"/>
      <c r="R367" s="568"/>
      <c r="S367" s="568"/>
      <c r="T367" s="568"/>
      <c r="U367" s="568"/>
      <c r="V367" s="799"/>
      <c r="W367" s="568" t="s">
        <v>861</v>
      </c>
      <c r="X367" s="896"/>
      <c r="Y367" s="613"/>
      <c r="Z367" s="799"/>
      <c r="AA367" s="799"/>
      <c r="AB367" s="573"/>
      <c r="AC367" s="573"/>
      <c r="AD367" s="573"/>
      <c r="AE367" s="573">
        <v>35629.01</v>
      </c>
      <c r="AF367" s="573">
        <v>0</v>
      </c>
      <c r="AG367" s="573"/>
      <c r="AH367" s="574"/>
      <c r="AI367" s="575">
        <v>0.7528103870858689</v>
      </c>
      <c r="AJ367" s="558" t="s">
        <v>594</v>
      </c>
      <c r="AK367" s="576"/>
      <c r="AL367" s="576"/>
      <c r="AM367" s="434"/>
      <c r="AN367" s="434"/>
      <c r="AO367" s="434"/>
      <c r="AP367" s="434"/>
      <c r="AQ367" s="434"/>
      <c r="AR367" s="434"/>
      <c r="AS367" s="434"/>
      <c r="AT367" s="434"/>
      <c r="AU367" s="434"/>
      <c r="AV367" s="434"/>
      <c r="AW367" s="434"/>
      <c r="AX367" s="434"/>
      <c r="AY367" s="434"/>
      <c r="AZ367" s="434"/>
      <c r="BA367" s="434"/>
      <c r="BB367" s="434"/>
      <c r="BC367" s="434"/>
      <c r="BD367" s="434"/>
      <c r="BE367" s="434"/>
      <c r="BF367" s="434"/>
    </row>
    <row r="368" spans="1:58" s="578" customFormat="1" ht="12.75" customHeight="1">
      <c r="A368" s="559"/>
      <c r="B368" s="790"/>
      <c r="C368" s="791"/>
      <c r="D368" s="792"/>
      <c r="E368" s="793"/>
      <c r="F368" s="794"/>
      <c r="G368" s="956">
        <v>5300000590</v>
      </c>
      <c r="H368" s="795"/>
      <c r="I368" s="795"/>
      <c r="J368" s="796"/>
      <c r="K368" s="707"/>
      <c r="L368" s="797"/>
      <c r="M368" s="797"/>
      <c r="N368" s="797"/>
      <c r="O368" s="797"/>
      <c r="P368" s="797"/>
      <c r="Q368" s="798">
        <f>R368+S368+T368+U368</f>
        <v>0</v>
      </c>
      <c r="R368" s="707"/>
      <c r="S368" s="707"/>
      <c r="T368" s="707"/>
      <c r="U368" s="707"/>
      <c r="V368" s="799"/>
      <c r="W368" s="707" t="s">
        <v>862</v>
      </c>
      <c r="X368" s="896"/>
      <c r="Y368" s="800"/>
      <c r="Z368" s="799"/>
      <c r="AA368" s="799"/>
      <c r="AB368" s="801"/>
      <c r="AC368" s="801"/>
      <c r="AD368" s="801"/>
      <c r="AE368" s="801"/>
      <c r="AF368" s="801"/>
      <c r="AG368" s="801"/>
      <c r="AH368" s="802"/>
      <c r="AI368" s="803"/>
      <c r="AJ368" s="558"/>
      <c r="AK368" s="576"/>
      <c r="AL368" s="576"/>
      <c r="AM368" s="434"/>
      <c r="AN368" s="434"/>
      <c r="AO368" s="434"/>
      <c r="AP368" s="434"/>
      <c r="AQ368" s="434"/>
      <c r="AR368" s="434"/>
      <c r="AS368" s="434"/>
      <c r="AT368" s="434"/>
      <c r="AU368" s="434"/>
      <c r="AV368" s="434"/>
      <c r="AW368" s="434"/>
      <c r="AX368" s="434"/>
      <c r="AY368" s="434"/>
      <c r="AZ368" s="434"/>
      <c r="BA368" s="434"/>
      <c r="BB368" s="434"/>
      <c r="BC368" s="434"/>
      <c r="BD368" s="434"/>
      <c r="BE368" s="434"/>
      <c r="BF368" s="434"/>
    </row>
    <row r="369" spans="1:58" s="578" customFormat="1" ht="12.75" customHeight="1">
      <c r="A369" s="559"/>
      <c r="B369" s="560" t="s">
        <v>845</v>
      </c>
      <c r="C369" s="561" t="s">
        <v>845</v>
      </c>
      <c r="D369" s="562"/>
      <c r="E369" s="563"/>
      <c r="F369" s="564"/>
      <c r="G369" s="668">
        <v>5300000590</v>
      </c>
      <c r="H369" s="566" t="s">
        <v>625</v>
      </c>
      <c r="I369" s="566">
        <v>226</v>
      </c>
      <c r="J369" s="567"/>
      <c r="K369" s="568"/>
      <c r="L369" s="569"/>
      <c r="M369" s="569"/>
      <c r="N369" s="569"/>
      <c r="O369" s="569"/>
      <c r="P369" s="569"/>
      <c r="Q369" s="572">
        <f>R369+S369+T369+U369</f>
        <v>0</v>
      </c>
      <c r="R369" s="568"/>
      <c r="S369" s="568"/>
      <c r="T369" s="568"/>
      <c r="U369" s="568"/>
      <c r="V369" s="799">
        <v>6000</v>
      </c>
      <c r="W369" s="568" t="s">
        <v>863</v>
      </c>
      <c r="X369" s="896"/>
      <c r="Y369" s="613"/>
      <c r="Z369" s="799"/>
      <c r="AA369" s="799"/>
      <c r="AB369" s="573"/>
      <c r="AC369" s="573"/>
      <c r="AD369" s="573"/>
      <c r="AE369" s="573">
        <v>35629.01</v>
      </c>
      <c r="AF369" s="573">
        <v>0</v>
      </c>
      <c r="AG369" s="573"/>
      <c r="AH369" s="574"/>
      <c r="AI369" s="575">
        <v>0.7528103870858689</v>
      </c>
      <c r="AJ369" s="558" t="s">
        <v>594</v>
      </c>
      <c r="AK369" s="576"/>
      <c r="AL369" s="576"/>
      <c r="AM369" s="434"/>
      <c r="AN369" s="434"/>
      <c r="AO369" s="434"/>
      <c r="AP369" s="434"/>
      <c r="AQ369" s="434"/>
      <c r="AR369" s="434"/>
      <c r="AS369" s="434"/>
      <c r="AT369" s="434"/>
      <c r="AU369" s="434"/>
      <c r="AV369" s="434"/>
      <c r="AW369" s="434"/>
      <c r="AX369" s="434"/>
      <c r="AY369" s="434"/>
      <c r="AZ369" s="434"/>
      <c r="BA369" s="434"/>
      <c r="BB369" s="434"/>
      <c r="BC369" s="434"/>
      <c r="BD369" s="434"/>
      <c r="BE369" s="434"/>
      <c r="BF369" s="434"/>
    </row>
    <row r="370" spans="1:58" s="578" customFormat="1" ht="12.75" customHeight="1">
      <c r="A370" s="559"/>
      <c r="B370" s="560" t="s">
        <v>845</v>
      </c>
      <c r="C370" s="561" t="s">
        <v>845</v>
      </c>
      <c r="D370" s="562"/>
      <c r="E370" s="563"/>
      <c r="F370" s="564"/>
      <c r="G370" s="668">
        <v>5300000590</v>
      </c>
      <c r="H370" s="566" t="s">
        <v>625</v>
      </c>
      <c r="I370" s="566">
        <v>226</v>
      </c>
      <c r="J370" s="567"/>
      <c r="K370" s="568"/>
      <c r="L370" s="569"/>
      <c r="M370" s="569"/>
      <c r="N370" s="569"/>
      <c r="O370" s="569"/>
      <c r="P370" s="569"/>
      <c r="Q370" s="572">
        <f>R370+S370+T370+U370</f>
        <v>0</v>
      </c>
      <c r="R370" s="568"/>
      <c r="S370" s="568"/>
      <c r="T370" s="568"/>
      <c r="U370" s="568"/>
      <c r="V370" s="611">
        <v>6000</v>
      </c>
      <c r="W370" s="568" t="s">
        <v>864</v>
      </c>
      <c r="X370" s="896"/>
      <c r="Y370" s="613"/>
      <c r="Z370" s="611"/>
      <c r="AA370" s="611"/>
      <c r="AB370" s="573"/>
      <c r="AC370" s="573"/>
      <c r="AD370" s="573"/>
      <c r="AE370" s="573">
        <v>35629.01</v>
      </c>
      <c r="AF370" s="573">
        <v>0</v>
      </c>
      <c r="AG370" s="573"/>
      <c r="AH370" s="574"/>
      <c r="AI370" s="575">
        <v>0.7528103870858689</v>
      </c>
      <c r="AJ370" s="558" t="s">
        <v>594</v>
      </c>
      <c r="AK370" s="576"/>
      <c r="AL370" s="576"/>
      <c r="AM370" s="434"/>
      <c r="AN370" s="434"/>
      <c r="AO370" s="434"/>
      <c r="AP370" s="434"/>
      <c r="AQ370" s="434"/>
      <c r="AR370" s="434"/>
      <c r="AS370" s="434"/>
      <c r="AT370" s="434"/>
      <c r="AU370" s="434"/>
      <c r="AV370" s="434"/>
      <c r="AW370" s="434"/>
      <c r="AX370" s="434"/>
      <c r="AY370" s="434"/>
      <c r="AZ370" s="434"/>
      <c r="BA370" s="434"/>
      <c r="BB370" s="434"/>
      <c r="BC370" s="434"/>
      <c r="BD370" s="434"/>
      <c r="BE370" s="434"/>
      <c r="BF370" s="434"/>
    </row>
    <row r="371" spans="1:58" s="578" customFormat="1" ht="12.75" customHeight="1">
      <c r="A371" s="1021">
        <f>V371</f>
        <v>85000</v>
      </c>
      <c r="B371" s="790"/>
      <c r="C371" s="791"/>
      <c r="D371" s="792"/>
      <c r="E371" s="793"/>
      <c r="F371" s="794"/>
      <c r="G371" s="956">
        <v>5300000590</v>
      </c>
      <c r="H371" s="795"/>
      <c r="I371" s="795"/>
      <c r="J371" s="796"/>
      <c r="K371" s="707"/>
      <c r="L371" s="797"/>
      <c r="M371" s="797"/>
      <c r="N371" s="797"/>
      <c r="O371" s="797"/>
      <c r="P371" s="797"/>
      <c r="Q371" s="798">
        <f>R371+S371+T371+U371</f>
        <v>0</v>
      </c>
      <c r="R371" s="707"/>
      <c r="S371" s="707"/>
      <c r="T371" s="707"/>
      <c r="U371" s="707"/>
      <c r="V371" s="799">
        <f>97000-12000</f>
        <v>85000</v>
      </c>
      <c r="W371" s="707"/>
      <c r="X371" s="896"/>
      <c r="Y371" s="800"/>
      <c r="Z371" s="799"/>
      <c r="AA371" s="799"/>
      <c r="AB371" s="801"/>
      <c r="AC371" s="801"/>
      <c r="AD371" s="801"/>
      <c r="AE371" s="801"/>
      <c r="AF371" s="801"/>
      <c r="AG371" s="801"/>
      <c r="AH371" s="802"/>
      <c r="AI371" s="803"/>
      <c r="AJ371" s="558"/>
      <c r="AK371" s="576"/>
      <c r="AL371" s="576"/>
      <c r="AM371" s="434"/>
      <c r="AN371" s="434"/>
      <c r="AO371" s="434"/>
      <c r="AP371" s="434"/>
      <c r="AQ371" s="434"/>
      <c r="AR371" s="434"/>
      <c r="AS371" s="434"/>
      <c r="AT371" s="434"/>
      <c r="AU371" s="434"/>
      <c r="AV371" s="434"/>
      <c r="AW371" s="434"/>
      <c r="AX371" s="434"/>
      <c r="AY371" s="434"/>
      <c r="AZ371" s="434"/>
      <c r="BA371" s="434"/>
      <c r="BB371" s="434"/>
      <c r="BC371" s="434"/>
      <c r="BD371" s="434"/>
      <c r="BE371" s="434"/>
      <c r="BF371" s="434"/>
    </row>
    <row r="372" spans="1:58" s="578" customFormat="1" ht="12.75" customHeight="1">
      <c r="A372" s="559"/>
      <c r="B372" s="790"/>
      <c r="C372" s="791"/>
      <c r="D372" s="792"/>
      <c r="E372" s="793"/>
      <c r="F372" s="794"/>
      <c r="G372" s="956"/>
      <c r="H372" s="795"/>
      <c r="I372" s="795"/>
      <c r="J372" s="796"/>
      <c r="K372" s="707"/>
      <c r="L372" s="797"/>
      <c r="M372" s="797"/>
      <c r="N372" s="797"/>
      <c r="O372" s="797"/>
      <c r="P372" s="797"/>
      <c r="Q372" s="1019">
        <f>Q369+Q370+Q371</f>
        <v>0</v>
      </c>
      <c r="R372" s="1019">
        <f>R369+R370+R371</f>
        <v>0</v>
      </c>
      <c r="S372" s="1019">
        <f>S369+S370</f>
        <v>0</v>
      </c>
      <c r="T372" s="1019">
        <f>T369+T370</f>
        <v>0</v>
      </c>
      <c r="U372" s="1019">
        <f>U369+U370</f>
        <v>0</v>
      </c>
      <c r="V372" s="1019">
        <f>V369+V370+V371+V367+V368</f>
        <v>97000</v>
      </c>
      <c r="W372" s="707"/>
      <c r="X372" s="1020"/>
      <c r="Y372" s="800"/>
      <c r="Z372" s="1019">
        <f>Z369+Z370+Z371+Z367+Z368</f>
        <v>0</v>
      </c>
      <c r="AA372" s="1019">
        <f>AA369+AA370+AA371+AA367+AA368</f>
        <v>0</v>
      </c>
      <c r="AB372" s="801"/>
      <c r="AC372" s="801"/>
      <c r="AD372" s="801"/>
      <c r="AE372" s="801"/>
      <c r="AF372" s="801"/>
      <c r="AG372" s="801"/>
      <c r="AH372" s="802"/>
      <c r="AI372" s="803"/>
      <c r="AJ372" s="558"/>
      <c r="AK372" s="576"/>
      <c r="AL372" s="576"/>
      <c r="AM372" s="434"/>
      <c r="AN372" s="434"/>
      <c r="AO372" s="434"/>
      <c r="AP372" s="434"/>
      <c r="AQ372" s="434"/>
      <c r="AR372" s="434"/>
      <c r="AS372" s="434"/>
      <c r="AT372" s="434"/>
      <c r="AU372" s="434"/>
      <c r="AV372" s="434"/>
      <c r="AW372" s="434"/>
      <c r="AX372" s="434"/>
      <c r="AY372" s="434"/>
      <c r="AZ372" s="434"/>
      <c r="BA372" s="434"/>
      <c r="BB372" s="434"/>
      <c r="BC372" s="434"/>
      <c r="BD372" s="434"/>
      <c r="BE372" s="434"/>
      <c r="BF372" s="434"/>
    </row>
    <row r="373" spans="1:58" s="1032" customFormat="1" ht="45.75" customHeight="1">
      <c r="A373" s="1022"/>
      <c r="B373" s="790" t="s">
        <v>845</v>
      </c>
      <c r="C373" s="791" t="s">
        <v>845</v>
      </c>
      <c r="D373" s="792">
        <v>656530014</v>
      </c>
      <c r="E373" s="1023">
        <v>801</v>
      </c>
      <c r="F373" s="794">
        <v>656</v>
      </c>
      <c r="G373" s="956">
        <v>5300000590</v>
      </c>
      <c r="H373" s="794" t="s">
        <v>625</v>
      </c>
      <c r="I373" s="794">
        <v>290</v>
      </c>
      <c r="J373" s="1024" t="s">
        <v>149</v>
      </c>
      <c r="K373" s="797"/>
      <c r="L373" s="797">
        <v>15000</v>
      </c>
      <c r="M373" s="797">
        <v>840</v>
      </c>
      <c r="N373" s="797">
        <v>205.8</v>
      </c>
      <c r="O373" s="797">
        <v>5000</v>
      </c>
      <c r="P373" s="797">
        <v>21045.8</v>
      </c>
      <c r="Q373" s="798">
        <f>R373+S373+T373+U373</f>
        <v>50000</v>
      </c>
      <c r="R373" s="797">
        <v>50000</v>
      </c>
      <c r="S373" s="797">
        <v>0</v>
      </c>
      <c r="T373" s="797">
        <v>0</v>
      </c>
      <c r="U373" s="797"/>
      <c r="V373" s="1025">
        <v>20000</v>
      </c>
      <c r="W373" s="797" t="s">
        <v>865</v>
      </c>
      <c r="X373" s="571">
        <v>30000</v>
      </c>
      <c r="Y373" s="798"/>
      <c r="Z373" s="1025"/>
      <c r="AA373" s="1025"/>
      <c r="AB373" s="1026"/>
      <c r="AC373" s="1026"/>
      <c r="AD373" s="1026"/>
      <c r="AE373" s="1026">
        <v>15974.02</v>
      </c>
      <c r="AF373" s="1026">
        <v>0</v>
      </c>
      <c r="AG373" s="1026"/>
      <c r="AH373" s="1027"/>
      <c r="AI373" s="1028">
        <v>0.7590122494749547</v>
      </c>
      <c r="AJ373" s="1029" t="s">
        <v>594</v>
      </c>
      <c r="AK373" s="1030"/>
      <c r="AL373" s="1030"/>
      <c r="AM373" s="1031"/>
      <c r="AN373" s="1031"/>
      <c r="AO373" s="1031"/>
      <c r="AP373" s="1031"/>
      <c r="AQ373" s="1031"/>
      <c r="AR373" s="1031"/>
      <c r="AS373" s="1031"/>
      <c r="AT373" s="1031"/>
      <c r="AU373" s="1031"/>
      <c r="AV373" s="1031"/>
      <c r="AW373" s="1031"/>
      <c r="AX373" s="1031"/>
      <c r="AY373" s="1031"/>
      <c r="AZ373" s="1031"/>
      <c r="BA373" s="1031"/>
      <c r="BB373" s="1031"/>
      <c r="BC373" s="1031"/>
      <c r="BD373" s="1031"/>
      <c r="BE373" s="1031"/>
      <c r="BF373" s="1031"/>
    </row>
    <row r="374" spans="1:58" s="578" customFormat="1" ht="21" customHeight="1">
      <c r="A374" s="559"/>
      <c r="B374" s="790" t="s">
        <v>845</v>
      </c>
      <c r="C374" s="791" t="s">
        <v>845</v>
      </c>
      <c r="D374" s="792"/>
      <c r="E374" s="793"/>
      <c r="F374" s="794"/>
      <c r="G374" s="956">
        <v>5300000590</v>
      </c>
      <c r="H374" s="795">
        <v>853</v>
      </c>
      <c r="I374" s="795">
        <v>290</v>
      </c>
      <c r="J374" s="796" t="s">
        <v>149</v>
      </c>
      <c r="K374" s="707"/>
      <c r="L374" s="797"/>
      <c r="M374" s="797"/>
      <c r="N374" s="797"/>
      <c r="O374" s="797"/>
      <c r="P374" s="797"/>
      <c r="Q374" s="798">
        <f>R374+S374+T374+U374</f>
        <v>2000</v>
      </c>
      <c r="R374" s="707">
        <v>2000</v>
      </c>
      <c r="S374" s="707"/>
      <c r="T374" s="707"/>
      <c r="U374" s="707"/>
      <c r="V374" s="799">
        <v>3000</v>
      </c>
      <c r="W374" s="707" t="s">
        <v>866</v>
      </c>
      <c r="X374" s="896"/>
      <c r="Y374" s="800"/>
      <c r="Z374" s="799"/>
      <c r="AA374" s="799"/>
      <c r="AB374" s="801"/>
      <c r="AC374" s="801"/>
      <c r="AD374" s="801"/>
      <c r="AE374" s="801">
        <v>15974.02</v>
      </c>
      <c r="AF374" s="801">
        <v>0</v>
      </c>
      <c r="AG374" s="801"/>
      <c r="AH374" s="802"/>
      <c r="AI374" s="803">
        <v>0.7590122494749547</v>
      </c>
      <c r="AJ374" s="558" t="s">
        <v>594</v>
      </c>
      <c r="AK374" s="576"/>
      <c r="AL374" s="576"/>
      <c r="AM374" s="434"/>
      <c r="AN374" s="434"/>
      <c r="AO374" s="434"/>
      <c r="AP374" s="434"/>
      <c r="AQ374" s="434"/>
      <c r="AR374" s="434"/>
      <c r="AS374" s="434"/>
      <c r="AT374" s="434"/>
      <c r="AU374" s="434"/>
      <c r="AV374" s="434"/>
      <c r="AW374" s="434"/>
      <c r="AX374" s="434"/>
      <c r="AY374" s="434"/>
      <c r="AZ374" s="434"/>
      <c r="BA374" s="434"/>
      <c r="BB374" s="434"/>
      <c r="BC374" s="434"/>
      <c r="BD374" s="434"/>
      <c r="BE374" s="434"/>
      <c r="BF374" s="434"/>
    </row>
    <row r="375" spans="1:58" s="578" customFormat="1" ht="12.75" customHeight="1">
      <c r="A375" s="559"/>
      <c r="B375" s="790"/>
      <c r="C375" s="791"/>
      <c r="D375" s="792"/>
      <c r="E375" s="793"/>
      <c r="F375" s="794"/>
      <c r="G375" s="956">
        <v>5300000590</v>
      </c>
      <c r="H375" s="795">
        <v>851</v>
      </c>
      <c r="I375" s="795"/>
      <c r="J375" s="796" t="s">
        <v>149</v>
      </c>
      <c r="K375" s="707"/>
      <c r="L375" s="797"/>
      <c r="M375" s="797"/>
      <c r="N375" s="797"/>
      <c r="O375" s="797"/>
      <c r="P375" s="797"/>
      <c r="Q375" s="798"/>
      <c r="R375" s="707"/>
      <c r="S375" s="707"/>
      <c r="T375" s="707"/>
      <c r="U375" s="707"/>
      <c r="V375" s="799">
        <v>9000</v>
      </c>
      <c r="W375" s="707" t="s">
        <v>867</v>
      </c>
      <c r="X375" s="896">
        <v>3000</v>
      </c>
      <c r="Y375" s="800"/>
      <c r="Z375" s="799"/>
      <c r="AA375" s="799"/>
      <c r="AB375" s="801"/>
      <c r="AC375" s="801"/>
      <c r="AD375" s="801"/>
      <c r="AE375" s="801"/>
      <c r="AF375" s="801"/>
      <c r="AG375" s="801"/>
      <c r="AH375" s="802"/>
      <c r="AI375" s="803"/>
      <c r="AJ375" s="558"/>
      <c r="AK375" s="576"/>
      <c r="AL375" s="576"/>
      <c r="AM375" s="434"/>
      <c r="AN375" s="434"/>
      <c r="AO375" s="434"/>
      <c r="AP375" s="434"/>
      <c r="AQ375" s="434"/>
      <c r="AR375" s="434"/>
      <c r="AS375" s="434"/>
      <c r="AT375" s="434"/>
      <c r="AU375" s="434"/>
      <c r="AV375" s="434"/>
      <c r="AW375" s="434"/>
      <c r="AX375" s="434"/>
      <c r="AY375" s="434"/>
      <c r="AZ375" s="434"/>
      <c r="BA375" s="434"/>
      <c r="BB375" s="434"/>
      <c r="BC375" s="434"/>
      <c r="BD375" s="434"/>
      <c r="BE375" s="434"/>
      <c r="BF375" s="434"/>
    </row>
    <row r="376" spans="1:58" s="578" customFormat="1" ht="12.75" customHeight="1">
      <c r="A376" s="559"/>
      <c r="B376" s="790"/>
      <c r="C376" s="791"/>
      <c r="D376" s="792"/>
      <c r="E376" s="793"/>
      <c r="F376" s="794"/>
      <c r="G376" s="956"/>
      <c r="H376" s="795"/>
      <c r="I376" s="795"/>
      <c r="J376" s="796"/>
      <c r="K376" s="707"/>
      <c r="L376" s="797"/>
      <c r="M376" s="797"/>
      <c r="N376" s="797"/>
      <c r="O376" s="797"/>
      <c r="P376" s="797"/>
      <c r="Q376" s="798">
        <f>Q373+Q374</f>
        <v>52000</v>
      </c>
      <c r="R376" s="1019">
        <f>R373+R374</f>
        <v>52000</v>
      </c>
      <c r="S376" s="1019">
        <f>S373+S374</f>
        <v>0</v>
      </c>
      <c r="T376" s="1019">
        <f>T373+T374</f>
        <v>0</v>
      </c>
      <c r="U376" s="1019">
        <f>U373+U374</f>
        <v>0</v>
      </c>
      <c r="V376" s="1019">
        <f>V373+V374+V375</f>
        <v>32000</v>
      </c>
      <c r="W376" s="707"/>
      <c r="X376" s="1020">
        <f>X373+X374+X375</f>
        <v>33000</v>
      </c>
      <c r="Y376" s="800"/>
      <c r="Z376" s="1019">
        <f>Z373+Z374+Z375</f>
        <v>0</v>
      </c>
      <c r="AA376" s="1019">
        <f>AA373+AA374+AA375</f>
        <v>0</v>
      </c>
      <c r="AB376" s="801"/>
      <c r="AC376" s="801"/>
      <c r="AD376" s="801"/>
      <c r="AE376" s="801"/>
      <c r="AF376" s="801"/>
      <c r="AG376" s="801"/>
      <c r="AH376" s="802"/>
      <c r="AI376" s="803"/>
      <c r="AJ376" s="558"/>
      <c r="AK376" s="576"/>
      <c r="AL376" s="576"/>
      <c r="AM376" s="434"/>
      <c r="AN376" s="434"/>
      <c r="AO376" s="434"/>
      <c r="AP376" s="434"/>
      <c r="AQ376" s="434"/>
      <c r="AR376" s="434"/>
      <c r="AS376" s="434"/>
      <c r="AT376" s="434"/>
      <c r="AU376" s="434"/>
      <c r="AV376" s="434"/>
      <c r="AW376" s="434"/>
      <c r="AX376" s="434"/>
      <c r="AY376" s="434"/>
      <c r="AZ376" s="434"/>
      <c r="BA376" s="434"/>
      <c r="BB376" s="434"/>
      <c r="BC376" s="434"/>
      <c r="BD376" s="434"/>
      <c r="BE376" s="434"/>
      <c r="BF376" s="434"/>
    </row>
    <row r="377" spans="1:58" s="578" customFormat="1" ht="12.75" customHeight="1">
      <c r="A377" s="559"/>
      <c r="B377" s="790" t="s">
        <v>845</v>
      </c>
      <c r="C377" s="791" t="s">
        <v>845</v>
      </c>
      <c r="D377" s="792">
        <v>656530014</v>
      </c>
      <c r="E377" s="793">
        <v>801</v>
      </c>
      <c r="F377" s="794">
        <v>656</v>
      </c>
      <c r="G377" s="956">
        <v>5300000590</v>
      </c>
      <c r="H377" s="795" t="s">
        <v>625</v>
      </c>
      <c r="I377" s="795">
        <v>310</v>
      </c>
      <c r="J377" s="796" t="s">
        <v>743</v>
      </c>
      <c r="K377" s="707"/>
      <c r="L377" s="797">
        <v>0</v>
      </c>
      <c r="M377" s="797">
        <v>4800</v>
      </c>
      <c r="N377" s="797">
        <v>440000</v>
      </c>
      <c r="O377" s="797">
        <v>0</v>
      </c>
      <c r="P377" s="797">
        <v>444800</v>
      </c>
      <c r="Q377" s="798"/>
      <c r="R377" s="707"/>
      <c r="S377" s="707"/>
      <c r="T377" s="707"/>
      <c r="U377" s="707"/>
      <c r="V377" s="799">
        <v>83000</v>
      </c>
      <c r="W377" s="707" t="s">
        <v>868</v>
      </c>
      <c r="X377" s="896"/>
      <c r="Y377" s="800"/>
      <c r="Z377" s="799">
        <v>0</v>
      </c>
      <c r="AA377" s="799">
        <v>0</v>
      </c>
      <c r="AB377" s="801"/>
      <c r="AC377" s="801"/>
      <c r="AD377" s="801"/>
      <c r="AE377" s="801">
        <v>4800</v>
      </c>
      <c r="AF377" s="801">
        <v>0</v>
      </c>
      <c r="AG377" s="801"/>
      <c r="AH377" s="802"/>
      <c r="AI377" s="803">
        <v>0.01079136690647482</v>
      </c>
      <c r="AJ377" s="558" t="s">
        <v>594</v>
      </c>
      <c r="AK377" s="576"/>
      <c r="AL377" s="576"/>
      <c r="AM377" s="434"/>
      <c r="AN377" s="434"/>
      <c r="AO377" s="434"/>
      <c r="AP377" s="434"/>
      <c r="AQ377" s="434"/>
      <c r="AR377" s="434"/>
      <c r="AS377" s="434"/>
      <c r="AT377" s="434"/>
      <c r="AU377" s="434"/>
      <c r="AV377" s="434"/>
      <c r="AW377" s="434"/>
      <c r="AX377" s="434"/>
      <c r="AY377" s="434"/>
      <c r="AZ377" s="434"/>
      <c r="BA377" s="434"/>
      <c r="BB377" s="434"/>
      <c r="BC377" s="434"/>
      <c r="BD377" s="434"/>
      <c r="BE377" s="434"/>
      <c r="BF377" s="434"/>
    </row>
    <row r="378" spans="1:58" s="578" customFormat="1" ht="12.75" customHeight="1">
      <c r="A378" s="559"/>
      <c r="B378" s="790" t="s">
        <v>845</v>
      </c>
      <c r="C378" s="791" t="s">
        <v>845</v>
      </c>
      <c r="D378" s="792">
        <v>656530014</v>
      </c>
      <c r="E378" s="793">
        <v>801</v>
      </c>
      <c r="F378" s="794">
        <v>656</v>
      </c>
      <c r="G378" s="956">
        <v>5300000590</v>
      </c>
      <c r="H378" s="795" t="s">
        <v>625</v>
      </c>
      <c r="I378" s="795">
        <v>340</v>
      </c>
      <c r="J378" s="796" t="s">
        <v>152</v>
      </c>
      <c r="K378" s="707"/>
      <c r="L378" s="797">
        <v>17000</v>
      </c>
      <c r="M378" s="797">
        <v>62360</v>
      </c>
      <c r="N378" s="797">
        <v>-30</v>
      </c>
      <c r="O378" s="797">
        <v>0</v>
      </c>
      <c r="P378" s="797">
        <v>79330</v>
      </c>
      <c r="Q378" s="798">
        <f>R378+S378+T378+U378</f>
        <v>50000</v>
      </c>
      <c r="R378" s="707">
        <v>20000</v>
      </c>
      <c r="S378" s="707">
        <v>30000</v>
      </c>
      <c r="T378" s="707"/>
      <c r="U378" s="707"/>
      <c r="V378" s="1019">
        <v>10000</v>
      </c>
      <c r="W378" s="707" t="s">
        <v>869</v>
      </c>
      <c r="X378" s="896">
        <v>40000</v>
      </c>
      <c r="Y378" s="800"/>
      <c r="Z378" s="1019"/>
      <c r="AA378" s="1019"/>
      <c r="AB378" s="801"/>
      <c r="AC378" s="801"/>
      <c r="AD378" s="801"/>
      <c r="AE378" s="801">
        <v>44793.9</v>
      </c>
      <c r="AF378" s="801">
        <v>0</v>
      </c>
      <c r="AG378" s="801"/>
      <c r="AH378" s="802"/>
      <c r="AI378" s="803">
        <v>0.5646527165006934</v>
      </c>
      <c r="AJ378" s="558" t="s">
        <v>594</v>
      </c>
      <c r="AK378" s="576"/>
      <c r="AL378" s="576"/>
      <c r="AM378" s="434"/>
      <c r="AN378" s="434"/>
      <c r="AO378" s="434"/>
      <c r="AP378" s="434"/>
      <c r="AQ378" s="434"/>
      <c r="AR378" s="434"/>
      <c r="AS378" s="434"/>
      <c r="AT378" s="434"/>
      <c r="AU378" s="434"/>
      <c r="AV378" s="434"/>
      <c r="AW378" s="434"/>
      <c r="AX378" s="434"/>
      <c r="AY378" s="434"/>
      <c r="AZ378" s="434"/>
      <c r="BA378" s="434"/>
      <c r="BB378" s="434"/>
      <c r="BC378" s="434"/>
      <c r="BD378" s="434"/>
      <c r="BE378" s="434"/>
      <c r="BF378" s="434"/>
    </row>
    <row r="379" spans="1:58" s="578" customFormat="1" ht="12.75" customHeight="1">
      <c r="A379" s="559"/>
      <c r="B379" s="1295" t="s">
        <v>613</v>
      </c>
      <c r="C379" s="1295"/>
      <c r="D379" s="1295"/>
      <c r="E379" s="1295"/>
      <c r="F379" s="1295"/>
      <c r="G379" s="1295"/>
      <c r="H379" s="1295"/>
      <c r="I379" s="1295"/>
      <c r="J379" s="1295"/>
      <c r="K379" s="1296"/>
      <c r="L379" s="959">
        <v>673376</v>
      </c>
      <c r="M379" s="960">
        <v>257624</v>
      </c>
      <c r="N379" s="960">
        <v>537328</v>
      </c>
      <c r="O379" s="959">
        <v>24800</v>
      </c>
      <c r="P379" s="960">
        <v>1493128</v>
      </c>
      <c r="Q379" s="910">
        <f>R379+S379+T379+U379</f>
        <v>1051000</v>
      </c>
      <c r="R379" s="910">
        <f>R356+R366+R372+R376+R378</f>
        <v>634750</v>
      </c>
      <c r="S379" s="910">
        <f>S356+S366+S372+S376+S378</f>
        <v>369250</v>
      </c>
      <c r="T379" s="910">
        <f>T356+T366+T372+T376+T378</f>
        <v>140250</v>
      </c>
      <c r="U379" s="910">
        <f>U356+U366+U372+U376+U378</f>
        <v>-93250</v>
      </c>
      <c r="V379" s="910">
        <f>V356+V366+V376+V377+V378+V372+V349+V345+V342</f>
        <v>3836114</v>
      </c>
      <c r="W379" s="911">
        <f>V356+V366+V372+V376+V378+V377</f>
        <v>899100</v>
      </c>
      <c r="X379" s="816">
        <f>X356+X366+X376+X377+X378+X372+X349+X345+X342</f>
        <v>814188.59</v>
      </c>
      <c r="Y379" s="912">
        <f>V379-W379</f>
        <v>2937014</v>
      </c>
      <c r="Z379" s="910">
        <f>Z356+Z366+Z376+Z377+Z378+Z372+Z349+Z345+Z342</f>
        <v>2931801.57</v>
      </c>
      <c r="AA379" s="910">
        <f>AA356+AA366+AA376+AA377+AA378+AA372+AA349+AA345+AA342</f>
        <v>4152783</v>
      </c>
      <c r="AB379" s="1297"/>
      <c r="AC379" s="1297"/>
      <c r="AD379" s="1297"/>
      <c r="AE379" s="964">
        <v>733770.84</v>
      </c>
      <c r="AF379" s="965">
        <v>0</v>
      </c>
      <c r="AG379" s="1297"/>
      <c r="AH379" s="1297"/>
      <c r="AI379" s="966">
        <v>0.49143197368209557</v>
      </c>
      <c r="AJ379" s="558" t="s">
        <v>594</v>
      </c>
      <c r="AK379" s="576"/>
      <c r="AL379" s="576"/>
      <c r="AM379" s="577">
        <f>Z378+Z375+Z372+Z366+Z356</f>
        <v>24787.570000000007</v>
      </c>
      <c r="AN379" s="577">
        <f>AA378+AA375+AA372+AA366+AA356+AA36</f>
        <v>1245769</v>
      </c>
      <c r="AO379" s="434"/>
      <c r="AP379" s="434"/>
      <c r="AQ379" s="434"/>
      <c r="AR379" s="434"/>
      <c r="AS379" s="434"/>
      <c r="AT379" s="434"/>
      <c r="AU379" s="434"/>
      <c r="AV379" s="434"/>
      <c r="AW379" s="434"/>
      <c r="AX379" s="434"/>
      <c r="AY379" s="434"/>
      <c r="AZ379" s="434"/>
      <c r="BA379" s="434"/>
      <c r="BB379" s="434"/>
      <c r="BC379" s="434"/>
      <c r="BD379" s="434"/>
      <c r="BE379" s="434"/>
      <c r="BF379" s="434"/>
    </row>
    <row r="380" spans="1:58" s="578" customFormat="1" ht="12.75" customHeight="1" hidden="1">
      <c r="A380" s="559"/>
      <c r="B380" s="1294" t="s">
        <v>870</v>
      </c>
      <c r="C380" s="1294"/>
      <c r="D380" s="1294"/>
      <c r="E380" s="1294"/>
      <c r="F380" s="1294"/>
      <c r="G380" s="1294"/>
      <c r="H380" s="1294"/>
      <c r="I380" s="1294"/>
      <c r="J380" s="1294"/>
      <c r="K380" s="1294"/>
      <c r="L380" s="1294"/>
      <c r="M380" s="1294"/>
      <c r="N380" s="1294"/>
      <c r="O380" s="1294"/>
      <c r="P380" s="1294"/>
      <c r="Q380" s="1294"/>
      <c r="R380" s="1294"/>
      <c r="S380" s="1294"/>
      <c r="T380" s="1294"/>
      <c r="U380" s="1294"/>
      <c r="V380" s="1294"/>
      <c r="W380" s="1294"/>
      <c r="X380" s="1294"/>
      <c r="Y380" s="1294"/>
      <c r="Z380" s="1294"/>
      <c r="AA380" s="1294"/>
      <c r="AB380" s="1294"/>
      <c r="AC380" s="1294"/>
      <c r="AD380" s="1294"/>
      <c r="AE380" s="1294"/>
      <c r="AF380" s="1294"/>
      <c r="AG380" s="1294"/>
      <c r="AH380" s="1294"/>
      <c r="AI380" s="1294"/>
      <c r="AJ380" s="558" t="s">
        <v>594</v>
      </c>
      <c r="AK380" s="576"/>
      <c r="AL380" s="576"/>
      <c r="AM380" s="434"/>
      <c r="AN380" s="434"/>
      <c r="AO380" s="434"/>
      <c r="AP380" s="434"/>
      <c r="AQ380" s="434"/>
      <c r="AR380" s="434"/>
      <c r="AS380" s="434"/>
      <c r="AT380" s="434"/>
      <c r="AU380" s="434"/>
      <c r="AV380" s="434"/>
      <c r="AW380" s="434"/>
      <c r="AX380" s="434"/>
      <c r="AY380" s="434"/>
      <c r="AZ380" s="434"/>
      <c r="BA380" s="434"/>
      <c r="BB380" s="434"/>
      <c r="BC380" s="434"/>
      <c r="BD380" s="434"/>
      <c r="BE380" s="434"/>
      <c r="BF380" s="434"/>
    </row>
    <row r="381" spans="1:58" s="578" customFormat="1" ht="12.75" customHeight="1" hidden="1">
      <c r="A381" s="559"/>
      <c r="B381" s="790" t="s">
        <v>870</v>
      </c>
      <c r="C381" s="791" t="s">
        <v>870</v>
      </c>
      <c r="D381" s="792">
        <v>656080015</v>
      </c>
      <c r="E381" s="793">
        <v>801</v>
      </c>
      <c r="F381" s="794">
        <v>656</v>
      </c>
      <c r="G381" s="956">
        <v>4409900</v>
      </c>
      <c r="H381" s="795" t="s">
        <v>625</v>
      </c>
      <c r="I381" s="795">
        <v>0</v>
      </c>
      <c r="J381" s="796">
        <v>0</v>
      </c>
      <c r="K381" s="707"/>
      <c r="L381" s="797">
        <v>0</v>
      </c>
      <c r="M381" s="797">
        <v>0</v>
      </c>
      <c r="N381" s="797">
        <v>0</v>
      </c>
      <c r="O381" s="797">
        <v>0</v>
      </c>
      <c r="P381" s="797">
        <v>0</v>
      </c>
      <c r="Q381" s="798"/>
      <c r="R381" s="707"/>
      <c r="S381" s="707"/>
      <c r="T381" s="707"/>
      <c r="U381" s="707"/>
      <c r="V381" s="799">
        <v>0</v>
      </c>
      <c r="W381" s="707"/>
      <c r="X381" s="612"/>
      <c r="Y381" s="800"/>
      <c r="Z381" s="707"/>
      <c r="AA381" s="957"/>
      <c r="AB381" s="801"/>
      <c r="AC381" s="801"/>
      <c r="AD381" s="801"/>
      <c r="AE381" s="801">
        <v>0</v>
      </c>
      <c r="AF381" s="801">
        <v>0</v>
      </c>
      <c r="AG381" s="801"/>
      <c r="AH381" s="802"/>
      <c r="AI381" s="803"/>
      <c r="AJ381" s="558" t="s">
        <v>594</v>
      </c>
      <c r="AK381" s="576"/>
      <c r="AL381" s="576"/>
      <c r="AM381" s="434"/>
      <c r="AN381" s="434"/>
      <c r="AO381" s="434"/>
      <c r="AP381" s="434"/>
      <c r="AQ381" s="434"/>
      <c r="AR381" s="434"/>
      <c r="AS381" s="434"/>
      <c r="AT381" s="434"/>
      <c r="AU381" s="434"/>
      <c r="AV381" s="434"/>
      <c r="AW381" s="434"/>
      <c r="AX381" s="434"/>
      <c r="AY381" s="434"/>
      <c r="AZ381" s="434"/>
      <c r="BA381" s="434"/>
      <c r="BB381" s="434"/>
      <c r="BC381" s="434"/>
      <c r="BD381" s="434"/>
      <c r="BE381" s="434"/>
      <c r="BF381" s="434"/>
    </row>
    <row r="382" spans="1:58" s="578" customFormat="1" ht="12.75" customHeight="1" hidden="1">
      <c r="A382" s="559"/>
      <c r="B382" s="790" t="s">
        <v>870</v>
      </c>
      <c r="C382" s="791" t="s">
        <v>870</v>
      </c>
      <c r="D382" s="792">
        <v>656080015</v>
      </c>
      <c r="E382" s="793">
        <v>801</v>
      </c>
      <c r="F382" s="794">
        <v>656</v>
      </c>
      <c r="G382" s="956">
        <v>4409900</v>
      </c>
      <c r="H382" s="795" t="s">
        <v>625</v>
      </c>
      <c r="I382" s="795">
        <v>310</v>
      </c>
      <c r="J382" s="796" t="s">
        <v>743</v>
      </c>
      <c r="K382" s="707"/>
      <c r="L382" s="797">
        <v>0</v>
      </c>
      <c r="M382" s="797">
        <v>100000</v>
      </c>
      <c r="N382" s="797">
        <v>0</v>
      </c>
      <c r="O382" s="797">
        <v>0</v>
      </c>
      <c r="P382" s="797">
        <v>100000</v>
      </c>
      <c r="Q382" s="798"/>
      <c r="R382" s="707"/>
      <c r="S382" s="707"/>
      <c r="T382" s="707"/>
      <c r="U382" s="707"/>
      <c r="V382" s="799">
        <v>0</v>
      </c>
      <c r="W382" s="707"/>
      <c r="X382" s="612"/>
      <c r="Y382" s="800"/>
      <c r="Z382" s="707"/>
      <c r="AA382" s="957"/>
      <c r="AB382" s="801"/>
      <c r="AC382" s="801"/>
      <c r="AD382" s="801"/>
      <c r="AE382" s="801">
        <v>100000</v>
      </c>
      <c r="AF382" s="801">
        <v>0</v>
      </c>
      <c r="AG382" s="801"/>
      <c r="AH382" s="802"/>
      <c r="AI382" s="803">
        <v>1</v>
      </c>
      <c r="AJ382" s="558" t="s">
        <v>594</v>
      </c>
      <c r="AK382" s="576"/>
      <c r="AL382" s="576"/>
      <c r="AM382" s="434"/>
      <c r="AN382" s="434"/>
      <c r="AO382" s="434"/>
      <c r="AP382" s="434"/>
      <c r="AQ382" s="434"/>
      <c r="AR382" s="434"/>
      <c r="AS382" s="434"/>
      <c r="AT382" s="434"/>
      <c r="AU382" s="434"/>
      <c r="AV382" s="434"/>
      <c r="AW382" s="434"/>
      <c r="AX382" s="434"/>
      <c r="AY382" s="434"/>
      <c r="AZ382" s="434"/>
      <c r="BA382" s="434"/>
      <c r="BB382" s="434"/>
      <c r="BC382" s="434"/>
      <c r="BD382" s="434"/>
      <c r="BE382" s="434"/>
      <c r="BF382" s="434"/>
    </row>
    <row r="383" spans="1:58" s="578" customFormat="1" ht="12.75" customHeight="1" hidden="1">
      <c r="A383" s="559"/>
      <c r="B383" s="1295" t="s">
        <v>613</v>
      </c>
      <c r="C383" s="1295"/>
      <c r="D383" s="1295"/>
      <c r="E383" s="1295"/>
      <c r="F383" s="1295"/>
      <c r="G383" s="1295"/>
      <c r="H383" s="1295"/>
      <c r="I383" s="1295"/>
      <c r="J383" s="1295"/>
      <c r="K383" s="1296"/>
      <c r="L383" s="959">
        <v>0</v>
      </c>
      <c r="M383" s="960">
        <v>100000</v>
      </c>
      <c r="N383" s="960">
        <v>0</v>
      </c>
      <c r="O383" s="959">
        <v>0</v>
      </c>
      <c r="P383" s="960">
        <v>100000</v>
      </c>
      <c r="Q383" s="967"/>
      <c r="R383" s="807"/>
      <c r="S383" s="962"/>
      <c r="T383" s="807"/>
      <c r="U383" s="962"/>
      <c r="V383" s="910">
        <v>0</v>
      </c>
      <c r="W383" s="911"/>
      <c r="X383" s="683"/>
      <c r="Y383" s="912"/>
      <c r="Z383" s="911"/>
      <c r="AA383" s="963"/>
      <c r="AB383" s="1297"/>
      <c r="AC383" s="1297"/>
      <c r="AD383" s="1297"/>
      <c r="AE383" s="964">
        <v>100000</v>
      </c>
      <c r="AF383" s="965">
        <v>0</v>
      </c>
      <c r="AG383" s="1297"/>
      <c r="AH383" s="1297"/>
      <c r="AI383" s="966">
        <v>1</v>
      </c>
      <c r="AJ383" s="558" t="s">
        <v>594</v>
      </c>
      <c r="AK383" s="576"/>
      <c r="AL383" s="576"/>
      <c r="AM383" s="434"/>
      <c r="AN383" s="434"/>
      <c r="AO383" s="434"/>
      <c r="AP383" s="434"/>
      <c r="AQ383" s="434"/>
      <c r="AR383" s="434"/>
      <c r="AS383" s="434"/>
      <c r="AT383" s="434"/>
      <c r="AU383" s="434"/>
      <c r="AV383" s="434"/>
      <c r="AW383" s="434"/>
      <c r="AX383" s="434"/>
      <c r="AY383" s="434"/>
      <c r="AZ383" s="434"/>
      <c r="BA383" s="434"/>
      <c r="BB383" s="434"/>
      <c r="BC383" s="434"/>
      <c r="BD383" s="434"/>
      <c r="BE383" s="434"/>
      <c r="BF383" s="434"/>
    </row>
    <row r="384" spans="1:58" s="578" customFormat="1" ht="30.75" customHeight="1">
      <c r="A384" s="559"/>
      <c r="B384" s="1272" t="s">
        <v>871</v>
      </c>
      <c r="C384" s="1272"/>
      <c r="D384" s="1272"/>
      <c r="E384" s="1272"/>
      <c r="F384" s="1272"/>
      <c r="G384" s="1272"/>
      <c r="H384" s="1272"/>
      <c r="I384" s="1272"/>
      <c r="J384" s="1272"/>
      <c r="K384" s="1272"/>
      <c r="L384" s="1272"/>
      <c r="M384" s="1272"/>
      <c r="N384" s="1272"/>
      <c r="O384" s="1272"/>
      <c r="P384" s="1272"/>
      <c r="Q384" s="1272"/>
      <c r="R384" s="1272"/>
      <c r="S384" s="1272"/>
      <c r="T384" s="1272"/>
      <c r="U384" s="1272"/>
      <c r="V384" s="1272"/>
      <c r="W384" s="1272"/>
      <c r="X384" s="1272"/>
      <c r="Y384" s="1272"/>
      <c r="Z384" s="1272"/>
      <c r="AA384" s="1272"/>
      <c r="AB384" s="1272"/>
      <c r="AC384" s="1272"/>
      <c r="AD384" s="1272"/>
      <c r="AE384" s="1272"/>
      <c r="AF384" s="1272"/>
      <c r="AG384" s="1272"/>
      <c r="AH384" s="1272"/>
      <c r="AI384" s="1272"/>
      <c r="AJ384" s="558" t="s">
        <v>594</v>
      </c>
      <c r="AK384" s="576"/>
      <c r="AL384" s="576"/>
      <c r="AM384" s="434"/>
      <c r="AN384" s="434"/>
      <c r="AO384" s="434"/>
      <c r="AP384" s="434"/>
      <c r="AQ384" s="434"/>
      <c r="AR384" s="434"/>
      <c r="AS384" s="434"/>
      <c r="AT384" s="434"/>
      <c r="AU384" s="434"/>
      <c r="AV384" s="434"/>
      <c r="AW384" s="434"/>
      <c r="AX384" s="434"/>
      <c r="AY384" s="434"/>
      <c r="AZ384" s="434"/>
      <c r="BA384" s="434"/>
      <c r="BB384" s="434"/>
      <c r="BC384" s="434"/>
      <c r="BD384" s="434"/>
      <c r="BE384" s="434"/>
      <c r="BF384" s="434"/>
    </row>
    <row r="385" spans="1:58" s="1038" customFormat="1" ht="12.75" customHeight="1">
      <c r="A385" s="1033"/>
      <c r="B385" s="591" t="s">
        <v>872</v>
      </c>
      <c r="C385" s="592" t="s">
        <v>872</v>
      </c>
      <c r="D385" s="593">
        <v>656530015</v>
      </c>
      <c r="E385" s="594">
        <v>801</v>
      </c>
      <c r="F385" s="595">
        <v>656</v>
      </c>
      <c r="G385" s="1034">
        <v>5300082420</v>
      </c>
      <c r="H385" s="597">
        <v>244</v>
      </c>
      <c r="I385" s="597">
        <v>226</v>
      </c>
      <c r="J385" s="598">
        <v>0</v>
      </c>
      <c r="K385" s="599"/>
      <c r="L385" s="600">
        <v>65000</v>
      </c>
      <c r="M385" s="600">
        <v>97000</v>
      </c>
      <c r="N385" s="600">
        <v>73000</v>
      </c>
      <c r="O385" s="600">
        <v>60400</v>
      </c>
      <c r="P385" s="600">
        <v>295400</v>
      </c>
      <c r="Q385" s="602">
        <f>R385+S385+T385+U385</f>
        <v>326000</v>
      </c>
      <c r="R385" s="599">
        <v>81500</v>
      </c>
      <c r="S385" s="599">
        <f>81500+20000</f>
        <v>101500</v>
      </c>
      <c r="T385" s="599">
        <v>81500</v>
      </c>
      <c r="U385" s="599">
        <f>81500-20000</f>
        <v>61500</v>
      </c>
      <c r="V385" s="669">
        <v>0</v>
      </c>
      <c r="W385" s="599">
        <v>0</v>
      </c>
      <c r="X385" s="986">
        <f>V385*100/85-V385</f>
        <v>0</v>
      </c>
      <c r="Y385" s="986"/>
      <c r="Z385" s="669">
        <v>0</v>
      </c>
      <c r="AA385" s="669">
        <v>100000</v>
      </c>
      <c r="AB385" s="603"/>
      <c r="AC385" s="603"/>
      <c r="AD385" s="603"/>
      <c r="AE385" s="603">
        <v>210683.62</v>
      </c>
      <c r="AF385" s="603">
        <v>0</v>
      </c>
      <c r="AG385" s="603"/>
      <c r="AH385" s="604"/>
      <c r="AI385" s="605">
        <v>0.7132146919431279</v>
      </c>
      <c r="AJ385" s="1035" t="s">
        <v>594</v>
      </c>
      <c r="AK385" s="1036"/>
      <c r="AL385" s="1036"/>
      <c r="AM385" s="1037"/>
      <c r="AN385" s="1037"/>
      <c r="AO385" s="1037"/>
      <c r="AP385" s="1037"/>
      <c r="AQ385" s="1037"/>
      <c r="AR385" s="1037"/>
      <c r="AS385" s="1037"/>
      <c r="AT385" s="1037"/>
      <c r="AU385" s="1037"/>
      <c r="AV385" s="1037"/>
      <c r="AW385" s="1037"/>
      <c r="AX385" s="1037"/>
      <c r="AY385" s="1037"/>
      <c r="AZ385" s="1037"/>
      <c r="BA385" s="1037"/>
      <c r="BB385" s="1037"/>
      <c r="BC385" s="1037"/>
      <c r="BD385" s="1037"/>
      <c r="BE385" s="1037"/>
      <c r="BF385" s="1037"/>
    </row>
    <row r="386" spans="1:58" s="1038" customFormat="1" ht="12.75" customHeight="1">
      <c r="A386" s="1033"/>
      <c r="B386" s="591" t="s">
        <v>872</v>
      </c>
      <c r="C386" s="592" t="s">
        <v>872</v>
      </c>
      <c r="D386" s="593">
        <v>656530015</v>
      </c>
      <c r="E386" s="594">
        <v>801</v>
      </c>
      <c r="F386" s="595">
        <v>656</v>
      </c>
      <c r="G386" s="1034" t="s">
        <v>873</v>
      </c>
      <c r="H386" s="597">
        <v>244</v>
      </c>
      <c r="I386" s="597">
        <v>226</v>
      </c>
      <c r="J386" s="598">
        <v>0</v>
      </c>
      <c r="K386" s="599"/>
      <c r="L386" s="600">
        <v>65000</v>
      </c>
      <c r="M386" s="600">
        <v>97000</v>
      </c>
      <c r="N386" s="600">
        <v>73000</v>
      </c>
      <c r="O386" s="600">
        <v>60400</v>
      </c>
      <c r="P386" s="600">
        <v>295400</v>
      </c>
      <c r="Q386" s="602">
        <f>R386+S386+T386+U386</f>
        <v>326000</v>
      </c>
      <c r="R386" s="599">
        <v>81500</v>
      </c>
      <c r="S386" s="599">
        <f>81500+20000</f>
        <v>101500</v>
      </c>
      <c r="T386" s="599">
        <v>81500</v>
      </c>
      <c r="U386" s="599">
        <f>81500-20000</f>
        <v>61500</v>
      </c>
      <c r="V386" s="669">
        <v>0</v>
      </c>
      <c r="W386" s="599" t="s">
        <v>874</v>
      </c>
      <c r="X386" s="986">
        <f>V386*100/85-V386</f>
        <v>0</v>
      </c>
      <c r="Y386" s="986"/>
      <c r="Z386" s="669">
        <v>0</v>
      </c>
      <c r="AA386" s="669">
        <v>1010.1</v>
      </c>
      <c r="AB386" s="603"/>
      <c r="AC386" s="603"/>
      <c r="AD386" s="603"/>
      <c r="AE386" s="603">
        <v>210683.62</v>
      </c>
      <c r="AF386" s="603">
        <v>0</v>
      </c>
      <c r="AG386" s="603"/>
      <c r="AH386" s="604"/>
      <c r="AI386" s="605">
        <v>0.7132146919431279</v>
      </c>
      <c r="AJ386" s="1035" t="s">
        <v>594</v>
      </c>
      <c r="AK386" s="1036"/>
      <c r="AL386" s="1036"/>
      <c r="AM386" s="1037"/>
      <c r="AN386" s="1037"/>
      <c r="AO386" s="1037"/>
      <c r="AP386" s="1037"/>
      <c r="AQ386" s="1037"/>
      <c r="AR386" s="1037"/>
      <c r="AS386" s="1037"/>
      <c r="AT386" s="1037"/>
      <c r="AU386" s="1037"/>
      <c r="AV386" s="1037"/>
      <c r="AW386" s="1037"/>
      <c r="AX386" s="1037"/>
      <c r="AY386" s="1037"/>
      <c r="AZ386" s="1037"/>
      <c r="BA386" s="1037"/>
      <c r="BB386" s="1037"/>
      <c r="BC386" s="1037"/>
      <c r="BD386" s="1037"/>
      <c r="BE386" s="1037"/>
      <c r="BF386" s="1037"/>
    </row>
    <row r="387" spans="1:58" s="1038" customFormat="1" ht="12" customHeight="1">
      <c r="A387" s="1033"/>
      <c r="B387" s="1298" t="s">
        <v>613</v>
      </c>
      <c r="C387" s="1298"/>
      <c r="D387" s="1298"/>
      <c r="E387" s="1298"/>
      <c r="F387" s="1298"/>
      <c r="G387" s="1298"/>
      <c r="H387" s="1298"/>
      <c r="I387" s="1298"/>
      <c r="J387" s="1298"/>
      <c r="K387" s="1299"/>
      <c r="L387" s="1039">
        <v>86000</v>
      </c>
      <c r="M387" s="1040">
        <v>121000</v>
      </c>
      <c r="N387" s="1040">
        <v>102000</v>
      </c>
      <c r="O387" s="1039">
        <v>75611</v>
      </c>
      <c r="P387" s="1040">
        <v>384611</v>
      </c>
      <c r="Q387" s="1041">
        <f>R387+S387+T387+U387</f>
        <v>652000</v>
      </c>
      <c r="R387" s="1042">
        <f>R385+R386</f>
        <v>163000</v>
      </c>
      <c r="S387" s="1042">
        <f>S385+S386</f>
        <v>203000</v>
      </c>
      <c r="T387" s="1042">
        <f>T385+T386</f>
        <v>163000</v>
      </c>
      <c r="U387" s="1042">
        <f>U385+U386</f>
        <v>123000</v>
      </c>
      <c r="V387" s="1042">
        <f>V385+V386</f>
        <v>0</v>
      </c>
      <c r="W387" s="1043">
        <v>0</v>
      </c>
      <c r="X387" s="1042">
        <f>X385+X386</f>
        <v>0</v>
      </c>
      <c r="Y387" s="1043"/>
      <c r="Z387" s="1042">
        <f>SUM(Z385:Z386)</f>
        <v>0</v>
      </c>
      <c r="AA387" s="1042">
        <f>SUM(AA385:AA386)</f>
        <v>101010.1</v>
      </c>
      <c r="AB387" s="1300"/>
      <c r="AC387" s="1300"/>
      <c r="AD387" s="1300"/>
      <c r="AE387" s="1044">
        <v>249246.77</v>
      </c>
      <c r="AF387" s="1045">
        <v>0</v>
      </c>
      <c r="AG387" s="1300"/>
      <c r="AH387" s="1300"/>
      <c r="AI387" s="1046">
        <v>0.6480489897584832</v>
      </c>
      <c r="AJ387" s="1035" t="s">
        <v>594</v>
      </c>
      <c r="AK387" s="1036"/>
      <c r="AL387" s="1036"/>
      <c r="AM387" s="1047">
        <v>0</v>
      </c>
      <c r="AN387" s="1037"/>
      <c r="AO387" s="1037"/>
      <c r="AP387" s="1037"/>
      <c r="AQ387" s="1037"/>
      <c r="AR387" s="1037"/>
      <c r="AS387" s="1037"/>
      <c r="AT387" s="1037"/>
      <c r="AU387" s="1037"/>
      <c r="AV387" s="1037"/>
      <c r="AW387" s="1037"/>
      <c r="AX387" s="1037"/>
      <c r="AY387" s="1037"/>
      <c r="AZ387" s="1037"/>
      <c r="BA387" s="1037"/>
      <c r="BB387" s="1037"/>
      <c r="BC387" s="1037"/>
      <c r="BD387" s="1037"/>
      <c r="BE387" s="1037"/>
      <c r="BF387" s="1037"/>
    </row>
    <row r="388" spans="1:38" ht="12.75" customHeight="1">
      <c r="A388" s="557"/>
      <c r="B388" s="1048"/>
      <c r="C388" s="1049"/>
      <c r="D388" s="1293" t="s">
        <v>875</v>
      </c>
      <c r="E388" s="1293"/>
      <c r="F388" s="1293"/>
      <c r="G388" s="1293"/>
      <c r="H388" s="1293"/>
      <c r="I388" s="1293"/>
      <c r="J388" s="1293"/>
      <c r="K388" s="1293"/>
      <c r="L388" s="1293"/>
      <c r="M388" s="1293"/>
      <c r="N388" s="1293"/>
      <c r="O388" s="1293"/>
      <c r="P388" s="1293"/>
      <c r="Q388" s="1293"/>
      <c r="R388" s="1293"/>
      <c r="S388" s="1293"/>
      <c r="T388" s="1293"/>
      <c r="U388" s="1293"/>
      <c r="V388" s="1293"/>
      <c r="W388" s="1293"/>
      <c r="X388" s="1293"/>
      <c r="Y388" s="1293"/>
      <c r="Z388" s="1293"/>
      <c r="AA388" s="1293"/>
      <c r="AB388" s="1050"/>
      <c r="AC388" s="1050"/>
      <c r="AD388" s="1050"/>
      <c r="AE388" s="962"/>
      <c r="AF388" s="962"/>
      <c r="AG388" s="1050"/>
      <c r="AH388" s="1050"/>
      <c r="AI388" s="966"/>
      <c r="AJ388" s="558"/>
      <c r="AK388" s="426"/>
      <c r="AL388" s="426"/>
    </row>
    <row r="389" spans="1:58" s="578" customFormat="1" ht="12.75" customHeight="1">
      <c r="A389" s="559"/>
      <c r="B389" s="1272" t="s">
        <v>872</v>
      </c>
      <c r="C389" s="1272"/>
      <c r="D389" s="1272"/>
      <c r="E389" s="1272"/>
      <c r="F389" s="1272"/>
      <c r="G389" s="1272"/>
      <c r="H389" s="1272"/>
      <c r="I389" s="1272"/>
      <c r="J389" s="1272"/>
      <c r="K389" s="1272"/>
      <c r="L389" s="1272"/>
      <c r="M389" s="1272"/>
      <c r="N389" s="1272"/>
      <c r="O389" s="1272"/>
      <c r="P389" s="1272"/>
      <c r="Q389" s="1272"/>
      <c r="R389" s="1272"/>
      <c r="S389" s="1272"/>
      <c r="T389" s="1272"/>
      <c r="U389" s="1272"/>
      <c r="V389" s="1272"/>
      <c r="W389" s="1272"/>
      <c r="X389" s="1272"/>
      <c r="Y389" s="1272"/>
      <c r="Z389" s="1272"/>
      <c r="AA389" s="1272"/>
      <c r="AB389" s="1272"/>
      <c r="AC389" s="1272"/>
      <c r="AD389" s="1272"/>
      <c r="AE389" s="1272"/>
      <c r="AF389" s="1272"/>
      <c r="AG389" s="1272"/>
      <c r="AH389" s="1272"/>
      <c r="AI389" s="1272"/>
      <c r="AJ389" s="558" t="s">
        <v>594</v>
      </c>
      <c r="AK389" s="576"/>
      <c r="AL389" s="576"/>
      <c r="AM389" s="434"/>
      <c r="AN389" s="434"/>
      <c r="AO389" s="434"/>
      <c r="AP389" s="434"/>
      <c r="AQ389" s="434"/>
      <c r="AR389" s="434"/>
      <c r="AS389" s="434"/>
      <c r="AT389" s="434"/>
      <c r="AU389" s="434"/>
      <c r="AV389" s="434"/>
      <c r="AW389" s="434"/>
      <c r="AX389" s="434"/>
      <c r="AY389" s="434"/>
      <c r="AZ389" s="434"/>
      <c r="BA389" s="434"/>
      <c r="BB389" s="434"/>
      <c r="BC389" s="434"/>
      <c r="BD389" s="434"/>
      <c r="BE389" s="434"/>
      <c r="BF389" s="434"/>
    </row>
    <row r="390" spans="1:58" s="578" customFormat="1" ht="12.75" customHeight="1">
      <c r="A390" s="559"/>
      <c r="B390" s="560" t="s">
        <v>872</v>
      </c>
      <c r="C390" s="561" t="s">
        <v>872</v>
      </c>
      <c r="D390" s="562">
        <v>656530021</v>
      </c>
      <c r="E390" s="563">
        <v>802</v>
      </c>
      <c r="F390" s="564">
        <v>656</v>
      </c>
      <c r="G390" s="668">
        <v>5300000590</v>
      </c>
      <c r="H390" s="566" t="s">
        <v>652</v>
      </c>
      <c r="I390" s="566">
        <v>211</v>
      </c>
      <c r="J390" s="567">
        <v>0</v>
      </c>
      <c r="K390" s="568"/>
      <c r="L390" s="569">
        <v>65000</v>
      </c>
      <c r="M390" s="569">
        <v>97000</v>
      </c>
      <c r="N390" s="569">
        <v>73000</v>
      </c>
      <c r="O390" s="569">
        <v>60400</v>
      </c>
      <c r="P390" s="569">
        <v>295400</v>
      </c>
      <c r="Q390" s="572">
        <f>R390+S390+T390+U390</f>
        <v>326000</v>
      </c>
      <c r="R390" s="568">
        <v>81500</v>
      </c>
      <c r="S390" s="568">
        <f>81500+20000</f>
        <v>101500</v>
      </c>
      <c r="T390" s="568">
        <v>81500</v>
      </c>
      <c r="U390" s="568">
        <f>81500-20000</f>
        <v>61500</v>
      </c>
      <c r="V390" s="611">
        <v>280500</v>
      </c>
      <c r="W390" s="568" t="s">
        <v>834</v>
      </c>
      <c r="X390" s="1051"/>
      <c r="Y390" s="613"/>
      <c r="Z390" s="611">
        <v>330000</v>
      </c>
      <c r="AA390" s="611">
        <v>330000</v>
      </c>
      <c r="AB390" s="573"/>
      <c r="AC390" s="573"/>
      <c r="AD390" s="573"/>
      <c r="AE390" s="573">
        <v>210683.62</v>
      </c>
      <c r="AF390" s="573">
        <v>0</v>
      </c>
      <c r="AG390" s="573"/>
      <c r="AH390" s="574"/>
      <c r="AI390" s="575">
        <v>0.7132146919431279</v>
      </c>
      <c r="AJ390" s="558" t="s">
        <v>594</v>
      </c>
      <c r="AK390" s="576"/>
      <c r="AL390" s="576"/>
      <c r="AM390" s="434"/>
      <c r="AN390" s="434"/>
      <c r="AO390" s="434"/>
      <c r="AP390" s="434"/>
      <c r="AQ390" s="434"/>
      <c r="AR390" s="434"/>
      <c r="AS390" s="434"/>
      <c r="AT390" s="434"/>
      <c r="AU390" s="434"/>
      <c r="AV390" s="434"/>
      <c r="AW390" s="434"/>
      <c r="AX390" s="434"/>
      <c r="AY390" s="434"/>
      <c r="AZ390" s="434"/>
      <c r="BA390" s="434"/>
      <c r="BB390" s="434"/>
      <c r="BC390" s="434"/>
      <c r="BD390" s="434"/>
      <c r="BE390" s="434"/>
      <c r="BF390" s="434"/>
    </row>
    <row r="391" spans="1:58" s="578" customFormat="1" ht="12.75" customHeight="1">
      <c r="A391" s="559"/>
      <c r="B391" s="560" t="s">
        <v>872</v>
      </c>
      <c r="C391" s="561" t="s">
        <v>872</v>
      </c>
      <c r="D391" s="562">
        <v>656530021</v>
      </c>
      <c r="E391" s="563">
        <v>802</v>
      </c>
      <c r="F391" s="564">
        <v>656</v>
      </c>
      <c r="G391" s="668">
        <v>5300000590</v>
      </c>
      <c r="H391" s="566">
        <v>119</v>
      </c>
      <c r="I391" s="566">
        <v>213</v>
      </c>
      <c r="J391" s="567">
        <v>0</v>
      </c>
      <c r="K391" s="568"/>
      <c r="L391" s="569">
        <v>21000</v>
      </c>
      <c r="M391" s="569">
        <v>24000</v>
      </c>
      <c r="N391" s="569">
        <v>29000</v>
      </c>
      <c r="O391" s="569">
        <v>15211</v>
      </c>
      <c r="P391" s="569">
        <v>89211</v>
      </c>
      <c r="Q391" s="568">
        <f>R391+S391+T391+U391</f>
        <v>74711</v>
      </c>
      <c r="R391" s="568">
        <f>V391-S391-T391-U391</f>
        <v>872</v>
      </c>
      <c r="S391" s="568">
        <f>S390*30.2%</f>
        <v>30653</v>
      </c>
      <c r="T391" s="568">
        <f>T390*30.2%</f>
        <v>24613</v>
      </c>
      <c r="U391" s="568">
        <f>U390*30.2%</f>
        <v>18573</v>
      </c>
      <c r="V391" s="611">
        <f>84711-10000</f>
        <v>74711</v>
      </c>
      <c r="W391" s="568"/>
      <c r="X391" s="1051">
        <v>10000</v>
      </c>
      <c r="Y391" s="613"/>
      <c r="Z391" s="611">
        <v>99660</v>
      </c>
      <c r="AA391" s="611">
        <v>99660</v>
      </c>
      <c r="AB391" s="573"/>
      <c r="AC391" s="573"/>
      <c r="AD391" s="573"/>
      <c r="AE391" s="573">
        <v>38563.15</v>
      </c>
      <c r="AF391" s="573">
        <v>0</v>
      </c>
      <c r="AG391" s="573"/>
      <c r="AH391" s="574"/>
      <c r="AI391" s="575">
        <v>0.4322690027014605</v>
      </c>
      <c r="AJ391" s="558" t="s">
        <v>594</v>
      </c>
      <c r="AK391" s="576"/>
      <c r="AL391" s="576"/>
      <c r="AM391" s="577">
        <f>W379+V392</f>
        <v>1254311</v>
      </c>
      <c r="AN391" s="434"/>
      <c r="AO391" s="434"/>
      <c r="AP391" s="434"/>
      <c r="AQ391" s="434"/>
      <c r="AR391" s="434"/>
      <c r="AS391" s="434"/>
      <c r="AT391" s="434"/>
      <c r="AU391" s="434"/>
      <c r="AV391" s="434"/>
      <c r="AW391" s="434"/>
      <c r="AX391" s="434"/>
      <c r="AY391" s="434"/>
      <c r="AZ391" s="434"/>
      <c r="BA391" s="434"/>
      <c r="BB391" s="434"/>
      <c r="BC391" s="434"/>
      <c r="BD391" s="434"/>
      <c r="BE391" s="434"/>
      <c r="BF391" s="434"/>
    </row>
    <row r="392" spans="1:58" s="578" customFormat="1" ht="12" customHeight="1">
      <c r="A392" s="559"/>
      <c r="B392" s="1273" t="s">
        <v>613</v>
      </c>
      <c r="C392" s="1273"/>
      <c r="D392" s="1273"/>
      <c r="E392" s="1273"/>
      <c r="F392" s="1273"/>
      <c r="G392" s="1273"/>
      <c r="H392" s="1273"/>
      <c r="I392" s="1273"/>
      <c r="J392" s="1273"/>
      <c r="K392" s="1274"/>
      <c r="L392" s="582">
        <v>86000</v>
      </c>
      <c r="M392" s="583">
        <v>121000</v>
      </c>
      <c r="N392" s="583">
        <v>102000</v>
      </c>
      <c r="O392" s="582">
        <v>75611</v>
      </c>
      <c r="P392" s="583">
        <v>384611</v>
      </c>
      <c r="Q392" s="756">
        <f>R392+S392+T392+U392</f>
        <v>400711</v>
      </c>
      <c r="R392" s="681">
        <f>R390+R391</f>
        <v>82372</v>
      </c>
      <c r="S392" s="681">
        <f>S390+S391</f>
        <v>132153</v>
      </c>
      <c r="T392" s="681">
        <f>T390+T391</f>
        <v>106113</v>
      </c>
      <c r="U392" s="681">
        <f>U390+U391</f>
        <v>80073</v>
      </c>
      <c r="V392" s="681">
        <f>V390+V391</f>
        <v>355211</v>
      </c>
      <c r="W392" s="684">
        <f>V379+X379+V392</f>
        <v>5005513.59</v>
      </c>
      <c r="X392" s="1052">
        <f>X390+X391</f>
        <v>10000</v>
      </c>
      <c r="Y392" s="684"/>
      <c r="Z392" s="681">
        <f>SUM(Z390:Z391)</f>
        <v>429660</v>
      </c>
      <c r="AA392" s="681">
        <f>SUM(AA390:AA391)</f>
        <v>429660</v>
      </c>
      <c r="AB392" s="1275"/>
      <c r="AC392" s="1275"/>
      <c r="AD392" s="1275"/>
      <c r="AE392" s="588">
        <v>249246.77</v>
      </c>
      <c r="AF392" s="589">
        <v>0</v>
      </c>
      <c r="AG392" s="1275"/>
      <c r="AH392" s="1275"/>
      <c r="AI392" s="590">
        <v>0.6480489897584832</v>
      </c>
      <c r="AJ392" s="558" t="s">
        <v>594</v>
      </c>
      <c r="AK392" s="576"/>
      <c r="AL392" s="576"/>
      <c r="AM392" s="577">
        <f>V392+V379+X379</f>
        <v>5005513.59</v>
      </c>
      <c r="AN392" s="434"/>
      <c r="AO392" s="434"/>
      <c r="AP392" s="434"/>
      <c r="AQ392" s="434"/>
      <c r="AR392" s="434"/>
      <c r="AS392" s="434"/>
      <c r="AT392" s="434"/>
      <c r="AU392" s="434"/>
      <c r="AV392" s="434"/>
      <c r="AW392" s="434"/>
      <c r="AX392" s="434"/>
      <c r="AY392" s="434"/>
      <c r="AZ392" s="434"/>
      <c r="BA392" s="434"/>
      <c r="BB392" s="434"/>
      <c r="BC392" s="434"/>
      <c r="BD392" s="434"/>
      <c r="BE392" s="434"/>
      <c r="BF392" s="434"/>
    </row>
    <row r="393" spans="1:38" ht="12.75" customHeight="1" hidden="1">
      <c r="A393" s="557"/>
      <c r="B393" s="1272" t="s">
        <v>876</v>
      </c>
      <c r="C393" s="1272"/>
      <c r="D393" s="1272"/>
      <c r="E393" s="1272"/>
      <c r="F393" s="1272"/>
      <c r="G393" s="1272"/>
      <c r="H393" s="1272"/>
      <c r="I393" s="1272"/>
      <c r="J393" s="1272"/>
      <c r="K393" s="1272"/>
      <c r="L393" s="1272"/>
      <c r="M393" s="1272"/>
      <c r="N393" s="1272"/>
      <c r="O393" s="1272"/>
      <c r="P393" s="1272"/>
      <c r="Q393" s="1272"/>
      <c r="R393" s="1272"/>
      <c r="S393" s="1272"/>
      <c r="T393" s="1272"/>
      <c r="U393" s="1272"/>
      <c r="V393" s="1272"/>
      <c r="W393" s="1272"/>
      <c r="X393" s="1272"/>
      <c r="Y393" s="1272"/>
      <c r="Z393" s="1272"/>
      <c r="AA393" s="1272"/>
      <c r="AB393" s="1272"/>
      <c r="AC393" s="1272"/>
      <c r="AD393" s="1272"/>
      <c r="AE393" s="1272"/>
      <c r="AF393" s="1272"/>
      <c r="AG393" s="1272"/>
      <c r="AH393" s="1272"/>
      <c r="AI393" s="1272"/>
      <c r="AJ393" s="558" t="s">
        <v>594</v>
      </c>
      <c r="AK393" s="426"/>
      <c r="AL393" s="426"/>
    </row>
    <row r="394" spans="1:38" ht="0.75" customHeight="1" hidden="1">
      <c r="A394" s="557"/>
      <c r="B394" s="560" t="s">
        <v>876</v>
      </c>
      <c r="C394" s="561" t="s">
        <v>876</v>
      </c>
      <c r="D394" s="562">
        <v>656080022</v>
      </c>
      <c r="E394" s="563">
        <v>802</v>
      </c>
      <c r="F394" s="564">
        <v>656</v>
      </c>
      <c r="G394" s="668">
        <v>4409900</v>
      </c>
      <c r="H394" s="566" t="s">
        <v>625</v>
      </c>
      <c r="I394" s="566">
        <v>226</v>
      </c>
      <c r="J394" s="567">
        <v>0</v>
      </c>
      <c r="K394" s="568"/>
      <c r="L394" s="607">
        <v>1480</v>
      </c>
      <c r="M394" s="607">
        <v>0</v>
      </c>
      <c r="N394" s="607">
        <v>0</v>
      </c>
      <c r="O394" s="607">
        <v>0</v>
      </c>
      <c r="P394" s="607">
        <v>1480</v>
      </c>
      <c r="Q394" s="572"/>
      <c r="R394" s="919">
        <v>600</v>
      </c>
      <c r="S394" s="919">
        <v>600</v>
      </c>
      <c r="T394" s="919">
        <v>600</v>
      </c>
      <c r="U394" s="919">
        <f>V394-T394-S394-R394</f>
        <v>-1800</v>
      </c>
      <c r="V394" s="1053">
        <v>0</v>
      </c>
      <c r="W394" s="568"/>
      <c r="X394" s="612"/>
      <c r="Y394" s="613"/>
      <c r="Z394" s="1053">
        <v>0</v>
      </c>
      <c r="AA394" s="1053">
        <v>0</v>
      </c>
      <c r="AB394" s="573"/>
      <c r="AC394" s="573"/>
      <c r="AD394" s="573"/>
      <c r="AE394" s="573">
        <v>942.75</v>
      </c>
      <c r="AF394" s="573">
        <v>0</v>
      </c>
      <c r="AG394" s="573"/>
      <c r="AH394" s="574"/>
      <c r="AI394" s="575">
        <v>0.6369932432432434</v>
      </c>
      <c r="AJ394" s="558" t="s">
        <v>594</v>
      </c>
      <c r="AK394" s="426"/>
      <c r="AL394" s="426"/>
    </row>
    <row r="395" spans="1:38" ht="12.75" customHeight="1" hidden="1">
      <c r="A395" s="557"/>
      <c r="B395" s="1273" t="s">
        <v>613</v>
      </c>
      <c r="C395" s="1273"/>
      <c r="D395" s="1273"/>
      <c r="E395" s="1273"/>
      <c r="F395" s="1273"/>
      <c r="G395" s="1273"/>
      <c r="H395" s="1273"/>
      <c r="I395" s="1273"/>
      <c r="J395" s="1273"/>
      <c r="K395" s="1274"/>
      <c r="L395" s="845">
        <v>1480</v>
      </c>
      <c r="M395" s="608">
        <v>0</v>
      </c>
      <c r="N395" s="608">
        <v>0</v>
      </c>
      <c r="O395" s="845">
        <v>0</v>
      </c>
      <c r="P395" s="608">
        <v>1480</v>
      </c>
      <c r="Q395" s="570"/>
      <c r="R395" s="848">
        <f>R394</f>
        <v>600</v>
      </c>
      <c r="S395" s="848">
        <f>S394</f>
        <v>600</v>
      </c>
      <c r="T395" s="848">
        <f>T394</f>
        <v>600</v>
      </c>
      <c r="U395" s="848">
        <f>U394</f>
        <v>-1800</v>
      </c>
      <c r="V395" s="848">
        <f>V394</f>
        <v>0</v>
      </c>
      <c r="W395" s="682"/>
      <c r="X395" s="683"/>
      <c r="Y395" s="684"/>
      <c r="Z395" s="848">
        <f>Z394</f>
        <v>0</v>
      </c>
      <c r="AA395" s="848">
        <f>AA394</f>
        <v>0</v>
      </c>
      <c r="AB395" s="1275"/>
      <c r="AC395" s="1275"/>
      <c r="AD395" s="1275"/>
      <c r="AE395" s="588">
        <v>942.75</v>
      </c>
      <c r="AF395" s="589">
        <v>0</v>
      </c>
      <c r="AG395" s="1275"/>
      <c r="AH395" s="1275"/>
      <c r="AI395" s="590">
        <v>0.6369932432432434</v>
      </c>
      <c r="AJ395" s="558" t="s">
        <v>594</v>
      </c>
      <c r="AK395" s="426"/>
      <c r="AL395" s="426"/>
    </row>
    <row r="396" spans="1:38" ht="13.5" customHeight="1">
      <c r="A396" s="426"/>
      <c r="B396" s="534"/>
      <c r="C396" s="534"/>
      <c r="D396" s="535" t="s">
        <v>637</v>
      </c>
      <c r="E396" s="536"/>
      <c r="F396" s="536"/>
      <c r="G396" s="536"/>
      <c r="H396" s="536"/>
      <c r="I396" s="536"/>
      <c r="J396" s="537"/>
      <c r="K396" s="538"/>
      <c r="L396" s="539"/>
      <c r="M396" s="539"/>
      <c r="N396" s="539"/>
      <c r="O396" s="539"/>
      <c r="P396" s="539"/>
      <c r="Q396" s="540"/>
      <c r="R396" s="538"/>
      <c r="S396" s="541"/>
      <c r="T396" s="536"/>
      <c r="U396" s="542"/>
      <c r="V396" s="536"/>
      <c r="W396" s="536"/>
      <c r="X396" s="543"/>
      <c r="Y396" s="544"/>
      <c r="Z396" s="536"/>
      <c r="AA396" s="536"/>
      <c r="AB396" s="545"/>
      <c r="AC396" s="545"/>
      <c r="AD396" s="545"/>
      <c r="AE396" s="545"/>
      <c r="AF396" s="545"/>
      <c r="AG396" s="545"/>
      <c r="AH396" s="545"/>
      <c r="AI396" s="546"/>
      <c r="AJ396" s="503"/>
      <c r="AK396" s="426"/>
      <c r="AL396" s="426"/>
    </row>
    <row r="397" spans="1:38" ht="12.75" customHeight="1">
      <c r="A397" s="557"/>
      <c r="B397" s="579"/>
      <c r="C397" s="580"/>
      <c r="D397" s="1290" t="s">
        <v>877</v>
      </c>
      <c r="E397" s="1290"/>
      <c r="F397" s="1290"/>
      <c r="G397" s="1290"/>
      <c r="H397" s="1290"/>
      <c r="I397" s="1290"/>
      <c r="J397" s="1290"/>
      <c r="K397" s="1290"/>
      <c r="L397" s="1290"/>
      <c r="M397" s="1290"/>
      <c r="N397" s="1290"/>
      <c r="O397" s="1290"/>
      <c r="P397" s="1290"/>
      <c r="Q397" s="1290"/>
      <c r="R397" s="1290"/>
      <c r="S397" s="1290"/>
      <c r="T397" s="1290"/>
      <c r="U397" s="1290"/>
      <c r="V397" s="1290"/>
      <c r="W397" s="1290"/>
      <c r="X397" s="1290"/>
      <c r="Y397" s="1290"/>
      <c r="Z397" s="1290"/>
      <c r="AA397" s="1290"/>
      <c r="AB397" s="587"/>
      <c r="AC397" s="587"/>
      <c r="AD397" s="587"/>
      <c r="AE397" s="667"/>
      <c r="AF397" s="667"/>
      <c r="AG397" s="587"/>
      <c r="AH397" s="587"/>
      <c r="AI397" s="590"/>
      <c r="AJ397" s="558"/>
      <c r="AK397" s="426"/>
      <c r="AL397" s="426"/>
    </row>
    <row r="398" spans="1:58" s="578" customFormat="1" ht="12.75" customHeight="1">
      <c r="A398" s="559"/>
      <c r="B398" s="1272" t="s">
        <v>878</v>
      </c>
      <c r="C398" s="1272"/>
      <c r="D398" s="1272"/>
      <c r="E398" s="1272"/>
      <c r="F398" s="1272"/>
      <c r="G398" s="1272"/>
      <c r="H398" s="1272"/>
      <c r="I398" s="1272"/>
      <c r="J398" s="1272"/>
      <c r="K398" s="1272"/>
      <c r="L398" s="1272"/>
      <c r="M398" s="1272"/>
      <c r="N398" s="1272"/>
      <c r="O398" s="1272"/>
      <c r="P398" s="1272"/>
      <c r="Q398" s="1272"/>
      <c r="R398" s="1272"/>
      <c r="S398" s="1272"/>
      <c r="T398" s="1272"/>
      <c r="U398" s="1272"/>
      <c r="V398" s="1272"/>
      <c r="W398" s="1272"/>
      <c r="X398" s="1272"/>
      <c r="Y398" s="1272"/>
      <c r="Z398" s="1272"/>
      <c r="AA398" s="1272"/>
      <c r="AB398" s="1272"/>
      <c r="AC398" s="1272"/>
      <c r="AD398" s="1272"/>
      <c r="AE398" s="1272"/>
      <c r="AF398" s="1272"/>
      <c r="AG398" s="1272"/>
      <c r="AH398" s="1272"/>
      <c r="AI398" s="1272"/>
      <c r="AJ398" s="558" t="s">
        <v>594</v>
      </c>
      <c r="AK398" s="576"/>
      <c r="AL398" s="576"/>
      <c r="AM398" s="434"/>
      <c r="AN398" s="434"/>
      <c r="AO398" s="434"/>
      <c r="AP398" s="434"/>
      <c r="AQ398" s="434"/>
      <c r="AR398" s="434"/>
      <c r="AS398" s="434"/>
      <c r="AT398" s="434"/>
      <c r="AU398" s="434"/>
      <c r="AV398" s="434"/>
      <c r="AW398" s="434"/>
      <c r="AX398" s="434"/>
      <c r="AY398" s="434"/>
      <c r="AZ398" s="434"/>
      <c r="BA398" s="434"/>
      <c r="BB398" s="434"/>
      <c r="BC398" s="434"/>
      <c r="BD398" s="434"/>
      <c r="BE398" s="434"/>
      <c r="BF398" s="434"/>
    </row>
    <row r="399" spans="1:58" s="578" customFormat="1" ht="12.75" customHeight="1">
      <c r="A399" s="559"/>
      <c r="B399" s="560" t="s">
        <v>878</v>
      </c>
      <c r="C399" s="561" t="s">
        <v>878</v>
      </c>
      <c r="D399" s="562">
        <v>656500071</v>
      </c>
      <c r="E399" s="563">
        <v>1001</v>
      </c>
      <c r="F399" s="564">
        <v>656</v>
      </c>
      <c r="G399" s="668">
        <v>5000099990</v>
      </c>
      <c r="H399" s="566" t="s">
        <v>879</v>
      </c>
      <c r="I399" s="566">
        <v>263</v>
      </c>
      <c r="J399" s="567">
        <v>0</v>
      </c>
      <c r="K399" s="568"/>
      <c r="L399" s="569">
        <v>30000</v>
      </c>
      <c r="M399" s="569">
        <v>30000</v>
      </c>
      <c r="N399" s="569">
        <v>30000</v>
      </c>
      <c r="O399" s="569">
        <v>30000</v>
      </c>
      <c r="P399" s="569">
        <v>120000</v>
      </c>
      <c r="Q399" s="572">
        <f>R399+S399+T399+U399</f>
        <v>120000</v>
      </c>
      <c r="R399" s="568">
        <v>30000</v>
      </c>
      <c r="S399" s="568">
        <v>30000</v>
      </c>
      <c r="T399" s="568">
        <v>30000</v>
      </c>
      <c r="U399" s="568">
        <v>30000</v>
      </c>
      <c r="V399" s="611">
        <v>60000</v>
      </c>
      <c r="W399" s="568" t="s">
        <v>880</v>
      </c>
      <c r="X399" s="896">
        <f>3.5*25000</f>
        <v>87500</v>
      </c>
      <c r="Y399" s="613"/>
      <c r="Z399" s="611"/>
      <c r="AA399" s="611">
        <f>208000-101010.1</f>
        <v>106989.9</v>
      </c>
      <c r="AB399" s="573"/>
      <c r="AC399" s="573"/>
      <c r="AD399" s="573"/>
      <c r="AE399" s="573">
        <v>85000</v>
      </c>
      <c r="AF399" s="573">
        <v>0</v>
      </c>
      <c r="AG399" s="573"/>
      <c r="AH399" s="574"/>
      <c r="AI399" s="575">
        <v>0.7083333333333334</v>
      </c>
      <c r="AJ399" s="558" t="s">
        <v>594</v>
      </c>
      <c r="AK399" s="576"/>
      <c r="AL399" s="576"/>
      <c r="AM399" s="434"/>
      <c r="AN399" s="434"/>
      <c r="AO399" s="434"/>
      <c r="AP399" s="434"/>
      <c r="AQ399" s="434"/>
      <c r="AR399" s="434"/>
      <c r="AS399" s="434"/>
      <c r="AT399" s="434"/>
      <c r="AU399" s="434"/>
      <c r="AV399" s="434"/>
      <c r="AW399" s="434"/>
      <c r="AX399" s="434"/>
      <c r="AY399" s="434"/>
      <c r="AZ399" s="434"/>
      <c r="BA399" s="434"/>
      <c r="BB399" s="434"/>
      <c r="BC399" s="434"/>
      <c r="BD399" s="434"/>
      <c r="BE399" s="434"/>
      <c r="BF399" s="434"/>
    </row>
    <row r="400" spans="1:58" s="578" customFormat="1" ht="12.75" customHeight="1" thickBot="1">
      <c r="A400" s="559"/>
      <c r="B400" s="1273" t="s">
        <v>613</v>
      </c>
      <c r="C400" s="1273"/>
      <c r="D400" s="1291"/>
      <c r="E400" s="1291"/>
      <c r="F400" s="1291"/>
      <c r="G400" s="1291"/>
      <c r="H400" s="1291"/>
      <c r="I400" s="1291"/>
      <c r="J400" s="1291"/>
      <c r="K400" s="1292"/>
      <c r="L400" s="824">
        <v>30000</v>
      </c>
      <c r="M400" s="825">
        <v>30000</v>
      </c>
      <c r="N400" s="825">
        <v>30000</v>
      </c>
      <c r="O400" s="824">
        <v>30000</v>
      </c>
      <c r="P400" s="825">
        <v>120000</v>
      </c>
      <c r="Q400" s="1054">
        <f>R400+S400+T400+U400</f>
        <v>120000</v>
      </c>
      <c r="R400" s="817">
        <f>R399</f>
        <v>30000</v>
      </c>
      <c r="S400" s="817">
        <f>S399</f>
        <v>30000</v>
      </c>
      <c r="T400" s="817">
        <f>T399</f>
        <v>30000</v>
      </c>
      <c r="U400" s="817">
        <f>U399</f>
        <v>30000</v>
      </c>
      <c r="V400" s="817">
        <f>V399</f>
        <v>60000</v>
      </c>
      <c r="W400" s="831"/>
      <c r="X400" s="1055">
        <f>X399</f>
        <v>87500</v>
      </c>
      <c r="Y400" s="833"/>
      <c r="Z400" s="817">
        <f>Z399</f>
        <v>0</v>
      </c>
      <c r="AA400" s="817">
        <f>AA399</f>
        <v>106989.9</v>
      </c>
      <c r="AB400" s="1275"/>
      <c r="AC400" s="1275"/>
      <c r="AD400" s="1275"/>
      <c r="AE400" s="588">
        <v>85000</v>
      </c>
      <c r="AF400" s="589">
        <v>0</v>
      </c>
      <c r="AG400" s="1275"/>
      <c r="AH400" s="1275"/>
      <c r="AI400" s="590">
        <v>0.7083333333333334</v>
      </c>
      <c r="AJ400" s="558" t="s">
        <v>594</v>
      </c>
      <c r="AK400" s="576"/>
      <c r="AL400" s="576"/>
      <c r="AM400" s="434"/>
      <c r="AN400" s="434"/>
      <c r="AO400" s="434"/>
      <c r="AP400" s="434"/>
      <c r="AQ400" s="434"/>
      <c r="AR400" s="434"/>
      <c r="AS400" s="434"/>
      <c r="AT400" s="434"/>
      <c r="AU400" s="434"/>
      <c r="AV400" s="434"/>
      <c r="AW400" s="434"/>
      <c r="AX400" s="434"/>
      <c r="AY400" s="434"/>
      <c r="AZ400" s="434"/>
      <c r="BA400" s="434"/>
      <c r="BB400" s="434"/>
      <c r="BC400" s="434"/>
      <c r="BD400" s="434"/>
      <c r="BE400" s="434"/>
      <c r="BF400" s="434"/>
    </row>
    <row r="401" spans="1:38" ht="19.5" customHeight="1" thickBot="1">
      <c r="A401" s="557"/>
      <c r="B401" s="579"/>
      <c r="C401" s="579"/>
      <c r="D401" s="1287" t="s">
        <v>881</v>
      </c>
      <c r="E401" s="1288"/>
      <c r="F401" s="1288"/>
      <c r="G401" s="1288"/>
      <c r="H401" s="1288"/>
      <c r="I401" s="1288"/>
      <c r="J401" s="1288"/>
      <c r="K401" s="1288"/>
      <c r="L401" s="1288"/>
      <c r="M401" s="1288"/>
      <c r="N401" s="1288"/>
      <c r="O401" s="1288"/>
      <c r="P401" s="1288"/>
      <c r="Q401" s="1288"/>
      <c r="R401" s="1288"/>
      <c r="S401" s="1288"/>
      <c r="T401" s="1288"/>
      <c r="U401" s="1288"/>
      <c r="V401" s="1288"/>
      <c r="W401" s="1288"/>
      <c r="X401" s="1288"/>
      <c r="Y401" s="1288"/>
      <c r="Z401" s="1288"/>
      <c r="AA401" s="1289"/>
      <c r="AB401" s="780"/>
      <c r="AC401" s="780"/>
      <c r="AD401" s="780"/>
      <c r="AE401" s="588"/>
      <c r="AF401" s="589"/>
      <c r="AG401" s="780"/>
      <c r="AH401" s="780"/>
      <c r="AI401" s="590"/>
      <c r="AJ401" s="558"/>
      <c r="AK401" s="426"/>
      <c r="AL401" s="426"/>
    </row>
    <row r="402" spans="1:38" ht="12.75" customHeight="1">
      <c r="A402" s="557"/>
      <c r="B402" s="579"/>
      <c r="C402" s="580"/>
      <c r="D402" s="1290" t="s">
        <v>882</v>
      </c>
      <c r="E402" s="1290"/>
      <c r="F402" s="1290"/>
      <c r="G402" s="1290"/>
      <c r="H402" s="1290"/>
      <c r="I402" s="1290"/>
      <c r="J402" s="1290"/>
      <c r="K402" s="1290"/>
      <c r="L402" s="1290"/>
      <c r="M402" s="1290"/>
      <c r="N402" s="1290"/>
      <c r="O402" s="1290"/>
      <c r="P402" s="1290"/>
      <c r="Q402" s="1290"/>
      <c r="R402" s="1290"/>
      <c r="S402" s="1290"/>
      <c r="T402" s="1290"/>
      <c r="U402" s="1290"/>
      <c r="V402" s="1290"/>
      <c r="W402" s="1290"/>
      <c r="X402" s="1290"/>
      <c r="Y402" s="1290"/>
      <c r="Z402" s="1290"/>
      <c r="AA402" s="1290"/>
      <c r="AB402" s="587"/>
      <c r="AC402" s="587"/>
      <c r="AD402" s="587"/>
      <c r="AE402" s="667"/>
      <c r="AF402" s="667"/>
      <c r="AG402" s="587"/>
      <c r="AH402" s="587"/>
      <c r="AI402" s="590"/>
      <c r="AJ402" s="558"/>
      <c r="AK402" s="426"/>
      <c r="AL402" s="426"/>
    </row>
    <row r="403" spans="1:39" ht="12.75" customHeight="1">
      <c r="A403" s="557"/>
      <c r="B403" s="1284" t="s">
        <v>883</v>
      </c>
      <c r="C403" s="1285"/>
      <c r="D403" s="1285"/>
      <c r="E403" s="1285"/>
      <c r="F403" s="1285"/>
      <c r="G403" s="1285"/>
      <c r="H403" s="1285"/>
      <c r="I403" s="1285"/>
      <c r="J403" s="1285"/>
      <c r="K403" s="1285"/>
      <c r="L403" s="1285"/>
      <c r="M403" s="1285"/>
      <c r="N403" s="1285"/>
      <c r="O403" s="1285"/>
      <c r="P403" s="1285"/>
      <c r="Q403" s="1285"/>
      <c r="R403" s="1285"/>
      <c r="S403" s="1285"/>
      <c r="T403" s="1285"/>
      <c r="U403" s="1285"/>
      <c r="V403" s="1285"/>
      <c r="W403" s="1285"/>
      <c r="X403" s="1285"/>
      <c r="Y403" s="1285"/>
      <c r="Z403" s="1285"/>
      <c r="AA403" s="1285"/>
      <c r="AB403" s="1285"/>
      <c r="AC403" s="1285"/>
      <c r="AD403" s="1285"/>
      <c r="AE403" s="1285"/>
      <c r="AF403" s="1285"/>
      <c r="AG403" s="1285"/>
      <c r="AH403" s="1285"/>
      <c r="AI403" s="1286"/>
      <c r="AJ403" s="558" t="s">
        <v>594</v>
      </c>
      <c r="AK403" s="426"/>
      <c r="AL403" s="426"/>
      <c r="AM403" s="434" t="s">
        <v>884</v>
      </c>
    </row>
    <row r="404" spans="1:58" s="578" customFormat="1" ht="12.75" customHeight="1">
      <c r="A404" s="559"/>
      <c r="B404" s="560" t="s">
        <v>883</v>
      </c>
      <c r="C404" s="561" t="s">
        <v>883</v>
      </c>
      <c r="D404" s="562">
        <v>656540011</v>
      </c>
      <c r="E404" s="563">
        <v>1101</v>
      </c>
      <c r="F404" s="564">
        <v>656</v>
      </c>
      <c r="G404" s="668">
        <v>5400000590</v>
      </c>
      <c r="H404" s="566" t="s">
        <v>652</v>
      </c>
      <c r="I404" s="566">
        <v>211</v>
      </c>
      <c r="J404" s="567">
        <v>0</v>
      </c>
      <c r="K404" s="568"/>
      <c r="L404" s="569">
        <v>70000</v>
      </c>
      <c r="M404" s="569">
        <v>80000</v>
      </c>
      <c r="N404" s="569">
        <v>50000</v>
      </c>
      <c r="O404" s="569">
        <v>40811</v>
      </c>
      <c r="P404" s="569">
        <v>240811</v>
      </c>
      <c r="Q404" s="572">
        <f>R404+S404+T404+U404</f>
        <v>906000</v>
      </c>
      <c r="R404" s="568">
        <f>226500+30000</f>
        <v>256500</v>
      </c>
      <c r="S404" s="568">
        <f>226500+26500-30000</f>
        <v>223000</v>
      </c>
      <c r="T404" s="568">
        <v>226500</v>
      </c>
      <c r="U404" s="568">
        <f>226500-26500</f>
        <v>200000</v>
      </c>
      <c r="V404" s="569">
        <f>948000-660000</f>
        <v>288000</v>
      </c>
      <c r="W404" s="568"/>
      <c r="X404" s="1056">
        <v>213019</v>
      </c>
      <c r="Y404" s="613" t="s">
        <v>885</v>
      </c>
      <c r="Z404" s="569">
        <v>500000</v>
      </c>
      <c r="AA404" s="569">
        <v>500000</v>
      </c>
      <c r="AB404" s="573"/>
      <c r="AC404" s="573"/>
      <c r="AD404" s="573"/>
      <c r="AE404" s="573">
        <v>140522.56</v>
      </c>
      <c r="AF404" s="573">
        <v>0</v>
      </c>
      <c r="AG404" s="573"/>
      <c r="AH404" s="574"/>
      <c r="AI404" s="575">
        <v>0.5835387918325988</v>
      </c>
      <c r="AJ404" s="558" t="s">
        <v>594</v>
      </c>
      <c r="AK404" s="576"/>
      <c r="AL404" s="576"/>
      <c r="AM404" s="434" t="s">
        <v>886</v>
      </c>
      <c r="AN404" s="434" t="s">
        <v>887</v>
      </c>
      <c r="AO404" s="434"/>
      <c r="AP404" s="434"/>
      <c r="AQ404" s="434"/>
      <c r="AR404" s="434"/>
      <c r="AS404" s="434"/>
      <c r="AT404" s="434"/>
      <c r="AU404" s="434"/>
      <c r="AV404" s="434"/>
      <c r="AW404" s="434"/>
      <c r="AX404" s="434"/>
      <c r="AY404" s="434"/>
      <c r="AZ404" s="434"/>
      <c r="BA404" s="434"/>
      <c r="BB404" s="434"/>
      <c r="BC404" s="434"/>
      <c r="BD404" s="434"/>
      <c r="BE404" s="434"/>
      <c r="BF404" s="434"/>
    </row>
    <row r="405" spans="1:58" s="578" customFormat="1" ht="12.75" customHeight="1">
      <c r="A405" s="559"/>
      <c r="B405" s="560" t="s">
        <v>883</v>
      </c>
      <c r="C405" s="561" t="s">
        <v>883</v>
      </c>
      <c r="D405" s="562">
        <v>656540011</v>
      </c>
      <c r="E405" s="563">
        <v>1101</v>
      </c>
      <c r="F405" s="564">
        <v>656</v>
      </c>
      <c r="G405" s="668">
        <v>5400000590</v>
      </c>
      <c r="H405" s="566">
        <v>119</v>
      </c>
      <c r="I405" s="566">
        <v>213</v>
      </c>
      <c r="J405" s="567">
        <v>0</v>
      </c>
      <c r="K405" s="568"/>
      <c r="L405" s="569">
        <v>35000</v>
      </c>
      <c r="M405" s="569">
        <v>25000</v>
      </c>
      <c r="N405" s="569">
        <v>15000</v>
      </c>
      <c r="O405" s="569">
        <v>10745</v>
      </c>
      <c r="P405" s="569">
        <v>85745</v>
      </c>
      <c r="Q405" s="572">
        <f>(R405+S405+T405+U405)</f>
        <v>87000</v>
      </c>
      <c r="R405" s="568">
        <f>R404*30.2%</f>
        <v>77463</v>
      </c>
      <c r="S405" s="568">
        <f>S404*30.2%</f>
        <v>67346</v>
      </c>
      <c r="T405" s="568">
        <f>T404*30.2%</f>
        <v>68403</v>
      </c>
      <c r="U405" s="568">
        <f>V405-R405-S405-T405</f>
        <v>-126212</v>
      </c>
      <c r="V405" s="611">
        <v>87000</v>
      </c>
      <c r="W405" s="568"/>
      <c r="X405" s="1051">
        <f>(V404+X404)*30.2%-V405</f>
        <v>64307.73799999998</v>
      </c>
      <c r="Y405" s="613"/>
      <c r="Z405" s="611">
        <v>151000</v>
      </c>
      <c r="AA405" s="611">
        <v>151000</v>
      </c>
      <c r="AB405" s="573"/>
      <c r="AC405" s="573"/>
      <c r="AD405" s="573"/>
      <c r="AE405" s="573">
        <v>60649.12</v>
      </c>
      <c r="AF405" s="573">
        <v>0</v>
      </c>
      <c r="AG405" s="573"/>
      <c r="AH405" s="574"/>
      <c r="AI405" s="575">
        <v>0.7073196104729139</v>
      </c>
      <c r="AJ405" s="558" t="s">
        <v>594</v>
      </c>
      <c r="AK405" s="576"/>
      <c r="AL405" s="576"/>
      <c r="AM405" s="434">
        <f>49.5*13</f>
        <v>643.5</v>
      </c>
      <c r="AN405" s="434" t="s">
        <v>654</v>
      </c>
      <c r="AO405" s="434"/>
      <c r="AP405" s="434"/>
      <c r="AQ405" s="434"/>
      <c r="AR405" s="434"/>
      <c r="AS405" s="434"/>
      <c r="AT405" s="434"/>
      <c r="AU405" s="434"/>
      <c r="AV405" s="434"/>
      <c r="AW405" s="434"/>
      <c r="AX405" s="434"/>
      <c r="AY405" s="434"/>
      <c r="AZ405" s="434"/>
      <c r="BA405" s="434"/>
      <c r="BB405" s="434"/>
      <c r="BC405" s="434"/>
      <c r="BD405" s="434"/>
      <c r="BE405" s="434"/>
      <c r="BF405" s="434"/>
    </row>
    <row r="406" spans="1:58" s="578" customFormat="1" ht="12" customHeight="1">
      <c r="A406" s="559"/>
      <c r="B406" s="1273" t="s">
        <v>613</v>
      </c>
      <c r="C406" s="1273"/>
      <c r="D406" s="1273"/>
      <c r="E406" s="1273"/>
      <c r="F406" s="1273"/>
      <c r="G406" s="1273"/>
      <c r="H406" s="1273"/>
      <c r="I406" s="1273"/>
      <c r="J406" s="1273"/>
      <c r="K406" s="1274"/>
      <c r="L406" s="582">
        <v>105000</v>
      </c>
      <c r="M406" s="583">
        <v>105000</v>
      </c>
      <c r="N406" s="583">
        <v>65000</v>
      </c>
      <c r="O406" s="582">
        <v>51556</v>
      </c>
      <c r="P406" s="583">
        <v>326556</v>
      </c>
      <c r="Q406" s="756">
        <f>R406+S406+T406+U406</f>
        <v>993000</v>
      </c>
      <c r="R406" s="681">
        <f>R404+R405</f>
        <v>333963</v>
      </c>
      <c r="S406" s="681">
        <f>S404+S405</f>
        <v>290346</v>
      </c>
      <c r="T406" s="681">
        <f>T404+T405</f>
        <v>294903</v>
      </c>
      <c r="U406" s="681">
        <f>U404+U405</f>
        <v>73788</v>
      </c>
      <c r="V406" s="681">
        <f>V404+V405</f>
        <v>375000</v>
      </c>
      <c r="W406" s="682"/>
      <c r="X406" s="1052">
        <f>X404+X405</f>
        <v>277326.738</v>
      </c>
      <c r="Y406" s="684"/>
      <c r="Z406" s="681">
        <f>Z404+Z405</f>
        <v>651000</v>
      </c>
      <c r="AA406" s="681">
        <f>AA404+AA405</f>
        <v>651000</v>
      </c>
      <c r="AB406" s="1275"/>
      <c r="AC406" s="1275"/>
      <c r="AD406" s="1275"/>
      <c r="AE406" s="588">
        <v>201171.68</v>
      </c>
      <c r="AF406" s="589">
        <v>0</v>
      </c>
      <c r="AG406" s="1275"/>
      <c r="AH406" s="1275"/>
      <c r="AI406" s="590">
        <v>0.61604037286101</v>
      </c>
      <c r="AJ406" s="558" t="s">
        <v>594</v>
      </c>
      <c r="AK406" s="576"/>
      <c r="AL406" s="576"/>
      <c r="AM406" s="434">
        <f>AM405*30.2%</f>
        <v>194.337</v>
      </c>
      <c r="AN406" s="434" t="s">
        <v>709</v>
      </c>
      <c r="AO406" s="434"/>
      <c r="AP406" s="434"/>
      <c r="AQ406" s="434"/>
      <c r="AR406" s="434"/>
      <c r="AS406" s="434"/>
      <c r="AT406" s="434"/>
      <c r="AU406" s="434"/>
      <c r="AV406" s="434"/>
      <c r="AW406" s="434"/>
      <c r="AX406" s="434"/>
      <c r="AY406" s="434"/>
      <c r="AZ406" s="434"/>
      <c r="BA406" s="434"/>
      <c r="BB406" s="434"/>
      <c r="BC406" s="434"/>
      <c r="BD406" s="434"/>
      <c r="BE406" s="434"/>
      <c r="BF406" s="434"/>
    </row>
    <row r="407" spans="1:38" ht="12.75" customHeight="1" hidden="1">
      <c r="A407" s="557"/>
      <c r="B407" s="1272" t="s">
        <v>888</v>
      </c>
      <c r="C407" s="1272"/>
      <c r="D407" s="1272"/>
      <c r="E407" s="1272"/>
      <c r="F407" s="1272"/>
      <c r="G407" s="1272"/>
      <c r="H407" s="1272"/>
      <c r="I407" s="1272"/>
      <c r="J407" s="1272"/>
      <c r="K407" s="1272"/>
      <c r="L407" s="1272"/>
      <c r="M407" s="1272"/>
      <c r="N407" s="1272"/>
      <c r="O407" s="1272"/>
      <c r="P407" s="1272"/>
      <c r="Q407" s="1272"/>
      <c r="R407" s="1272"/>
      <c r="S407" s="1272"/>
      <c r="T407" s="1272"/>
      <c r="U407" s="1272"/>
      <c r="V407" s="1272"/>
      <c r="W407" s="1272"/>
      <c r="X407" s="1272"/>
      <c r="Y407" s="1272"/>
      <c r="Z407" s="1272"/>
      <c r="AA407" s="1272"/>
      <c r="AB407" s="1272"/>
      <c r="AC407" s="1272"/>
      <c r="AD407" s="1272"/>
      <c r="AE407" s="1272"/>
      <c r="AF407" s="1272"/>
      <c r="AG407" s="1272"/>
      <c r="AH407" s="1272"/>
      <c r="AI407" s="1272"/>
      <c r="AJ407" s="558" t="s">
        <v>594</v>
      </c>
      <c r="AK407" s="426"/>
      <c r="AL407" s="426"/>
    </row>
    <row r="408" spans="1:38" ht="12.75" customHeight="1" hidden="1">
      <c r="A408" s="557"/>
      <c r="B408" s="560" t="s">
        <v>888</v>
      </c>
      <c r="C408" s="561" t="s">
        <v>888</v>
      </c>
      <c r="D408" s="562">
        <v>656110012</v>
      </c>
      <c r="E408" s="563">
        <v>1101</v>
      </c>
      <c r="F408" s="564">
        <v>656</v>
      </c>
      <c r="G408" s="668">
        <v>4829900</v>
      </c>
      <c r="H408" s="566" t="s">
        <v>625</v>
      </c>
      <c r="I408" s="566">
        <v>226</v>
      </c>
      <c r="J408" s="567">
        <v>0</v>
      </c>
      <c r="K408" s="568"/>
      <c r="L408" s="607">
        <v>1300</v>
      </c>
      <c r="M408" s="607">
        <v>0</v>
      </c>
      <c r="N408" s="607">
        <v>0</v>
      </c>
      <c r="O408" s="607">
        <v>0</v>
      </c>
      <c r="P408" s="607">
        <v>1300</v>
      </c>
      <c r="Q408" s="572"/>
      <c r="R408" s="919">
        <v>500</v>
      </c>
      <c r="S408" s="919">
        <v>400</v>
      </c>
      <c r="T408" s="919">
        <v>300</v>
      </c>
      <c r="U408" s="919">
        <f>V408-T408-S408-R408</f>
        <v>-1200</v>
      </c>
      <c r="V408" s="1053">
        <v>0</v>
      </c>
      <c r="W408" s="568"/>
      <c r="X408" s="612"/>
      <c r="Y408" s="613"/>
      <c r="Z408" s="1053">
        <v>0</v>
      </c>
      <c r="AA408" s="1053">
        <v>0</v>
      </c>
      <c r="AB408" s="573"/>
      <c r="AC408" s="573"/>
      <c r="AD408" s="573"/>
      <c r="AE408" s="573">
        <v>635.71</v>
      </c>
      <c r="AF408" s="573">
        <v>0</v>
      </c>
      <c r="AG408" s="573"/>
      <c r="AH408" s="574"/>
      <c r="AI408" s="575">
        <v>0.48900769230769253</v>
      </c>
      <c r="AJ408" s="558" t="s">
        <v>594</v>
      </c>
      <c r="AK408" s="426"/>
      <c r="AL408" s="426"/>
    </row>
    <row r="409" spans="1:38" ht="12.75" customHeight="1" hidden="1">
      <c r="A409" s="557"/>
      <c r="B409" s="1273" t="s">
        <v>613</v>
      </c>
      <c r="C409" s="1273"/>
      <c r="D409" s="1273"/>
      <c r="E409" s="1273"/>
      <c r="F409" s="1273"/>
      <c r="G409" s="1273"/>
      <c r="H409" s="1273"/>
      <c r="I409" s="1273"/>
      <c r="J409" s="1273"/>
      <c r="K409" s="1274"/>
      <c r="L409" s="845">
        <v>1300</v>
      </c>
      <c r="M409" s="608">
        <v>0</v>
      </c>
      <c r="N409" s="608">
        <v>0</v>
      </c>
      <c r="O409" s="845">
        <v>0</v>
      </c>
      <c r="P409" s="608">
        <v>1300</v>
      </c>
      <c r="Q409" s="570"/>
      <c r="R409" s="848">
        <f>R408</f>
        <v>500</v>
      </c>
      <c r="S409" s="848">
        <f>S408</f>
        <v>400</v>
      </c>
      <c r="T409" s="848">
        <f>T408</f>
        <v>300</v>
      </c>
      <c r="U409" s="848">
        <f>U408</f>
        <v>-1200</v>
      </c>
      <c r="V409" s="848">
        <f>V408</f>
        <v>0</v>
      </c>
      <c r="W409" s="682"/>
      <c r="X409" s="683"/>
      <c r="Y409" s="684"/>
      <c r="Z409" s="848">
        <f>Z408</f>
        <v>0</v>
      </c>
      <c r="AA409" s="848">
        <f>AA408</f>
        <v>0</v>
      </c>
      <c r="AB409" s="1275"/>
      <c r="AC409" s="1275"/>
      <c r="AD409" s="1275"/>
      <c r="AE409" s="588">
        <v>635.71</v>
      </c>
      <c r="AF409" s="589">
        <v>0</v>
      </c>
      <c r="AG409" s="1275"/>
      <c r="AH409" s="1275"/>
      <c r="AI409" s="590">
        <v>0.48900769230769253</v>
      </c>
      <c r="AJ409" s="558" t="s">
        <v>594</v>
      </c>
      <c r="AK409" s="426"/>
      <c r="AL409" s="426"/>
    </row>
    <row r="410" spans="1:58" s="578" customFormat="1" ht="12.75" customHeight="1">
      <c r="A410" s="559"/>
      <c r="B410" s="1284" t="s">
        <v>883</v>
      </c>
      <c r="C410" s="1285"/>
      <c r="D410" s="1285"/>
      <c r="E410" s="1285"/>
      <c r="F410" s="1285"/>
      <c r="G410" s="1285"/>
      <c r="H410" s="1285"/>
      <c r="I410" s="1285"/>
      <c r="J410" s="1285"/>
      <c r="K410" s="1285"/>
      <c r="L410" s="1285"/>
      <c r="M410" s="1285"/>
      <c r="N410" s="1285"/>
      <c r="O410" s="1285"/>
      <c r="P410" s="1285"/>
      <c r="Q410" s="1285"/>
      <c r="R410" s="1285"/>
      <c r="S410" s="1285"/>
      <c r="T410" s="1285"/>
      <c r="U410" s="1285"/>
      <c r="V410" s="1285"/>
      <c r="W410" s="1285"/>
      <c r="X410" s="1285"/>
      <c r="Y410" s="1285"/>
      <c r="Z410" s="1285"/>
      <c r="AA410" s="1285"/>
      <c r="AB410" s="1285"/>
      <c r="AC410" s="1285"/>
      <c r="AD410" s="1285"/>
      <c r="AE410" s="1285"/>
      <c r="AF410" s="1285"/>
      <c r="AG410" s="1285"/>
      <c r="AH410" s="1285"/>
      <c r="AI410" s="1286"/>
      <c r="AJ410" s="558" t="s">
        <v>594</v>
      </c>
      <c r="AK410" s="576"/>
      <c r="AL410" s="576"/>
      <c r="AM410" s="434">
        <f>AM405+AM406</f>
        <v>837.837</v>
      </c>
      <c r="AN410" s="434"/>
      <c r="AO410" s="434"/>
      <c r="AP410" s="434"/>
      <c r="AQ410" s="434"/>
      <c r="AR410" s="434"/>
      <c r="AS410" s="434"/>
      <c r="AT410" s="434"/>
      <c r="AU410" s="434"/>
      <c r="AV410" s="434"/>
      <c r="AW410" s="434"/>
      <c r="AX410" s="434"/>
      <c r="AY410" s="434"/>
      <c r="AZ410" s="434"/>
      <c r="BA410" s="434"/>
      <c r="BB410" s="434"/>
      <c r="BC410" s="434"/>
      <c r="BD410" s="434"/>
      <c r="BE410" s="434"/>
      <c r="BF410" s="434"/>
    </row>
    <row r="411" spans="1:58" s="578" customFormat="1" ht="12.75" customHeight="1">
      <c r="A411" s="559"/>
      <c r="B411" s="560" t="s">
        <v>841</v>
      </c>
      <c r="C411" s="561" t="s">
        <v>841</v>
      </c>
      <c r="D411" s="562">
        <v>656540012</v>
      </c>
      <c r="E411" s="563">
        <v>1101</v>
      </c>
      <c r="F411" s="564">
        <v>656</v>
      </c>
      <c r="G411" s="668">
        <v>5400000590</v>
      </c>
      <c r="H411" s="566" t="s">
        <v>647</v>
      </c>
      <c r="I411" s="566">
        <v>212</v>
      </c>
      <c r="J411" s="567">
        <v>0</v>
      </c>
      <c r="K411" s="568"/>
      <c r="L411" s="569">
        <v>50000</v>
      </c>
      <c r="M411" s="569">
        <v>50000</v>
      </c>
      <c r="N411" s="569">
        <v>50000</v>
      </c>
      <c r="O411" s="569">
        <v>0</v>
      </c>
      <c r="P411" s="569">
        <v>150000</v>
      </c>
      <c r="Q411" s="572">
        <f>R411+S411+T411+U411</f>
        <v>60000</v>
      </c>
      <c r="R411" s="568"/>
      <c r="S411" s="568">
        <v>30000</v>
      </c>
      <c r="T411" s="568">
        <v>30000</v>
      </c>
      <c r="U411" s="568">
        <v>0</v>
      </c>
      <c r="V411" s="611">
        <v>2000</v>
      </c>
      <c r="W411" s="568"/>
      <c r="X411" s="1051">
        <v>0</v>
      </c>
      <c r="Y411" s="613"/>
      <c r="Z411" s="611"/>
      <c r="AA411" s="611"/>
      <c r="AB411" s="573"/>
      <c r="AC411" s="573"/>
      <c r="AD411" s="573"/>
      <c r="AE411" s="573">
        <v>24440.3</v>
      </c>
      <c r="AF411" s="573">
        <v>0</v>
      </c>
      <c r="AG411" s="573"/>
      <c r="AH411" s="574"/>
      <c r="AI411" s="575">
        <v>0.16293533333333332</v>
      </c>
      <c r="AJ411" s="558" t="s">
        <v>594</v>
      </c>
      <c r="AK411" s="576"/>
      <c r="AL411" s="576"/>
      <c r="AM411" s="479">
        <v>318964.71</v>
      </c>
      <c r="AN411" s="761">
        <v>1.302</v>
      </c>
      <c r="AO411" s="434"/>
      <c r="AP411" s="434"/>
      <c r="AQ411" s="434"/>
      <c r="AR411" s="434"/>
      <c r="AS411" s="434"/>
      <c r="AT411" s="434"/>
      <c r="AU411" s="434"/>
      <c r="AV411" s="434"/>
      <c r="AW411" s="434"/>
      <c r="AX411" s="434"/>
      <c r="AY411" s="434"/>
      <c r="AZ411" s="434"/>
      <c r="BA411" s="434"/>
      <c r="BB411" s="434"/>
      <c r="BC411" s="434"/>
      <c r="BD411" s="434"/>
      <c r="BE411" s="434"/>
      <c r="BF411" s="434"/>
    </row>
    <row r="412" spans="1:58" s="578" customFormat="1" ht="12.75" customHeight="1">
      <c r="A412" s="559"/>
      <c r="B412" s="1274" t="s">
        <v>613</v>
      </c>
      <c r="C412" s="1279"/>
      <c r="D412" s="1279"/>
      <c r="E412" s="1279"/>
      <c r="F412" s="1279"/>
      <c r="G412" s="1279"/>
      <c r="H412" s="1279"/>
      <c r="I412" s="1279"/>
      <c r="J412" s="1279"/>
      <c r="K412" s="1280"/>
      <c r="L412" s="582">
        <v>50000</v>
      </c>
      <c r="M412" s="583">
        <v>50000</v>
      </c>
      <c r="N412" s="583">
        <v>50000</v>
      </c>
      <c r="O412" s="582">
        <v>0</v>
      </c>
      <c r="P412" s="583">
        <v>150000</v>
      </c>
      <c r="Q412" s="756">
        <f>R412+S412+T412+U412</f>
        <v>60000</v>
      </c>
      <c r="R412" s="681">
        <f>R411</f>
        <v>0</v>
      </c>
      <c r="S412" s="681">
        <f>S411</f>
        <v>30000</v>
      </c>
      <c r="T412" s="681">
        <f>T411</f>
        <v>30000</v>
      </c>
      <c r="U412" s="681">
        <f>U411</f>
        <v>0</v>
      </c>
      <c r="V412" s="681">
        <f>V411</f>
        <v>2000</v>
      </c>
      <c r="W412" s="682"/>
      <c r="X412" s="1052">
        <f>X411</f>
        <v>0</v>
      </c>
      <c r="Y412" s="684"/>
      <c r="Z412" s="681">
        <f>Z411</f>
        <v>0</v>
      </c>
      <c r="AA412" s="681">
        <f>AA411</f>
        <v>0</v>
      </c>
      <c r="AB412" s="1281"/>
      <c r="AC412" s="1282"/>
      <c r="AD412" s="1283"/>
      <c r="AE412" s="588">
        <v>24440.3</v>
      </c>
      <c r="AF412" s="589">
        <v>0</v>
      </c>
      <c r="AG412" s="1281"/>
      <c r="AH412" s="1283"/>
      <c r="AI412" s="590">
        <v>0.16293533333333332</v>
      </c>
      <c r="AJ412" s="558" t="s">
        <v>594</v>
      </c>
      <c r="AK412" s="576"/>
      <c r="AL412" s="576"/>
      <c r="AM412" s="479">
        <f>AM411*AN412/AN411</f>
        <v>244980.57603686638</v>
      </c>
      <c r="AN412" s="759">
        <v>1</v>
      </c>
      <c r="AO412" s="434"/>
      <c r="AP412" s="434"/>
      <c r="AQ412" s="434"/>
      <c r="AR412" s="434"/>
      <c r="AS412" s="434"/>
      <c r="AT412" s="434"/>
      <c r="AU412" s="434"/>
      <c r="AV412" s="434"/>
      <c r="AW412" s="434"/>
      <c r="AX412" s="434"/>
      <c r="AY412" s="434"/>
      <c r="AZ412" s="434"/>
      <c r="BA412" s="434"/>
      <c r="BB412" s="434"/>
      <c r="BC412" s="434"/>
      <c r="BD412" s="434"/>
      <c r="BE412" s="434"/>
      <c r="BF412" s="434"/>
    </row>
    <row r="413" spans="1:40" ht="21" customHeight="1">
      <c r="A413" s="557"/>
      <c r="B413" s="1272" t="s">
        <v>889</v>
      </c>
      <c r="C413" s="1272"/>
      <c r="D413" s="1272"/>
      <c r="E413" s="1272"/>
      <c r="F413" s="1272"/>
      <c r="G413" s="1272"/>
      <c r="H413" s="1272"/>
      <c r="I413" s="1272"/>
      <c r="J413" s="1272"/>
      <c r="K413" s="1272"/>
      <c r="L413" s="1272"/>
      <c r="M413" s="1272"/>
      <c r="N413" s="1272"/>
      <c r="O413" s="1272"/>
      <c r="P413" s="1272"/>
      <c r="Q413" s="1272"/>
      <c r="R413" s="1272"/>
      <c r="S413" s="1272"/>
      <c r="T413" s="1272"/>
      <c r="U413" s="1272"/>
      <c r="V413" s="1272"/>
      <c r="W413" s="1272"/>
      <c r="X413" s="1272"/>
      <c r="Y413" s="1272"/>
      <c r="Z413" s="1272"/>
      <c r="AA413" s="1272"/>
      <c r="AB413" s="1272"/>
      <c r="AC413" s="1272"/>
      <c r="AD413" s="1272"/>
      <c r="AE413" s="1272"/>
      <c r="AF413" s="1272"/>
      <c r="AG413" s="1272"/>
      <c r="AH413" s="1272"/>
      <c r="AI413" s="1272"/>
      <c r="AJ413" s="558" t="s">
        <v>594</v>
      </c>
      <c r="AK413" s="426"/>
      <c r="AL413" s="426"/>
      <c r="AM413" s="479">
        <f>AM411-AM412</f>
        <v>73984.13396313365</v>
      </c>
      <c r="AN413" s="759">
        <v>0.302</v>
      </c>
    </row>
    <row r="414" spans="1:58" s="578" customFormat="1" ht="12.75" customHeight="1">
      <c r="A414" s="559"/>
      <c r="B414" s="560" t="s">
        <v>889</v>
      </c>
      <c r="C414" s="561" t="s">
        <v>889</v>
      </c>
      <c r="D414" s="562">
        <v>656540013</v>
      </c>
      <c r="E414" s="563">
        <v>1101</v>
      </c>
      <c r="F414" s="564">
        <v>656</v>
      </c>
      <c r="G414" s="668">
        <v>5400000590</v>
      </c>
      <c r="H414" s="566" t="s">
        <v>625</v>
      </c>
      <c r="I414" s="566">
        <v>226</v>
      </c>
      <c r="J414" s="567" t="s">
        <v>711</v>
      </c>
      <c r="K414" s="568"/>
      <c r="L414" s="569">
        <v>10000</v>
      </c>
      <c r="M414" s="569">
        <v>0</v>
      </c>
      <c r="N414" s="569">
        <v>0</v>
      </c>
      <c r="O414" s="569">
        <v>0</v>
      </c>
      <c r="P414" s="569">
        <v>10000</v>
      </c>
      <c r="Q414" s="572">
        <f>R414+S414+T414+U414</f>
        <v>10000</v>
      </c>
      <c r="R414" s="611">
        <v>5000</v>
      </c>
      <c r="S414" s="568"/>
      <c r="T414" s="568">
        <v>5000</v>
      </c>
      <c r="U414" s="568"/>
      <c r="V414" s="611">
        <v>1300000</v>
      </c>
      <c r="W414" s="568" t="s">
        <v>890</v>
      </c>
      <c r="X414" s="1051">
        <v>-119920</v>
      </c>
      <c r="Y414" s="613"/>
      <c r="Z414" s="611">
        <v>1300000</v>
      </c>
      <c r="AA414" s="611">
        <v>1300000</v>
      </c>
      <c r="AB414" s="573"/>
      <c r="AC414" s="573"/>
      <c r="AD414" s="573"/>
      <c r="AE414" s="573">
        <v>5000</v>
      </c>
      <c r="AF414" s="573">
        <v>0</v>
      </c>
      <c r="AG414" s="573"/>
      <c r="AH414" s="574"/>
      <c r="AI414" s="575">
        <v>0.5</v>
      </c>
      <c r="AJ414" s="558" t="s">
        <v>594</v>
      </c>
      <c r="AK414" s="576"/>
      <c r="AL414" s="576"/>
      <c r="AM414" s="434"/>
      <c r="AN414" s="434"/>
      <c r="AO414" s="434"/>
      <c r="AP414" s="434"/>
      <c r="AQ414" s="434"/>
      <c r="AR414" s="434"/>
      <c r="AS414" s="434"/>
      <c r="AT414" s="434"/>
      <c r="AU414" s="434"/>
      <c r="AV414" s="434"/>
      <c r="AW414" s="434"/>
      <c r="AX414" s="434"/>
      <c r="AY414" s="434"/>
      <c r="AZ414" s="434"/>
      <c r="BA414" s="434"/>
      <c r="BB414" s="434"/>
      <c r="BC414" s="434"/>
      <c r="BD414" s="434"/>
      <c r="BE414" s="434"/>
      <c r="BF414" s="434"/>
    </row>
    <row r="415" spans="1:58" s="578" customFormat="1" ht="12.75" customHeight="1">
      <c r="A415" s="559"/>
      <c r="B415" s="560" t="s">
        <v>889</v>
      </c>
      <c r="C415" s="561" t="s">
        <v>889</v>
      </c>
      <c r="D415" s="562">
        <v>656540013</v>
      </c>
      <c r="E415" s="563">
        <v>1101</v>
      </c>
      <c r="F415" s="564">
        <v>656</v>
      </c>
      <c r="G415" s="668">
        <v>5400000590</v>
      </c>
      <c r="H415" s="566" t="s">
        <v>625</v>
      </c>
      <c r="I415" s="566">
        <v>290</v>
      </c>
      <c r="J415" s="567" t="s">
        <v>149</v>
      </c>
      <c r="K415" s="568"/>
      <c r="L415" s="569">
        <v>10000</v>
      </c>
      <c r="M415" s="569">
        <v>0</v>
      </c>
      <c r="N415" s="569">
        <v>0</v>
      </c>
      <c r="O415" s="569">
        <v>0</v>
      </c>
      <c r="P415" s="569">
        <v>10000</v>
      </c>
      <c r="Q415" s="572">
        <f>R415+S415+T415+U415</f>
        <v>10000</v>
      </c>
      <c r="R415" s="611">
        <v>5000</v>
      </c>
      <c r="S415" s="568"/>
      <c r="T415" s="568">
        <v>5000</v>
      </c>
      <c r="U415" s="568"/>
      <c r="V415" s="611">
        <v>0</v>
      </c>
      <c r="W415" s="568" t="s">
        <v>891</v>
      </c>
      <c r="X415" s="1051">
        <v>10000</v>
      </c>
      <c r="Y415" s="613"/>
      <c r="Z415" s="611"/>
      <c r="AA415" s="611"/>
      <c r="AB415" s="573"/>
      <c r="AC415" s="573"/>
      <c r="AD415" s="573"/>
      <c r="AE415" s="573">
        <v>5000</v>
      </c>
      <c r="AF415" s="573">
        <v>0</v>
      </c>
      <c r="AG415" s="573"/>
      <c r="AH415" s="574"/>
      <c r="AI415" s="575">
        <v>0.5</v>
      </c>
      <c r="AJ415" s="558" t="s">
        <v>594</v>
      </c>
      <c r="AK415" s="576"/>
      <c r="AL415" s="576"/>
      <c r="AM415" s="434"/>
      <c r="AN415" s="434"/>
      <c r="AO415" s="434"/>
      <c r="AP415" s="434"/>
      <c r="AQ415" s="434"/>
      <c r="AR415" s="434"/>
      <c r="AS415" s="434"/>
      <c r="AT415" s="434"/>
      <c r="AU415" s="434"/>
      <c r="AV415" s="434"/>
      <c r="AW415" s="434"/>
      <c r="AX415" s="434"/>
      <c r="AY415" s="434"/>
      <c r="AZ415" s="434"/>
      <c r="BA415" s="434"/>
      <c r="BB415" s="434"/>
      <c r="BC415" s="434"/>
      <c r="BD415" s="434"/>
      <c r="BE415" s="434"/>
      <c r="BF415" s="434"/>
    </row>
    <row r="416" spans="1:58" s="578" customFormat="1" ht="12.75" customHeight="1">
      <c r="A416" s="559"/>
      <c r="B416" s="560" t="s">
        <v>889</v>
      </c>
      <c r="C416" s="561" t="s">
        <v>889</v>
      </c>
      <c r="D416" s="562">
        <v>656540013</v>
      </c>
      <c r="E416" s="563">
        <v>1101</v>
      </c>
      <c r="F416" s="564">
        <v>656</v>
      </c>
      <c r="G416" s="668">
        <v>5400000590</v>
      </c>
      <c r="H416" s="566" t="s">
        <v>625</v>
      </c>
      <c r="I416" s="566">
        <v>340</v>
      </c>
      <c r="J416" s="567" t="s">
        <v>152</v>
      </c>
      <c r="K416" s="568"/>
      <c r="L416" s="569">
        <v>10000</v>
      </c>
      <c r="M416" s="569">
        <v>0</v>
      </c>
      <c r="N416" s="569">
        <v>0</v>
      </c>
      <c r="O416" s="569">
        <v>0</v>
      </c>
      <c r="P416" s="569">
        <v>10000</v>
      </c>
      <c r="Q416" s="572">
        <f>R416+S416+T416+U416</f>
        <v>10000</v>
      </c>
      <c r="R416" s="611">
        <v>5000</v>
      </c>
      <c r="S416" s="568"/>
      <c r="T416" s="568">
        <v>5000</v>
      </c>
      <c r="U416" s="568"/>
      <c r="V416" s="611">
        <v>0</v>
      </c>
      <c r="W416" s="568" t="s">
        <v>699</v>
      </c>
      <c r="X416" s="1051">
        <v>10000</v>
      </c>
      <c r="Y416" s="613"/>
      <c r="Z416" s="611"/>
      <c r="AA416" s="611"/>
      <c r="AB416" s="573"/>
      <c r="AC416" s="573"/>
      <c r="AD416" s="573"/>
      <c r="AE416" s="573">
        <v>0</v>
      </c>
      <c r="AF416" s="573">
        <v>0</v>
      </c>
      <c r="AG416" s="573"/>
      <c r="AH416" s="574"/>
      <c r="AI416" s="575">
        <v>0</v>
      </c>
      <c r="AJ416" s="558" t="s">
        <v>594</v>
      </c>
      <c r="AK416" s="576"/>
      <c r="AL416" s="576"/>
      <c r="AM416" s="434"/>
      <c r="AN416" s="434"/>
      <c r="AO416" s="434"/>
      <c r="AP416" s="434"/>
      <c r="AQ416" s="434"/>
      <c r="AR416" s="434"/>
      <c r="AS416" s="434"/>
      <c r="AT416" s="434"/>
      <c r="AU416" s="434"/>
      <c r="AV416" s="434"/>
      <c r="AW416" s="434"/>
      <c r="AX416" s="434"/>
      <c r="AY416" s="434"/>
      <c r="AZ416" s="434"/>
      <c r="BA416" s="434"/>
      <c r="BB416" s="434"/>
      <c r="BC416" s="434"/>
      <c r="BD416" s="434"/>
      <c r="BE416" s="434"/>
      <c r="BF416" s="434"/>
    </row>
    <row r="417" spans="1:58" s="578" customFormat="1" ht="12.75" customHeight="1">
      <c r="A417" s="559"/>
      <c r="B417" s="1273" t="s">
        <v>613</v>
      </c>
      <c r="C417" s="1273"/>
      <c r="D417" s="1273"/>
      <c r="E417" s="1273"/>
      <c r="F417" s="1273"/>
      <c r="G417" s="1273"/>
      <c r="H417" s="1273"/>
      <c r="I417" s="1273"/>
      <c r="J417" s="1273"/>
      <c r="K417" s="1274"/>
      <c r="L417" s="582">
        <v>20000</v>
      </c>
      <c r="M417" s="583">
        <v>0</v>
      </c>
      <c r="N417" s="583">
        <v>0</v>
      </c>
      <c r="O417" s="582">
        <v>0</v>
      </c>
      <c r="P417" s="583">
        <v>20000</v>
      </c>
      <c r="Q417" s="756">
        <f>Q415+Q416</f>
        <v>20000</v>
      </c>
      <c r="R417" s="681">
        <f>R415+R416</f>
        <v>10000</v>
      </c>
      <c r="S417" s="667"/>
      <c r="T417" s="681">
        <f>T415+T416</f>
        <v>10000</v>
      </c>
      <c r="U417" s="667"/>
      <c r="V417" s="681">
        <f>V414+V415+V416</f>
        <v>1300000</v>
      </c>
      <c r="W417" s="682"/>
      <c r="X417" s="1057">
        <f>SUM(X414:X416)</f>
        <v>-99920</v>
      </c>
      <c r="Y417" s="684"/>
      <c r="Z417" s="681">
        <f>Z414+Z415+Z416</f>
        <v>1300000</v>
      </c>
      <c r="AA417" s="681">
        <f>AA414+AA415+AA416</f>
        <v>1300000</v>
      </c>
      <c r="AB417" s="1275"/>
      <c r="AC417" s="1275"/>
      <c r="AD417" s="1275"/>
      <c r="AE417" s="588">
        <v>5000</v>
      </c>
      <c r="AF417" s="589">
        <v>0</v>
      </c>
      <c r="AG417" s="1275"/>
      <c r="AH417" s="1275"/>
      <c r="AI417" s="590">
        <v>0.25</v>
      </c>
      <c r="AJ417" s="558" t="s">
        <v>594</v>
      </c>
      <c r="AK417" s="576"/>
      <c r="AL417" s="576"/>
      <c r="AM417" s="577">
        <f>V406+V412+V417</f>
        <v>1677000</v>
      </c>
      <c r="AN417" s="434"/>
      <c r="AO417" s="434"/>
      <c r="AP417" s="434"/>
      <c r="AQ417" s="434"/>
      <c r="AR417" s="434"/>
      <c r="AS417" s="434"/>
      <c r="AT417" s="434"/>
      <c r="AU417" s="434"/>
      <c r="AV417" s="434"/>
      <c r="AW417" s="434"/>
      <c r="AX417" s="434"/>
      <c r="AY417" s="434"/>
      <c r="AZ417" s="434"/>
      <c r="BA417" s="434"/>
      <c r="BB417" s="434"/>
      <c r="BC417" s="434"/>
      <c r="BD417" s="434"/>
      <c r="BE417" s="434"/>
      <c r="BF417" s="434"/>
    </row>
    <row r="418" spans="1:58" s="578" customFormat="1" ht="26.25" customHeight="1">
      <c r="A418" s="559"/>
      <c r="B418" s="1276" t="s">
        <v>892</v>
      </c>
      <c r="C418" s="1277"/>
      <c r="D418" s="1277"/>
      <c r="E418" s="1277"/>
      <c r="F418" s="1277"/>
      <c r="G418" s="1277"/>
      <c r="H418" s="1277"/>
      <c r="I418" s="1277"/>
      <c r="J418" s="1277"/>
      <c r="K418" s="1277"/>
      <c r="L418" s="1277"/>
      <c r="M418" s="1277"/>
      <c r="N418" s="1277"/>
      <c r="O418" s="1277"/>
      <c r="P418" s="1277"/>
      <c r="Q418" s="1277"/>
      <c r="R418" s="1277"/>
      <c r="S418" s="1277"/>
      <c r="T418" s="1277"/>
      <c r="U418" s="1277"/>
      <c r="V418" s="1277"/>
      <c r="W418" s="1277"/>
      <c r="X418" s="1277"/>
      <c r="Y418" s="1277"/>
      <c r="Z418" s="1277"/>
      <c r="AA418" s="1277"/>
      <c r="AB418" s="1277"/>
      <c r="AC418" s="1277"/>
      <c r="AD418" s="1277"/>
      <c r="AE418" s="1277"/>
      <c r="AF418" s="1277"/>
      <c r="AG418" s="1277"/>
      <c r="AH418" s="1277"/>
      <c r="AI418" s="1278"/>
      <c r="AJ418" s="558" t="s">
        <v>594</v>
      </c>
      <c r="AK418" s="576"/>
      <c r="AL418" s="576"/>
      <c r="AM418" s="434"/>
      <c r="AN418" s="434"/>
      <c r="AO418" s="434"/>
      <c r="AP418" s="434"/>
      <c r="AQ418" s="434"/>
      <c r="AR418" s="434"/>
      <c r="AS418" s="434"/>
      <c r="AT418" s="434"/>
      <c r="AU418" s="434"/>
      <c r="AV418" s="434"/>
      <c r="AW418" s="434"/>
      <c r="AX418" s="434"/>
      <c r="AY418" s="434"/>
      <c r="AZ418" s="434"/>
      <c r="BA418" s="434"/>
      <c r="BB418" s="434"/>
      <c r="BC418" s="434"/>
      <c r="BD418" s="434"/>
      <c r="BE418" s="434"/>
      <c r="BF418" s="434"/>
    </row>
    <row r="419" spans="1:58" s="578" customFormat="1" ht="12.75" customHeight="1">
      <c r="A419" s="559"/>
      <c r="B419" s="560" t="s">
        <v>651</v>
      </c>
      <c r="C419" s="561" t="s">
        <v>651</v>
      </c>
      <c r="D419" s="562">
        <v>656700011</v>
      </c>
      <c r="E419" s="563">
        <v>401</v>
      </c>
      <c r="F419" s="564">
        <v>656</v>
      </c>
      <c r="G419" s="668">
        <v>7000085060</v>
      </c>
      <c r="H419" s="566">
        <v>111</v>
      </c>
      <c r="I419" s="566">
        <v>211</v>
      </c>
      <c r="J419" s="755"/>
      <c r="K419" s="568"/>
      <c r="L419" s="569">
        <v>647000</v>
      </c>
      <c r="M419" s="569">
        <v>550000</v>
      </c>
      <c r="N419" s="569">
        <v>408195.4</v>
      </c>
      <c r="O419" s="569">
        <v>580336</v>
      </c>
      <c r="P419" s="569">
        <v>2185531.4</v>
      </c>
      <c r="Q419" s="572">
        <f aca="true" t="shared" si="7" ref="Q419:Q425">R419+S419+T419+U419</f>
        <v>2778065</v>
      </c>
      <c r="R419" s="569">
        <f>668804.6+50000+150000+120729+200000</f>
        <v>1189533.6</v>
      </c>
      <c r="S419" s="569">
        <f>550000+100000-100000</f>
        <v>550000</v>
      </c>
      <c r="T419" s="569">
        <f>408195.4+130000</f>
        <v>538195.4</v>
      </c>
      <c r="U419" s="569">
        <f>580336-50000+100000-130000</f>
        <v>500336</v>
      </c>
      <c r="V419" s="569">
        <v>665602.5</v>
      </c>
      <c r="W419" s="568"/>
      <c r="X419" s="896"/>
      <c r="Y419" s="613"/>
      <c r="Z419" s="569"/>
      <c r="AA419" s="569"/>
      <c r="AB419" s="573"/>
      <c r="AC419" s="573"/>
      <c r="AD419" s="573"/>
      <c r="AE419" s="573">
        <v>1508967.67</v>
      </c>
      <c r="AF419" s="573">
        <v>20700</v>
      </c>
      <c r="AG419" s="573"/>
      <c r="AH419" s="574"/>
      <c r="AI419" s="575">
        <v>0.6809637555424735</v>
      </c>
      <c r="AJ419" s="558" t="s">
        <v>594</v>
      </c>
      <c r="AK419" s="576"/>
      <c r="AL419" s="576"/>
      <c r="AM419" s="434"/>
      <c r="AN419" s="434"/>
      <c r="AO419" s="434"/>
      <c r="AP419" s="434"/>
      <c r="AQ419" s="434"/>
      <c r="AR419" s="434"/>
      <c r="AS419" s="434"/>
      <c r="AT419" s="434"/>
      <c r="AU419" s="434"/>
      <c r="AV419" s="434"/>
      <c r="AW419" s="434"/>
      <c r="AX419" s="434"/>
      <c r="AY419" s="434"/>
      <c r="AZ419" s="434"/>
      <c r="BA419" s="434"/>
      <c r="BB419" s="434"/>
      <c r="BC419" s="434"/>
      <c r="BD419" s="434"/>
      <c r="BE419" s="434"/>
      <c r="BF419" s="434"/>
    </row>
    <row r="420" spans="1:58" s="578" customFormat="1" ht="12.75" customHeight="1">
      <c r="A420" s="559"/>
      <c r="B420" s="560" t="s">
        <v>651</v>
      </c>
      <c r="C420" s="561" t="s">
        <v>651</v>
      </c>
      <c r="D420" s="562">
        <v>656700011</v>
      </c>
      <c r="E420" s="563">
        <v>401</v>
      </c>
      <c r="F420" s="564">
        <v>656</v>
      </c>
      <c r="G420" s="668">
        <v>7000085060</v>
      </c>
      <c r="H420" s="566">
        <v>119</v>
      </c>
      <c r="I420" s="566">
        <v>213</v>
      </c>
      <c r="J420" s="755"/>
      <c r="K420" s="568"/>
      <c r="L420" s="569">
        <v>196000</v>
      </c>
      <c r="M420" s="569">
        <v>167000</v>
      </c>
      <c r="N420" s="569">
        <v>130000</v>
      </c>
      <c r="O420" s="569">
        <v>173615</v>
      </c>
      <c r="P420" s="569">
        <v>666615</v>
      </c>
      <c r="Q420" s="572">
        <f t="shared" si="7"/>
        <v>838975.6300000001</v>
      </c>
      <c r="R420" s="569">
        <f>R419*30.2%</f>
        <v>359239.1472</v>
      </c>
      <c r="S420" s="569">
        <f>S419*30.2%</f>
        <v>166100</v>
      </c>
      <c r="T420" s="569">
        <f>T419*30.2%</f>
        <v>162535.0108</v>
      </c>
      <c r="U420" s="569">
        <f>U419*30.2%</f>
        <v>151101.472</v>
      </c>
      <c r="V420" s="569">
        <v>247432.5</v>
      </c>
      <c r="W420" s="568"/>
      <c r="X420" s="896"/>
      <c r="Y420" s="613"/>
      <c r="Z420" s="569"/>
      <c r="AA420" s="569"/>
      <c r="AB420" s="573"/>
      <c r="AC420" s="573"/>
      <c r="AD420" s="573"/>
      <c r="AE420" s="573">
        <v>459201.6</v>
      </c>
      <c r="AF420" s="573">
        <v>8362.8</v>
      </c>
      <c r="AG420" s="573"/>
      <c r="AH420" s="574"/>
      <c r="AI420" s="575">
        <v>0.6763106140725907</v>
      </c>
      <c r="AJ420" s="558" t="s">
        <v>594</v>
      </c>
      <c r="AK420" s="576"/>
      <c r="AL420" s="576"/>
      <c r="AM420" s="434"/>
      <c r="AN420" s="434"/>
      <c r="AO420" s="434"/>
      <c r="AP420" s="434"/>
      <c r="AQ420" s="434"/>
      <c r="AR420" s="434"/>
      <c r="AS420" s="434"/>
      <c r="AT420" s="434"/>
      <c r="AU420" s="434"/>
      <c r="AV420" s="434"/>
      <c r="AW420" s="434"/>
      <c r="AX420" s="434"/>
      <c r="AY420" s="434"/>
      <c r="AZ420" s="434"/>
      <c r="BA420" s="434"/>
      <c r="BB420" s="434"/>
      <c r="BC420" s="434"/>
      <c r="BD420" s="434"/>
      <c r="BE420" s="434"/>
      <c r="BF420" s="434"/>
    </row>
    <row r="421" spans="1:58" s="578" customFormat="1" ht="12.75" customHeight="1">
      <c r="A421" s="559"/>
      <c r="B421" s="560" t="s">
        <v>651</v>
      </c>
      <c r="C421" s="561" t="s">
        <v>651</v>
      </c>
      <c r="D421" s="562">
        <v>656700011</v>
      </c>
      <c r="E421" s="563">
        <v>401</v>
      </c>
      <c r="F421" s="564">
        <v>656</v>
      </c>
      <c r="G421" s="668">
        <v>7000099990</v>
      </c>
      <c r="H421" s="566">
        <v>111</v>
      </c>
      <c r="I421" s="566">
        <v>211</v>
      </c>
      <c r="J421" s="755"/>
      <c r="K421" s="568"/>
      <c r="L421" s="569">
        <v>647000</v>
      </c>
      <c r="M421" s="569">
        <v>550000</v>
      </c>
      <c r="N421" s="569">
        <v>408195.4</v>
      </c>
      <c r="O421" s="569">
        <v>580336</v>
      </c>
      <c r="P421" s="569">
        <v>2185531.4</v>
      </c>
      <c r="Q421" s="572">
        <f t="shared" si="7"/>
        <v>2778065</v>
      </c>
      <c r="R421" s="569">
        <f>668804.6+50000+150000+120729+200000</f>
        <v>1189533.6</v>
      </c>
      <c r="S421" s="569">
        <f>550000+100000-100000</f>
        <v>550000</v>
      </c>
      <c r="T421" s="569">
        <f>408195.4+130000</f>
        <v>538195.4</v>
      </c>
      <c r="U421" s="569">
        <f>580336-50000+100000-130000</f>
        <v>500336</v>
      </c>
      <c r="V421" s="569">
        <v>60989.97</v>
      </c>
      <c r="W421" s="568"/>
      <c r="X421" s="896">
        <v>762000</v>
      </c>
      <c r="Y421" s="613" t="s">
        <v>893</v>
      </c>
      <c r="Z421" s="569"/>
      <c r="AA421" s="569"/>
      <c r="AB421" s="573"/>
      <c r="AC421" s="573"/>
      <c r="AD421" s="573"/>
      <c r="AE421" s="573">
        <v>1508967.67</v>
      </c>
      <c r="AF421" s="573">
        <v>20700</v>
      </c>
      <c r="AG421" s="573"/>
      <c r="AH421" s="574"/>
      <c r="AI421" s="575">
        <v>0.6809637555424735</v>
      </c>
      <c r="AJ421" s="558" t="s">
        <v>594</v>
      </c>
      <c r="AK421" s="576"/>
      <c r="AL421" s="576"/>
      <c r="AM421" s="434"/>
      <c r="AN421" s="434"/>
      <c r="AO421" s="434"/>
      <c r="AP421" s="434"/>
      <c r="AQ421" s="434"/>
      <c r="AR421" s="434"/>
      <c r="AS421" s="434"/>
      <c r="AT421" s="434"/>
      <c r="AU421" s="434"/>
      <c r="AV421" s="434"/>
      <c r="AW421" s="434"/>
      <c r="AX421" s="434"/>
      <c r="AY421" s="434"/>
      <c r="AZ421" s="434"/>
      <c r="BA421" s="434"/>
      <c r="BB421" s="434"/>
      <c r="BC421" s="434"/>
      <c r="BD421" s="434"/>
      <c r="BE421" s="434"/>
      <c r="BF421" s="434"/>
    </row>
    <row r="422" spans="1:58" s="578" customFormat="1" ht="12.75" customHeight="1">
      <c r="A422" s="559"/>
      <c r="B422" s="560" t="s">
        <v>651</v>
      </c>
      <c r="C422" s="561" t="s">
        <v>651</v>
      </c>
      <c r="D422" s="562">
        <v>656700011</v>
      </c>
      <c r="E422" s="563">
        <v>401</v>
      </c>
      <c r="F422" s="564">
        <v>656</v>
      </c>
      <c r="G422" s="668">
        <v>7000099990</v>
      </c>
      <c r="H422" s="566">
        <v>119</v>
      </c>
      <c r="I422" s="566">
        <v>213</v>
      </c>
      <c r="J422" s="755"/>
      <c r="K422" s="568"/>
      <c r="L422" s="569">
        <v>196000</v>
      </c>
      <c r="M422" s="569">
        <v>167000</v>
      </c>
      <c r="N422" s="569">
        <v>130000</v>
      </c>
      <c r="O422" s="569">
        <v>173615</v>
      </c>
      <c r="P422" s="569">
        <v>666615</v>
      </c>
      <c r="Q422" s="572">
        <f t="shared" si="7"/>
        <v>838975.6300000001</v>
      </c>
      <c r="R422" s="569">
        <f>R421*30.2%</f>
        <v>359239.1472</v>
      </c>
      <c r="S422" s="569">
        <f>S421*30.2%</f>
        <v>166100</v>
      </c>
      <c r="T422" s="569">
        <f>T421*30.2%</f>
        <v>162535.0108</v>
      </c>
      <c r="U422" s="569">
        <f>U421*30.2%</f>
        <v>151101.472</v>
      </c>
      <c r="V422" s="569">
        <v>18647.56</v>
      </c>
      <c r="W422" s="568"/>
      <c r="X422" s="896">
        <v>230000</v>
      </c>
      <c r="Y422" s="613" t="s">
        <v>894</v>
      </c>
      <c r="Z422" s="569"/>
      <c r="AA422" s="569"/>
      <c r="AB422" s="573"/>
      <c r="AC422" s="573"/>
      <c r="AD422" s="573"/>
      <c r="AE422" s="573">
        <v>459201.6</v>
      </c>
      <c r="AF422" s="573">
        <v>8362.8</v>
      </c>
      <c r="AG422" s="573"/>
      <c r="AH422" s="574"/>
      <c r="AI422" s="575">
        <v>0.6763106140725907</v>
      </c>
      <c r="AJ422" s="558" t="s">
        <v>594</v>
      </c>
      <c r="AK422" s="576"/>
      <c r="AL422" s="576"/>
      <c r="AM422" s="434"/>
      <c r="AN422" s="434"/>
      <c r="AO422" s="434"/>
      <c r="AP422" s="434"/>
      <c r="AQ422" s="434"/>
      <c r="AR422" s="434"/>
      <c r="AS422" s="434"/>
      <c r="AT422" s="434"/>
      <c r="AU422" s="434"/>
      <c r="AV422" s="434"/>
      <c r="AW422" s="434"/>
      <c r="AX422" s="434"/>
      <c r="AY422" s="434"/>
      <c r="AZ422" s="434"/>
      <c r="BA422" s="434"/>
      <c r="BB422" s="434"/>
      <c r="BC422" s="434"/>
      <c r="BD422" s="434"/>
      <c r="BE422" s="434"/>
      <c r="BF422" s="434"/>
    </row>
    <row r="423" spans="1:58" s="578" customFormat="1" ht="12.75" customHeight="1">
      <c r="A423" s="559"/>
      <c r="B423" s="560" t="s">
        <v>651</v>
      </c>
      <c r="C423" s="561" t="s">
        <v>651</v>
      </c>
      <c r="D423" s="562">
        <v>656700011</v>
      </c>
      <c r="E423" s="563">
        <v>401</v>
      </c>
      <c r="F423" s="564">
        <v>656</v>
      </c>
      <c r="G423" s="668">
        <v>7000099990</v>
      </c>
      <c r="H423" s="566">
        <v>121</v>
      </c>
      <c r="I423" s="566">
        <v>211</v>
      </c>
      <c r="J423" s="755"/>
      <c r="K423" s="568"/>
      <c r="L423" s="569">
        <v>647000</v>
      </c>
      <c r="M423" s="569">
        <v>550000</v>
      </c>
      <c r="N423" s="569">
        <v>408195.4</v>
      </c>
      <c r="O423" s="569">
        <v>580336</v>
      </c>
      <c r="P423" s="569">
        <v>2185531.4</v>
      </c>
      <c r="Q423" s="572">
        <f t="shared" si="7"/>
        <v>2778065</v>
      </c>
      <c r="R423" s="569">
        <f>668804.6+50000+150000+120729+200000</f>
        <v>1189533.6</v>
      </c>
      <c r="S423" s="569">
        <f>550000+100000-100000</f>
        <v>550000</v>
      </c>
      <c r="T423" s="569">
        <f>408195.4+130000</f>
        <v>538195.4</v>
      </c>
      <c r="U423" s="569">
        <f>580336-50000+100000-130000</f>
        <v>500336</v>
      </c>
      <c r="V423" s="569">
        <v>12280</v>
      </c>
      <c r="W423" s="568"/>
      <c r="X423" s="896"/>
      <c r="Y423" s="613"/>
      <c r="Z423" s="569"/>
      <c r="AA423" s="569"/>
      <c r="AB423" s="573"/>
      <c r="AC423" s="573"/>
      <c r="AD423" s="573"/>
      <c r="AE423" s="573">
        <v>1508967.67</v>
      </c>
      <c r="AF423" s="573">
        <v>20700</v>
      </c>
      <c r="AG423" s="573"/>
      <c r="AH423" s="574"/>
      <c r="AI423" s="575">
        <v>0.6809637555424735</v>
      </c>
      <c r="AJ423" s="558" t="s">
        <v>594</v>
      </c>
      <c r="AK423" s="576"/>
      <c r="AL423" s="576"/>
      <c r="AM423" s="434"/>
      <c r="AN423" s="434"/>
      <c r="AO423" s="434"/>
      <c r="AP423" s="434"/>
      <c r="AQ423" s="434"/>
      <c r="AR423" s="434"/>
      <c r="AS423" s="434"/>
      <c r="AT423" s="434"/>
      <c r="AU423" s="434"/>
      <c r="AV423" s="434"/>
      <c r="AW423" s="434"/>
      <c r="AX423" s="434"/>
      <c r="AY423" s="434"/>
      <c r="AZ423" s="434"/>
      <c r="BA423" s="434"/>
      <c r="BB423" s="434"/>
      <c r="BC423" s="434"/>
      <c r="BD423" s="434"/>
      <c r="BE423" s="434"/>
      <c r="BF423" s="434"/>
    </row>
    <row r="424" spans="1:58" s="578" customFormat="1" ht="12.75" customHeight="1">
      <c r="A424" s="559"/>
      <c r="B424" s="560" t="s">
        <v>651</v>
      </c>
      <c r="C424" s="561" t="s">
        <v>651</v>
      </c>
      <c r="D424" s="562">
        <v>656700011</v>
      </c>
      <c r="E424" s="563">
        <v>401</v>
      </c>
      <c r="F424" s="564">
        <v>656</v>
      </c>
      <c r="G424" s="668">
        <v>7000099990</v>
      </c>
      <c r="H424" s="566">
        <v>129</v>
      </c>
      <c r="I424" s="566">
        <v>213</v>
      </c>
      <c r="J424" s="755"/>
      <c r="K424" s="568"/>
      <c r="L424" s="569">
        <v>196000</v>
      </c>
      <c r="M424" s="569">
        <v>167000</v>
      </c>
      <c r="N424" s="569">
        <v>130000</v>
      </c>
      <c r="O424" s="569">
        <v>173615</v>
      </c>
      <c r="P424" s="569">
        <v>666615</v>
      </c>
      <c r="Q424" s="572">
        <f t="shared" si="7"/>
        <v>838975.6300000001</v>
      </c>
      <c r="R424" s="569">
        <f>R423*30.2%</f>
        <v>359239.1472</v>
      </c>
      <c r="S424" s="569">
        <f>S423*30.2%</f>
        <v>166100</v>
      </c>
      <c r="T424" s="569">
        <f>T423*30.2%</f>
        <v>162535.0108</v>
      </c>
      <c r="U424" s="569">
        <f>U423*30.2%</f>
        <v>151101.472</v>
      </c>
      <c r="V424" s="569">
        <v>3352.44</v>
      </c>
      <c r="W424" s="568"/>
      <c r="X424" s="896"/>
      <c r="Y424" s="613"/>
      <c r="Z424" s="569"/>
      <c r="AA424" s="569"/>
      <c r="AB424" s="573"/>
      <c r="AC424" s="573"/>
      <c r="AD424" s="573"/>
      <c r="AE424" s="573">
        <v>459201.6</v>
      </c>
      <c r="AF424" s="573">
        <v>8362.8</v>
      </c>
      <c r="AG424" s="573"/>
      <c r="AH424" s="574"/>
      <c r="AI424" s="575">
        <v>0.6763106140725907</v>
      </c>
      <c r="AJ424" s="558" t="s">
        <v>594</v>
      </c>
      <c r="AK424" s="576"/>
      <c r="AL424" s="576"/>
      <c r="AM424" s="434"/>
      <c r="AN424" s="434"/>
      <c r="AO424" s="434"/>
      <c r="AP424" s="434"/>
      <c r="AQ424" s="434"/>
      <c r="AR424" s="434"/>
      <c r="AS424" s="434"/>
      <c r="AT424" s="434"/>
      <c r="AU424" s="434"/>
      <c r="AV424" s="434"/>
      <c r="AW424" s="434"/>
      <c r="AX424" s="434"/>
      <c r="AY424" s="434"/>
      <c r="AZ424" s="434"/>
      <c r="BA424" s="434"/>
      <c r="BB424" s="434"/>
      <c r="BC424" s="434"/>
      <c r="BD424" s="434"/>
      <c r="BE424" s="434"/>
      <c r="BF424" s="434"/>
    </row>
    <row r="425" spans="1:58" s="578" customFormat="1" ht="12.75" customHeight="1">
      <c r="A425" s="559"/>
      <c r="B425" s="1274" t="s">
        <v>613</v>
      </c>
      <c r="C425" s="1279"/>
      <c r="D425" s="1279"/>
      <c r="E425" s="1279"/>
      <c r="F425" s="1279"/>
      <c r="G425" s="1279"/>
      <c r="H425" s="1279"/>
      <c r="I425" s="1279"/>
      <c r="J425" s="1279"/>
      <c r="K425" s="1280"/>
      <c r="L425" s="582">
        <v>843000</v>
      </c>
      <c r="M425" s="583">
        <v>717000</v>
      </c>
      <c r="N425" s="583">
        <v>538195.4</v>
      </c>
      <c r="O425" s="582">
        <v>753951</v>
      </c>
      <c r="P425" s="583">
        <v>2852146.4</v>
      </c>
      <c r="Q425" s="584">
        <f t="shared" si="7"/>
        <v>3617040.63</v>
      </c>
      <c r="R425" s="582">
        <f>R421+R422</f>
        <v>1548772.7472</v>
      </c>
      <c r="S425" s="582">
        <f>S421+S422</f>
        <v>716100</v>
      </c>
      <c r="T425" s="582">
        <f>T421+T422</f>
        <v>700730.4108</v>
      </c>
      <c r="U425" s="582">
        <f>U421+U422</f>
        <v>651437.4720000001</v>
      </c>
      <c r="V425" s="960">
        <f>SUM(V419:V424)</f>
        <v>1008304.97</v>
      </c>
      <c r="W425" s="682"/>
      <c r="X425" s="709">
        <f>X421+X422</f>
        <v>992000</v>
      </c>
      <c r="Y425" s="684"/>
      <c r="Z425" s="960">
        <f>Z421+Z422</f>
        <v>0</v>
      </c>
      <c r="AA425" s="960">
        <f>AA421+AA422</f>
        <v>0</v>
      </c>
      <c r="AB425" s="1281"/>
      <c r="AC425" s="1282"/>
      <c r="AD425" s="1283"/>
      <c r="AE425" s="588">
        <v>1968169.27</v>
      </c>
      <c r="AF425" s="589">
        <v>29062.8</v>
      </c>
      <c r="AG425" s="1281"/>
      <c r="AH425" s="1283"/>
      <c r="AI425" s="590">
        <v>0.6798762048119268</v>
      </c>
      <c r="AJ425" s="558" t="s">
        <v>594</v>
      </c>
      <c r="AK425" s="576"/>
      <c r="AM425" s="434"/>
      <c r="AN425" s="434"/>
      <c r="AO425" s="434"/>
      <c r="AP425" s="434"/>
      <c r="AQ425" s="434"/>
      <c r="AR425" s="434"/>
      <c r="AS425" s="434"/>
      <c r="AT425" s="434"/>
      <c r="AU425" s="434"/>
      <c r="AV425" s="434"/>
      <c r="AW425" s="434"/>
      <c r="AX425" s="434"/>
      <c r="AY425" s="434"/>
      <c r="AZ425" s="434"/>
      <c r="BA425" s="434"/>
      <c r="BB425" s="434"/>
      <c r="BC425" s="434"/>
      <c r="BD425" s="434"/>
      <c r="BE425" s="434"/>
      <c r="BF425" s="434"/>
    </row>
    <row r="426" spans="1:58" s="578" customFormat="1" ht="13.5" customHeight="1" thickBot="1">
      <c r="A426" s="559"/>
      <c r="B426" s="1265" t="s">
        <v>895</v>
      </c>
      <c r="C426" s="1265"/>
      <c r="D426" s="1265"/>
      <c r="E426" s="1265"/>
      <c r="F426" s="1265"/>
      <c r="G426" s="1265"/>
      <c r="H426" s="1265"/>
      <c r="I426" s="1265"/>
      <c r="J426" s="1265"/>
      <c r="K426" s="1266"/>
      <c r="L426" s="873">
        <v>41202317.18000001</v>
      </c>
      <c r="M426" s="644">
        <v>41023725.78999999</v>
      </c>
      <c r="N426" s="644">
        <v>44575761.35999999</v>
      </c>
      <c r="O426" s="873">
        <v>46955058.3</v>
      </c>
      <c r="P426" s="644">
        <v>173756862.62999997</v>
      </c>
      <c r="Q426" s="1058"/>
      <c r="R426" s="643"/>
      <c r="S426" s="1059"/>
      <c r="T426" s="643"/>
      <c r="U426" s="1059"/>
      <c r="V426" s="875"/>
      <c r="W426" s="1060"/>
      <c r="X426" s="1061"/>
      <c r="Y426" s="877"/>
      <c r="Z426" s="1060"/>
      <c r="AA426" s="1062"/>
      <c r="AB426" s="1267"/>
      <c r="AC426" s="1267"/>
      <c r="AD426" s="1267"/>
      <c r="AE426" s="1063">
        <v>56847113.16</v>
      </c>
      <c r="AF426" s="1064">
        <v>5731524.97</v>
      </c>
      <c r="AG426" s="1267"/>
      <c r="AH426" s="1267"/>
      <c r="AI426" s="1065">
        <v>0.2941370944227436</v>
      </c>
      <c r="AJ426" s="558" t="s">
        <v>594</v>
      </c>
      <c r="AK426" s="576"/>
      <c r="AL426" s="576"/>
      <c r="AM426" s="434"/>
      <c r="AN426" s="434"/>
      <c r="AO426" s="434"/>
      <c r="AP426" s="434"/>
      <c r="AQ426" s="434"/>
      <c r="AR426" s="434"/>
      <c r="AS426" s="434"/>
      <c r="AT426" s="434"/>
      <c r="AU426" s="434"/>
      <c r="AV426" s="434"/>
      <c r="AW426" s="434"/>
      <c r="AX426" s="434"/>
      <c r="AY426" s="434"/>
      <c r="AZ426" s="434"/>
      <c r="BA426" s="434"/>
      <c r="BB426" s="434"/>
      <c r="BC426" s="434"/>
      <c r="BD426" s="434"/>
      <c r="BE426" s="434"/>
      <c r="BF426" s="434"/>
    </row>
    <row r="427" spans="1:38" ht="13.5" customHeight="1" thickBot="1">
      <c r="A427" s="426"/>
      <c r="B427" s="1066"/>
      <c r="C427" s="1066"/>
      <c r="D427" s="1067" t="s">
        <v>896</v>
      </c>
      <c r="E427" s="1068"/>
      <c r="F427" s="1068"/>
      <c r="G427" s="1068"/>
      <c r="H427" s="1068"/>
      <c r="I427" s="1068"/>
      <c r="J427" s="1069" t="s">
        <v>594</v>
      </c>
      <c r="K427" s="1070"/>
      <c r="L427" s="1071">
        <v>41202317.18000001</v>
      </c>
      <c r="M427" s="1072">
        <v>41023725.78999999</v>
      </c>
      <c r="N427" s="1071">
        <v>44575761.35999999</v>
      </c>
      <c r="O427" s="1071">
        <v>46955058.3</v>
      </c>
      <c r="P427" s="1072">
        <v>173756862.62999997</v>
      </c>
      <c r="Q427" s="1073">
        <f>R427+S427+T427+U427</f>
        <v>40232755.010000005</v>
      </c>
      <c r="R427" s="1070">
        <f>R24+R32+R41+R49+R54+R63+R70+R74+R81+R129+R142+R152+R157+R168+R182+R210+R213+R218+R230+R242+R249+R262+R271+R295+R322+R342+R345+R349+R379+R392+R400+R406+R417</f>
        <v>21654685.0192</v>
      </c>
      <c r="S427" s="1070">
        <f>S24+S32+S41+S49+S54+S63+S70+S74+S81+S129+S142+S152+S157+S168+S182+S210+S213+S218+S230+S242+S249+S262+S271+S295+S322+S342+S345+S349+S379+S392+S400+S406+S417</f>
        <v>6436613.996</v>
      </c>
      <c r="T427" s="1070">
        <f>T24+T32+T41+T49+T54+T63+T70+T74+T81+T129+T142+T152+T157+T168+T182+T210+T213+T218+T230+T242+T249+T262+T271+T295+T322+T342+T345+T349+T379+T392+T400+T406+T417</f>
        <v>6280419.9968</v>
      </c>
      <c r="U427" s="1070">
        <f>U24+U32+U41+U49+U54+U63+U70+U74+U81+U129+U142+U152+U157+U168+U182+U210+U213+U218+U230+U242+U249+U262+U271+U295+U322+U342+U345+U349+U379+U392+U400+U406+U417</f>
        <v>5861035.998</v>
      </c>
      <c r="V427" s="1070">
        <f>V24+V28+V32+V41+V49+V54+V129+V142+V152+V157+V168+V182+V210+V213+V218+V230+V242+V249+V262+V271+V295+V322+V379+V392+V400+V406+V417+V317+V412+V305+V425+V63+V331+V245+V237+V133</f>
        <v>52432951.18</v>
      </c>
      <c r="W427" s="1070" t="e">
        <f>W24+W32+W41+W49+W54+W129+W142+W152+W157+W168+W182+W210+W213+W218+W230+W242+W249+W262+W271+W295+W322+W379+W392+W400+W406+W417+W317+W412+W305+W425+W63+W331+W245+W237+W133</f>
        <v>#VALUE!</v>
      </c>
      <c r="X427" s="1074">
        <f>X24+X32+X41+X49+X54+X129+X142+X152+X157+X168+X182+X210+X213+X218+X230+X242+X249+X262+X271+X295+X322+X379+X392+X400+X406+X417+X317+X412+X305+X425+X63+X331+X245+X237</f>
        <v>9540145.42728</v>
      </c>
      <c r="Y427" s="1075"/>
      <c r="Z427" s="1070">
        <f>Z24+Z32+Z41+Z49+Z54+Z129+Z142+Z152+Z157+Z168+Z182+Z210+Z213+Z218+Z230+Z242+Z249+Z262+Z271+Z295+Z322+Z379+Z392+Z400+Z406+Z417+Z317+Z412+Z305+Z425+Z63+Z331+Z245+Z237+Z133</f>
        <v>26196640</v>
      </c>
      <c r="AA427" s="1070">
        <f>AA24+AA32+AA41+AA49+AA54+AA129+AA142+AA152+AA157+AA168+AA182+AA210+AA213+AA218+AA230+AA242+AA249+AA262+AA271+AA295+AA322+AA379+AA392+AA400+AA406+AA417+AA317+AA412+AA305+AA425+AA63+AA331+AA245+AA237+AA133+AA387</f>
        <v>26743760</v>
      </c>
      <c r="AB427" s="1076"/>
      <c r="AC427" s="1077"/>
      <c r="AD427" s="1077"/>
      <c r="AE427" s="1078">
        <v>56847113.16</v>
      </c>
      <c r="AF427" s="1078">
        <v>5731524.97</v>
      </c>
      <c r="AG427" s="1077"/>
      <c r="AH427" s="1079"/>
      <c r="AI427" s="1080">
        <v>0.2941370944227436</v>
      </c>
      <c r="AJ427" s="503" t="s">
        <v>594</v>
      </c>
      <c r="AK427" s="426"/>
      <c r="AL427" s="426"/>
    </row>
    <row r="428" spans="1:58" s="578" customFormat="1" ht="12.75" customHeight="1">
      <c r="A428" s="576"/>
      <c r="B428" s="576"/>
      <c r="C428" s="576"/>
      <c r="D428" s="576"/>
      <c r="E428" s="1079"/>
      <c r="F428" s="1079"/>
      <c r="G428" s="1079"/>
      <c r="H428" s="1079"/>
      <c r="I428" s="1079"/>
      <c r="J428" s="1081"/>
      <c r="K428" s="1079"/>
      <c r="L428" s="1079"/>
      <c r="M428" s="1079"/>
      <c r="N428" s="1079"/>
      <c r="O428" s="1079"/>
      <c r="P428" s="1079"/>
      <c r="Q428" s="756"/>
      <c r="R428" s="1082">
        <v>23547433</v>
      </c>
      <c r="S428" s="1082">
        <v>6416614</v>
      </c>
      <c r="T428" s="1082">
        <v>6310420</v>
      </c>
      <c r="U428" s="1082">
        <v>6332336</v>
      </c>
      <c r="V428" s="1082"/>
      <c r="W428" s="1079"/>
      <c r="X428" s="1083">
        <f>W439</f>
        <v>7300883.34</v>
      </c>
      <c r="Y428" s="1084"/>
      <c r="Z428" s="450">
        <v>26196640</v>
      </c>
      <c r="AA428" s="450">
        <v>26743760</v>
      </c>
      <c r="AB428" s="1079"/>
      <c r="AC428" s="1079"/>
      <c r="AD428" s="1079"/>
      <c r="AE428" s="1079"/>
      <c r="AF428" s="1079"/>
      <c r="AG428" s="1085"/>
      <c r="AH428" s="576"/>
      <c r="AI428" s="576"/>
      <c r="AJ428" s="576"/>
      <c r="AK428" s="576"/>
      <c r="AL428" s="576"/>
      <c r="AM428" s="434"/>
      <c r="AN428" s="434"/>
      <c r="AO428" s="434"/>
      <c r="AP428" s="434"/>
      <c r="AQ428" s="434"/>
      <c r="AR428" s="434"/>
      <c r="AS428" s="434"/>
      <c r="AT428" s="434"/>
      <c r="AU428" s="434"/>
      <c r="AV428" s="434"/>
      <c r="AW428" s="434"/>
      <c r="AX428" s="434"/>
      <c r="AY428" s="434"/>
      <c r="AZ428" s="434"/>
      <c r="BA428" s="434"/>
      <c r="BB428" s="434"/>
      <c r="BC428" s="434"/>
      <c r="BD428" s="434"/>
      <c r="BE428" s="434"/>
      <c r="BF428" s="434"/>
    </row>
    <row r="429" spans="1:58" s="578" customFormat="1" ht="12.75" customHeight="1">
      <c r="A429" s="576"/>
      <c r="B429" s="576"/>
      <c r="C429" s="576"/>
      <c r="D429" s="576"/>
      <c r="E429" s="576"/>
      <c r="F429" s="576"/>
      <c r="G429" s="576"/>
      <c r="H429" s="576"/>
      <c r="I429" s="576"/>
      <c r="J429" s="1086"/>
      <c r="K429" s="576"/>
      <c r="L429" s="576"/>
      <c r="M429" s="576"/>
      <c r="N429" s="576"/>
      <c r="O429" s="576"/>
      <c r="P429" s="576"/>
      <c r="Q429" s="1087"/>
      <c r="R429" s="1088">
        <f>R427-R428</f>
        <v>-1892747.980799999</v>
      </c>
      <c r="S429" s="1088">
        <f>S427-S428</f>
        <v>19999.996000000276</v>
      </c>
      <c r="T429" s="1088">
        <f>T427-T428</f>
        <v>-30000.003200000152</v>
      </c>
      <c r="U429" s="1088">
        <f>U427-U428</f>
        <v>-471300.0020000003</v>
      </c>
      <c r="V429" s="1087"/>
      <c r="W429" s="576"/>
      <c r="X429" s="432">
        <f>X427-X428</f>
        <v>2239262.0872799996</v>
      </c>
      <c r="Y429" s="1087"/>
      <c r="Z429" s="1087">
        <f>Z427-Z428</f>
        <v>0</v>
      </c>
      <c r="AA429" s="1087">
        <f>AA427-AA428</f>
        <v>0</v>
      </c>
      <c r="AB429" s="576"/>
      <c r="AC429" s="576"/>
      <c r="AD429" s="576"/>
      <c r="AE429" s="576"/>
      <c r="AF429" s="576"/>
      <c r="AG429" s="576"/>
      <c r="AH429" s="576"/>
      <c r="AI429" s="576"/>
      <c r="AJ429" s="576"/>
      <c r="AK429" s="576"/>
      <c r="AL429" s="576"/>
      <c r="AM429" s="434"/>
      <c r="AN429" s="434"/>
      <c r="AO429" s="434"/>
      <c r="AP429" s="434"/>
      <c r="AQ429" s="434"/>
      <c r="AR429" s="434"/>
      <c r="AS429" s="434"/>
      <c r="AT429" s="434"/>
      <c r="AU429" s="434"/>
      <c r="AV429" s="434"/>
      <c r="AW429" s="434"/>
      <c r="AX429" s="434"/>
      <c r="AY429" s="434"/>
      <c r="AZ429" s="434"/>
      <c r="BA429" s="434"/>
      <c r="BB429" s="434"/>
      <c r="BC429" s="434"/>
      <c r="BD429" s="434"/>
      <c r="BE429" s="434"/>
      <c r="BF429" s="434"/>
    </row>
    <row r="430" spans="1:58" s="578" customFormat="1" ht="87.75" customHeight="1">
      <c r="A430" s="436"/>
      <c r="B430" s="1089"/>
      <c r="C430" s="1089"/>
      <c r="D430" s="1089"/>
      <c r="E430" s="1089" t="s">
        <v>897</v>
      </c>
      <c r="F430" s="1089"/>
      <c r="G430" s="1268" t="s">
        <v>898</v>
      </c>
      <c r="H430" s="1268"/>
      <c r="I430" s="1268"/>
      <c r="J430" s="1268"/>
      <c r="K430" s="1268"/>
      <c r="L430" s="1268"/>
      <c r="M430" s="1268"/>
      <c r="N430" s="1268"/>
      <c r="O430" s="1268"/>
      <c r="P430" s="1268"/>
      <c r="Q430" s="1268"/>
      <c r="R430" s="1268"/>
      <c r="S430" s="1268"/>
      <c r="T430" s="1268"/>
      <c r="U430" s="1268"/>
      <c r="V430" s="1268"/>
      <c r="W430" s="1268"/>
      <c r="X430" s="1268"/>
      <c r="Y430" s="1268"/>
      <c r="Z430" s="1268"/>
      <c r="AA430" s="1087"/>
      <c r="AB430" s="576"/>
      <c r="AC430" s="576"/>
      <c r="AD430" s="576"/>
      <c r="AE430" s="576"/>
      <c r="AF430" s="576"/>
      <c r="AG430" s="576"/>
      <c r="AH430" s="576"/>
      <c r="AI430" s="576"/>
      <c r="AJ430" s="576"/>
      <c r="AK430" s="576"/>
      <c r="AL430" s="576"/>
      <c r="AM430" s="434"/>
      <c r="AN430" s="434"/>
      <c r="AO430" s="434"/>
      <c r="AP430" s="434"/>
      <c r="AQ430" s="434"/>
      <c r="AR430" s="434"/>
      <c r="AS430" s="434"/>
      <c r="AT430" s="434"/>
      <c r="AU430" s="434"/>
      <c r="AV430" s="434"/>
      <c r="AW430" s="434"/>
      <c r="AX430" s="434"/>
      <c r="AY430" s="434"/>
      <c r="AZ430" s="434"/>
      <c r="BA430" s="434"/>
      <c r="BB430" s="434"/>
      <c r="BC430" s="434"/>
      <c r="BD430" s="434"/>
      <c r="BE430" s="434"/>
      <c r="BF430" s="434"/>
    </row>
    <row r="431" spans="1:58" s="578" customFormat="1" ht="13.5" customHeight="1">
      <c r="A431" s="436"/>
      <c r="B431" s="1089"/>
      <c r="C431" s="1089"/>
      <c r="D431" s="1090" t="s">
        <v>899</v>
      </c>
      <c r="E431" s="1091">
        <f>V22+V30+V72+V140+V338+V390+V404</f>
        <v>9388896</v>
      </c>
      <c r="F431" s="1089"/>
      <c r="G431" s="1089"/>
      <c r="H431" s="1089"/>
      <c r="I431" s="1089"/>
      <c r="J431" s="1081"/>
      <c r="K431" s="576"/>
      <c r="L431" s="576"/>
      <c r="M431" s="576"/>
      <c r="N431" s="576"/>
      <c r="O431" s="576"/>
      <c r="P431" s="576"/>
      <c r="Q431" s="1087"/>
      <c r="R431" s="1092"/>
      <c r="S431" s="576"/>
      <c r="T431" s="576"/>
      <c r="U431" s="1093"/>
      <c r="V431" s="1087"/>
      <c r="W431" s="1087"/>
      <c r="X431" s="432"/>
      <c r="Y431" s="1087"/>
      <c r="Z431" s="1087"/>
      <c r="AA431" s="1087"/>
      <c r="AB431" s="576"/>
      <c r="AC431" s="576"/>
      <c r="AD431" s="576"/>
      <c r="AE431" s="576"/>
      <c r="AF431" s="576"/>
      <c r="AG431" s="576"/>
      <c r="AH431" s="576"/>
      <c r="AI431" s="576"/>
      <c r="AJ431" s="576"/>
      <c r="AK431" s="576"/>
      <c r="AL431" s="576"/>
      <c r="AM431" s="434"/>
      <c r="AN431" s="434"/>
      <c r="AO431" s="434"/>
      <c r="AP431" s="434"/>
      <c r="AQ431" s="434"/>
      <c r="AR431" s="434"/>
      <c r="AS431" s="434"/>
      <c r="AT431" s="434"/>
      <c r="AU431" s="434"/>
      <c r="AV431" s="434"/>
      <c r="AW431" s="434"/>
      <c r="AX431" s="434"/>
      <c r="AY431" s="434"/>
      <c r="AZ431" s="434"/>
      <c r="BA431" s="434"/>
      <c r="BB431" s="434"/>
      <c r="BC431" s="434"/>
      <c r="BD431" s="434"/>
      <c r="BE431" s="434"/>
      <c r="BF431" s="434"/>
    </row>
    <row r="432" spans="1:58" s="578" customFormat="1" ht="13.5" customHeight="1">
      <c r="A432" s="436"/>
      <c r="B432" s="1089"/>
      <c r="C432" s="1089"/>
      <c r="D432" s="1090"/>
      <c r="E432" s="1091"/>
      <c r="F432" s="1089"/>
      <c r="G432" s="1089"/>
      <c r="H432" s="1089"/>
      <c r="I432" s="1089"/>
      <c r="J432" s="1081"/>
      <c r="K432" s="576"/>
      <c r="L432" s="576"/>
      <c r="M432" s="576"/>
      <c r="N432" s="576"/>
      <c r="O432" s="576"/>
      <c r="P432" s="576"/>
      <c r="Q432" s="1087"/>
      <c r="R432" s="1092"/>
      <c r="S432" s="576"/>
      <c r="T432" s="576"/>
      <c r="U432" s="1093"/>
      <c r="V432" s="1087" t="s">
        <v>992</v>
      </c>
      <c r="W432" s="710">
        <f>109000+82000</f>
        <v>191000</v>
      </c>
      <c r="X432" s="432"/>
      <c r="Y432" s="1087"/>
      <c r="Z432" s="1087"/>
      <c r="AA432" s="1087"/>
      <c r="AB432" s="576"/>
      <c r="AC432" s="576"/>
      <c r="AD432" s="576"/>
      <c r="AE432" s="576"/>
      <c r="AF432" s="576"/>
      <c r="AG432" s="576"/>
      <c r="AH432" s="576"/>
      <c r="AI432" s="576"/>
      <c r="AJ432" s="576"/>
      <c r="AK432" s="576"/>
      <c r="AL432" s="576"/>
      <c r="AM432" s="434"/>
      <c r="AN432" s="434"/>
      <c r="AO432" s="434"/>
      <c r="AP432" s="434"/>
      <c r="AQ432" s="434"/>
      <c r="AR432" s="434"/>
      <c r="AS432" s="434"/>
      <c r="AT432" s="434"/>
      <c r="AU432" s="434"/>
      <c r="AV432" s="434"/>
      <c r="AW432" s="434"/>
      <c r="AX432" s="434"/>
      <c r="AY432" s="434"/>
      <c r="AZ432" s="434"/>
      <c r="BA432" s="434"/>
      <c r="BB432" s="434"/>
      <c r="BC432" s="434"/>
      <c r="BD432" s="434"/>
      <c r="BE432" s="434"/>
      <c r="BF432" s="434"/>
    </row>
    <row r="433" spans="1:58" s="578" customFormat="1" ht="13.5" customHeight="1">
      <c r="A433" s="436"/>
      <c r="B433" s="1089"/>
      <c r="C433" s="1089"/>
      <c r="D433" s="1090">
        <v>213</v>
      </c>
      <c r="E433" s="1091">
        <f>V23+V31+V73+V141+V391+V405+V341</f>
        <v>2398906</v>
      </c>
      <c r="F433" s="1089"/>
      <c r="G433" s="1089"/>
      <c r="H433" s="1089"/>
      <c r="I433" s="1089"/>
      <c r="J433" s="1081"/>
      <c r="K433" s="576"/>
      <c r="L433" s="576"/>
      <c r="M433" s="576"/>
      <c r="N433" s="576"/>
      <c r="O433" s="576"/>
      <c r="P433" s="576"/>
      <c r="Q433" s="1087"/>
      <c r="R433" s="1092"/>
      <c r="S433" s="576"/>
      <c r="T433" s="576"/>
      <c r="U433" s="1093"/>
      <c r="V433" s="1087" t="s">
        <v>900</v>
      </c>
      <c r="W433" s="1087">
        <v>133000</v>
      </c>
      <c r="X433" s="432"/>
      <c r="Y433" s="1087"/>
      <c r="Z433" s="1087"/>
      <c r="AA433" s="1087"/>
      <c r="AB433" s="576"/>
      <c r="AC433" s="576"/>
      <c r="AD433" s="576"/>
      <c r="AE433" s="576"/>
      <c r="AF433" s="576"/>
      <c r="AG433" s="576"/>
      <c r="AH433" s="576"/>
      <c r="AI433" s="576"/>
      <c r="AJ433" s="576"/>
      <c r="AK433" s="576"/>
      <c r="AL433" s="576"/>
      <c r="AM433" s="434"/>
      <c r="AN433" s="434"/>
      <c r="AO433" s="434"/>
      <c r="AP433" s="434"/>
      <c r="AQ433" s="434"/>
      <c r="AR433" s="434"/>
      <c r="AS433" s="434"/>
      <c r="AT433" s="434"/>
      <c r="AU433" s="434"/>
      <c r="AV433" s="434"/>
      <c r="AW433" s="434"/>
      <c r="AX433" s="434"/>
      <c r="AY433" s="434"/>
      <c r="AZ433" s="434"/>
      <c r="BA433" s="434"/>
      <c r="BB433" s="434"/>
      <c r="BC433" s="434"/>
      <c r="BD433" s="434"/>
      <c r="BE433" s="434"/>
      <c r="BF433" s="434"/>
    </row>
    <row r="434" spans="1:58" s="578" customFormat="1" ht="13.5" customHeight="1">
      <c r="A434" s="436"/>
      <c r="B434" s="1089"/>
      <c r="C434" s="1089"/>
      <c r="D434" s="1090">
        <v>212</v>
      </c>
      <c r="E434" s="1091">
        <f>V34+V60+V69+V83+V344</f>
        <v>130247.45</v>
      </c>
      <c r="F434" s="1089"/>
      <c r="G434" s="1089"/>
      <c r="H434" s="1089"/>
      <c r="I434" s="1089"/>
      <c r="J434" s="1081"/>
      <c r="K434" s="576"/>
      <c r="L434" s="576"/>
      <c r="M434" s="576"/>
      <c r="N434" s="576"/>
      <c r="O434" s="576"/>
      <c r="P434" s="576"/>
      <c r="Q434" s="1087"/>
      <c r="R434" s="1092"/>
      <c r="S434" s="576"/>
      <c r="T434" s="576"/>
      <c r="U434" s="1093"/>
      <c r="V434" s="1087" t="s">
        <v>901</v>
      </c>
      <c r="W434" s="1087">
        <v>1500000</v>
      </c>
      <c r="X434" s="432"/>
      <c r="Y434" s="1087"/>
      <c r="Z434" s="1087"/>
      <c r="AA434" s="1087"/>
      <c r="AB434" s="576"/>
      <c r="AC434" s="576"/>
      <c r="AD434" s="576"/>
      <c r="AE434" s="576"/>
      <c r="AF434" s="576"/>
      <c r="AG434" s="576"/>
      <c r="AH434" s="576"/>
      <c r="AI434" s="576"/>
      <c r="AJ434" s="576"/>
      <c r="AK434" s="576"/>
      <c r="AL434" s="576"/>
      <c r="AM434" s="434"/>
      <c r="AN434" s="434"/>
      <c r="AO434" s="434"/>
      <c r="AP434" s="434"/>
      <c r="AQ434" s="434"/>
      <c r="AR434" s="434"/>
      <c r="AS434" s="434"/>
      <c r="AT434" s="434"/>
      <c r="AU434" s="434"/>
      <c r="AV434" s="434"/>
      <c r="AW434" s="434"/>
      <c r="AX434" s="434"/>
      <c r="AY434" s="434"/>
      <c r="AZ434" s="434"/>
      <c r="BA434" s="434"/>
      <c r="BB434" s="434"/>
      <c r="BC434" s="434"/>
      <c r="BD434" s="434"/>
      <c r="BE434" s="434"/>
      <c r="BF434" s="434"/>
    </row>
    <row r="435" spans="1:58" s="578" customFormat="1" ht="13.5" customHeight="1">
      <c r="A435" s="436"/>
      <c r="B435" s="1089"/>
      <c r="C435" s="1089"/>
      <c r="D435" s="1090">
        <v>221</v>
      </c>
      <c r="E435" s="1091">
        <f>V81+V349</f>
        <v>230700</v>
      </c>
      <c r="F435" s="1089"/>
      <c r="G435" s="1089"/>
      <c r="H435" s="1089"/>
      <c r="I435" s="1089"/>
      <c r="J435" s="1081"/>
      <c r="K435" s="576"/>
      <c r="L435" s="576"/>
      <c r="M435" s="576"/>
      <c r="N435" s="576"/>
      <c r="O435" s="576"/>
      <c r="P435" s="576"/>
      <c r="Q435" s="1087"/>
      <c r="R435" s="1092"/>
      <c r="S435" s="576"/>
      <c r="T435" s="576"/>
      <c r="U435" s="1093"/>
      <c r="V435" s="1087" t="s">
        <v>993</v>
      </c>
      <c r="W435" s="1087">
        <v>36000</v>
      </c>
      <c r="X435" s="432"/>
      <c r="Y435" s="1087"/>
      <c r="Z435" s="1087"/>
      <c r="AA435" s="1087"/>
      <c r="AB435" s="576"/>
      <c r="AC435" s="576"/>
      <c r="AD435" s="576"/>
      <c r="AE435" s="576"/>
      <c r="AF435" s="576"/>
      <c r="AG435" s="576"/>
      <c r="AH435" s="576"/>
      <c r="AI435" s="576"/>
      <c r="AJ435" s="576"/>
      <c r="AK435" s="576"/>
      <c r="AL435" s="576"/>
      <c r="AM435" s="434"/>
      <c r="AN435" s="434"/>
      <c r="AO435" s="434"/>
      <c r="AP435" s="434"/>
      <c r="AQ435" s="434"/>
      <c r="AR435" s="434"/>
      <c r="AS435" s="434"/>
      <c r="AT435" s="434"/>
      <c r="AU435" s="434"/>
      <c r="AV435" s="434"/>
      <c r="AW435" s="434"/>
      <c r="AX435" s="434"/>
      <c r="AY435" s="434"/>
      <c r="AZ435" s="434"/>
      <c r="BA435" s="434"/>
      <c r="BB435" s="434"/>
      <c r="BC435" s="434"/>
      <c r="BD435" s="434"/>
      <c r="BE435" s="434"/>
      <c r="BF435" s="434"/>
    </row>
    <row r="436" spans="1:58" s="578" customFormat="1" ht="9.75" customHeight="1">
      <c r="A436" s="436"/>
      <c r="B436" s="1089"/>
      <c r="C436" s="1089"/>
      <c r="D436" s="1090">
        <v>223</v>
      </c>
      <c r="E436" s="1091">
        <f>V88+V290+V356</f>
        <v>824000</v>
      </c>
      <c r="F436" s="1089"/>
      <c r="G436" s="1089"/>
      <c r="H436" s="1089"/>
      <c r="I436" s="1089"/>
      <c r="J436" s="1081"/>
      <c r="K436" s="576"/>
      <c r="L436" s="576"/>
      <c r="M436" s="576"/>
      <c r="N436" s="576"/>
      <c r="O436" s="576"/>
      <c r="P436" s="576"/>
      <c r="Q436" s="1087"/>
      <c r="R436" s="1092"/>
      <c r="S436" s="576"/>
      <c r="T436" s="576"/>
      <c r="U436" s="1093"/>
      <c r="V436" s="1094" t="s">
        <v>994</v>
      </c>
      <c r="W436" s="1087">
        <v>1780000</v>
      </c>
      <c r="X436" s="432"/>
      <c r="Y436" s="1087"/>
      <c r="Z436" s="1087"/>
      <c r="AA436" s="1087"/>
      <c r="AB436" s="576"/>
      <c r="AC436" s="576"/>
      <c r="AD436" s="576"/>
      <c r="AE436" s="576"/>
      <c r="AF436" s="576"/>
      <c r="AG436" s="576"/>
      <c r="AH436" s="576"/>
      <c r="AI436" s="576"/>
      <c r="AJ436" s="576"/>
      <c r="AK436" s="576"/>
      <c r="AL436" s="576"/>
      <c r="AM436" s="434"/>
      <c r="AN436" s="434"/>
      <c r="AO436" s="434"/>
      <c r="AP436" s="434"/>
      <c r="AQ436" s="434"/>
      <c r="AR436" s="434"/>
      <c r="AS436" s="434"/>
      <c r="AT436" s="434"/>
      <c r="AU436" s="434"/>
      <c r="AV436" s="434"/>
      <c r="AW436" s="434"/>
      <c r="AX436" s="434"/>
      <c r="AY436" s="434"/>
      <c r="AZ436" s="434"/>
      <c r="BA436" s="434"/>
      <c r="BB436" s="434"/>
      <c r="BC436" s="434"/>
      <c r="BD436" s="434"/>
      <c r="BE436" s="434"/>
      <c r="BF436" s="434"/>
    </row>
    <row r="437" spans="1:58" s="578" customFormat="1" ht="13.5" customHeight="1">
      <c r="A437" s="436"/>
      <c r="B437" s="1089"/>
      <c r="C437" s="1089"/>
      <c r="D437" s="1090">
        <v>225</v>
      </c>
      <c r="E437" s="1091">
        <f>V99+V160+V228+V229+V292+V319+V330+V366</f>
        <v>5010625.2</v>
      </c>
      <c r="F437" s="1089"/>
      <c r="G437" s="1089"/>
      <c r="H437" s="1089"/>
      <c r="I437" s="1089"/>
      <c r="J437" s="1081"/>
      <c r="K437" s="576"/>
      <c r="L437" s="576"/>
      <c r="M437" s="576"/>
      <c r="N437" s="576"/>
      <c r="O437" s="576"/>
      <c r="P437" s="576"/>
      <c r="Q437" s="1087"/>
      <c r="R437" s="1092"/>
      <c r="S437" s="576"/>
      <c r="T437" s="576"/>
      <c r="U437" s="1093"/>
      <c r="V437" s="1087" t="s">
        <v>995</v>
      </c>
      <c r="W437" s="1087">
        <v>3660883.34</v>
      </c>
      <c r="X437" s="432"/>
      <c r="Y437" s="1087"/>
      <c r="Z437" s="1087"/>
      <c r="AA437" s="1087"/>
      <c r="AB437" s="576"/>
      <c r="AC437" s="576"/>
      <c r="AD437" s="576"/>
      <c r="AE437" s="576"/>
      <c r="AF437" s="576"/>
      <c r="AG437" s="576"/>
      <c r="AH437" s="576"/>
      <c r="AI437" s="576"/>
      <c r="AJ437" s="576"/>
      <c r="AK437" s="576"/>
      <c r="AL437" s="576"/>
      <c r="AM437" s="434"/>
      <c r="AN437" s="434"/>
      <c r="AO437" s="434"/>
      <c r="AP437" s="434"/>
      <c r="AQ437" s="434"/>
      <c r="AR437" s="434"/>
      <c r="AS437" s="434"/>
      <c r="AT437" s="434"/>
      <c r="AU437" s="434"/>
      <c r="AV437" s="434"/>
      <c r="AW437" s="434"/>
      <c r="AX437" s="434"/>
      <c r="AY437" s="434"/>
      <c r="AZ437" s="434"/>
      <c r="BA437" s="434"/>
      <c r="BB437" s="434"/>
      <c r="BC437" s="434"/>
      <c r="BD437" s="434"/>
      <c r="BE437" s="434"/>
      <c r="BF437" s="434"/>
    </row>
    <row r="438" spans="1:58" s="578" customFormat="1" ht="13.5" customHeight="1">
      <c r="A438" s="436"/>
      <c r="B438" s="1089"/>
      <c r="C438" s="1089"/>
      <c r="D438" s="1090">
        <v>226</v>
      </c>
      <c r="E438" s="1091">
        <f>V113+V262+V372</f>
        <v>588161.55</v>
      </c>
      <c r="F438" s="1089"/>
      <c r="G438" s="1089"/>
      <c r="H438" s="1089"/>
      <c r="I438" s="1089"/>
      <c r="J438" s="1081"/>
      <c r="K438" s="576"/>
      <c r="L438" s="576"/>
      <c r="M438" s="576"/>
      <c r="N438" s="576"/>
      <c r="O438" s="576"/>
      <c r="P438" s="576"/>
      <c r="Q438" s="1087"/>
      <c r="R438" s="1092"/>
      <c r="S438" s="576"/>
      <c r="T438" s="576"/>
      <c r="U438" s="1093"/>
      <c r="V438" s="1087"/>
      <c r="W438" s="1087"/>
      <c r="X438" s="432"/>
      <c r="Y438" s="1087"/>
      <c r="Z438" s="1087"/>
      <c r="AA438" s="1087"/>
      <c r="AB438" s="576"/>
      <c r="AC438" s="576"/>
      <c r="AD438" s="576"/>
      <c r="AE438" s="576"/>
      <c r="AF438" s="576"/>
      <c r="AG438" s="576"/>
      <c r="AH438" s="576"/>
      <c r="AI438" s="576"/>
      <c r="AJ438" s="576"/>
      <c r="AK438" s="576"/>
      <c r="AL438" s="576"/>
      <c r="AM438" s="434"/>
      <c r="AN438" s="434"/>
      <c r="AO438" s="434"/>
      <c r="AP438" s="434"/>
      <c r="AQ438" s="434"/>
      <c r="AR438" s="434"/>
      <c r="AS438" s="434"/>
      <c r="AT438" s="434"/>
      <c r="AU438" s="434"/>
      <c r="AV438" s="434"/>
      <c r="AW438" s="434"/>
      <c r="AX438" s="434"/>
      <c r="AY438" s="434"/>
      <c r="AZ438" s="434"/>
      <c r="BA438" s="434"/>
      <c r="BB438" s="434"/>
      <c r="BC438" s="434"/>
      <c r="BD438" s="434"/>
      <c r="BE438" s="434"/>
      <c r="BF438" s="434"/>
    </row>
    <row r="439" spans="1:58" s="578" customFormat="1" ht="13.5" customHeight="1">
      <c r="A439" s="436"/>
      <c r="B439" s="1089"/>
      <c r="C439" s="1089"/>
      <c r="D439" s="1090">
        <v>241</v>
      </c>
      <c r="E439" s="1095">
        <f>V249</f>
        <v>3633270</v>
      </c>
      <c r="F439" s="1089"/>
      <c r="G439" s="1089"/>
      <c r="H439" s="1089"/>
      <c r="I439" s="1089"/>
      <c r="J439" s="1081"/>
      <c r="K439" s="576"/>
      <c r="L439" s="576"/>
      <c r="M439" s="576"/>
      <c r="N439" s="576"/>
      <c r="O439" s="576"/>
      <c r="P439" s="576"/>
      <c r="Q439" s="1087"/>
      <c r="R439" s="1092"/>
      <c r="S439" s="576"/>
      <c r="T439" s="576"/>
      <c r="U439" s="1093"/>
      <c r="V439" s="1087"/>
      <c r="W439" s="1096">
        <f>SUM(W432:W438)</f>
        <v>7300883.34</v>
      </c>
      <c r="X439" s="432"/>
      <c r="Y439" s="1087"/>
      <c r="Z439" s="1087"/>
      <c r="AA439" s="1087"/>
      <c r="AB439" s="576"/>
      <c r="AC439" s="576"/>
      <c r="AD439" s="576"/>
      <c r="AE439" s="576"/>
      <c r="AF439" s="576"/>
      <c r="AG439" s="576"/>
      <c r="AH439" s="576"/>
      <c r="AI439" s="576"/>
      <c r="AJ439" s="576"/>
      <c r="AK439" s="576"/>
      <c r="AL439" s="576"/>
      <c r="AM439" s="434"/>
      <c r="AN439" s="434"/>
      <c r="AO439" s="434"/>
      <c r="AP439" s="434"/>
      <c r="AQ439" s="434"/>
      <c r="AR439" s="434"/>
      <c r="AS439" s="434"/>
      <c r="AT439" s="434"/>
      <c r="AU439" s="434"/>
      <c r="AV439" s="434"/>
      <c r="AW439" s="434"/>
      <c r="AX439" s="434"/>
      <c r="AY439" s="434"/>
      <c r="AZ439" s="434"/>
      <c r="BA439" s="434"/>
      <c r="BB439" s="434"/>
      <c r="BC439" s="434"/>
      <c r="BD439" s="434"/>
      <c r="BE439" s="434"/>
      <c r="BF439" s="434"/>
    </row>
    <row r="440" spans="1:58" s="578" customFormat="1" ht="13.5" customHeight="1">
      <c r="A440" s="436"/>
      <c r="B440" s="1089"/>
      <c r="C440" s="1089"/>
      <c r="D440" s="1090">
        <v>242</v>
      </c>
      <c r="E440" s="1095">
        <f>V242</f>
        <v>78269.4</v>
      </c>
      <c r="F440" s="1089"/>
      <c r="G440" s="1089"/>
      <c r="H440" s="1089"/>
      <c r="I440" s="1089"/>
      <c r="J440" s="1081"/>
      <c r="K440" s="576"/>
      <c r="L440" s="576"/>
      <c r="M440" s="576"/>
      <c r="N440" s="576"/>
      <c r="O440" s="576"/>
      <c r="P440" s="576"/>
      <c r="Q440" s="1087"/>
      <c r="R440" s="1092"/>
      <c r="S440" s="576"/>
      <c r="T440" s="576"/>
      <c r="U440" s="1093"/>
      <c r="V440" s="1087"/>
      <c r="W440" s="576"/>
      <c r="X440" s="432"/>
      <c r="Y440" s="1087"/>
      <c r="Z440" s="1087"/>
      <c r="AA440" s="1087"/>
      <c r="AB440" s="576"/>
      <c r="AC440" s="576"/>
      <c r="AD440" s="576"/>
      <c r="AE440" s="576"/>
      <c r="AF440" s="576"/>
      <c r="AG440" s="576"/>
      <c r="AH440" s="576"/>
      <c r="AI440" s="576"/>
      <c r="AJ440" s="576"/>
      <c r="AK440" s="576"/>
      <c r="AL440" s="576"/>
      <c r="AM440" s="434"/>
      <c r="AN440" s="434"/>
      <c r="AO440" s="434"/>
      <c r="AP440" s="434"/>
      <c r="AQ440" s="434"/>
      <c r="AR440" s="434"/>
      <c r="AS440" s="434"/>
      <c r="AT440" s="434"/>
      <c r="AU440" s="434"/>
      <c r="AV440" s="434"/>
      <c r="AW440" s="434"/>
      <c r="AX440" s="434"/>
      <c r="AY440" s="434"/>
      <c r="AZ440" s="434"/>
      <c r="BA440" s="434"/>
      <c r="BB440" s="434"/>
      <c r="BC440" s="434"/>
      <c r="BD440" s="434"/>
      <c r="BE440" s="434"/>
      <c r="BF440" s="434"/>
    </row>
    <row r="441" spans="1:58" s="578" customFormat="1" ht="13.5" customHeight="1">
      <c r="A441" s="436"/>
      <c r="B441" s="1089"/>
      <c r="C441" s="1089"/>
      <c r="D441" s="1090">
        <v>251</v>
      </c>
      <c r="E441" s="1091">
        <f>V49+V271</f>
        <v>25120961.68</v>
      </c>
      <c r="F441" s="1089"/>
      <c r="G441" s="1089"/>
      <c r="H441" s="1089"/>
      <c r="I441" s="1089"/>
      <c r="J441" s="1081"/>
      <c r="K441" s="576"/>
      <c r="L441" s="576"/>
      <c r="M441" s="576"/>
      <c r="N441" s="576"/>
      <c r="O441" s="576"/>
      <c r="P441" s="576"/>
      <c r="Q441" s="1087"/>
      <c r="R441" s="1092"/>
      <c r="S441" s="576"/>
      <c r="T441" s="576"/>
      <c r="U441" s="1093"/>
      <c r="V441" s="1087"/>
      <c r="W441" s="576"/>
      <c r="X441" s="432"/>
      <c r="Y441" s="1087"/>
      <c r="Z441" s="1087"/>
      <c r="AA441" s="1087"/>
      <c r="AB441" s="576"/>
      <c r="AC441" s="576"/>
      <c r="AD441" s="576"/>
      <c r="AE441" s="576"/>
      <c r="AF441" s="576"/>
      <c r="AG441" s="576"/>
      <c r="AH441" s="576"/>
      <c r="AI441" s="576"/>
      <c r="AJ441" s="576"/>
      <c r="AK441" s="576"/>
      <c r="AL441" s="576"/>
      <c r="AM441" s="434"/>
      <c r="AN441" s="434"/>
      <c r="AO441" s="434"/>
      <c r="AP441" s="434"/>
      <c r="AQ441" s="434"/>
      <c r="AR441" s="434"/>
      <c r="AS441" s="434"/>
      <c r="AT441" s="434"/>
      <c r="AU441" s="434"/>
      <c r="AV441" s="434"/>
      <c r="AW441" s="434"/>
      <c r="AX441" s="434"/>
      <c r="AY441" s="434"/>
      <c r="AZ441" s="434"/>
      <c r="BA441" s="434"/>
      <c r="BB441" s="434"/>
      <c r="BC441" s="434"/>
      <c r="BD441" s="434"/>
      <c r="BE441" s="434"/>
      <c r="BF441" s="434"/>
    </row>
    <row r="442" spans="1:59" s="578" customFormat="1" ht="13.5" customHeight="1">
      <c r="A442" s="436"/>
      <c r="B442" s="1089"/>
      <c r="C442" s="1089"/>
      <c r="D442" s="1090"/>
      <c r="E442" s="1097"/>
      <c r="F442" s="1089"/>
      <c r="G442" s="1089"/>
      <c r="H442" s="1089"/>
      <c r="I442" s="1089"/>
      <c r="J442" s="1081"/>
      <c r="K442" s="576"/>
      <c r="L442" s="576"/>
      <c r="M442" s="576"/>
      <c r="N442" s="576"/>
      <c r="O442" s="576"/>
      <c r="P442" s="576"/>
      <c r="Q442" s="1087"/>
      <c r="R442" s="1092"/>
      <c r="S442" s="576"/>
      <c r="T442" s="576"/>
      <c r="U442" s="1093"/>
      <c r="V442" s="1098"/>
      <c r="W442" s="1099" t="s">
        <v>902</v>
      </c>
      <c r="X442" s="1100"/>
      <c r="Y442" s="1101"/>
      <c r="Z442" s="1101"/>
      <c r="AA442" s="1101"/>
      <c r="AB442" s="1102"/>
      <c r="AC442" s="576"/>
      <c r="AD442" s="576"/>
      <c r="AE442" s="576"/>
      <c r="AF442" s="576"/>
      <c r="AG442" s="576"/>
      <c r="AH442" s="576"/>
      <c r="AI442" s="576"/>
      <c r="AJ442" s="576"/>
      <c r="AK442" s="576"/>
      <c r="AL442" s="576"/>
      <c r="AM442" s="576"/>
      <c r="AN442" s="434"/>
      <c r="AO442" s="434"/>
      <c r="AP442" s="434"/>
      <c r="AQ442" s="434"/>
      <c r="AR442" s="434"/>
      <c r="AS442" s="434"/>
      <c r="AT442" s="434"/>
      <c r="AU442" s="434"/>
      <c r="AV442" s="434"/>
      <c r="AW442" s="434"/>
      <c r="AX442" s="434"/>
      <c r="AY442" s="434"/>
      <c r="AZ442" s="434"/>
      <c r="BA442" s="434"/>
      <c r="BB442" s="434"/>
      <c r="BC442" s="434"/>
      <c r="BD442" s="434"/>
      <c r="BE442" s="434"/>
      <c r="BF442" s="434"/>
      <c r="BG442" s="434"/>
    </row>
    <row r="443" spans="1:59" s="578" customFormat="1" ht="13.5" customHeight="1">
      <c r="A443" s="436"/>
      <c r="B443" s="1089"/>
      <c r="C443" s="1089"/>
      <c r="D443" s="1090"/>
      <c r="E443" s="1097"/>
      <c r="F443" s="1089"/>
      <c r="G443" s="1089"/>
      <c r="H443" s="1089"/>
      <c r="I443" s="1089"/>
      <c r="J443" s="1081"/>
      <c r="K443" s="576"/>
      <c r="L443" s="576"/>
      <c r="M443" s="576"/>
      <c r="N443" s="576"/>
      <c r="O443" s="576"/>
      <c r="P443" s="576"/>
      <c r="Q443" s="1087"/>
      <c r="R443" s="1092"/>
      <c r="S443" s="576"/>
      <c r="T443" s="576"/>
      <c r="U443" s="1093"/>
      <c r="V443" s="1103" t="s">
        <v>900</v>
      </c>
      <c r="W443" s="1104"/>
      <c r="X443" s="1105"/>
      <c r="Y443" s="1104" t="s">
        <v>903</v>
      </c>
      <c r="Z443" s="1104"/>
      <c r="AA443" s="1104"/>
      <c r="AB443" s="1106"/>
      <c r="AC443" s="576"/>
      <c r="AD443" s="576"/>
      <c r="AE443" s="576"/>
      <c r="AF443" s="576"/>
      <c r="AG443" s="576"/>
      <c r="AH443" s="576"/>
      <c r="AI443" s="576"/>
      <c r="AJ443" s="576"/>
      <c r="AK443" s="576"/>
      <c r="AL443" s="576"/>
      <c r="AM443" s="576"/>
      <c r="AN443" s="434"/>
      <c r="AO443" s="434"/>
      <c r="AP443" s="434"/>
      <c r="AQ443" s="434"/>
      <c r="AR443" s="434"/>
      <c r="AS443" s="434"/>
      <c r="AT443" s="434"/>
      <c r="AU443" s="434"/>
      <c r="AV443" s="434"/>
      <c r="AW443" s="434"/>
      <c r="AX443" s="434"/>
      <c r="AY443" s="434"/>
      <c r="AZ443" s="434"/>
      <c r="BA443" s="434"/>
      <c r="BB443" s="434"/>
      <c r="BC443" s="434"/>
      <c r="BD443" s="434"/>
      <c r="BE443" s="434"/>
      <c r="BF443" s="434"/>
      <c r="BG443" s="434"/>
    </row>
    <row r="444" spans="1:59" s="578" customFormat="1" ht="13.5" customHeight="1">
      <c r="A444" s="436"/>
      <c r="B444" s="1089"/>
      <c r="C444" s="1089"/>
      <c r="D444" s="1090"/>
      <c r="E444" s="1097"/>
      <c r="F444" s="1089"/>
      <c r="G444" s="1089"/>
      <c r="H444" s="1089"/>
      <c r="I444" s="1089"/>
      <c r="J444" s="1081"/>
      <c r="K444" s="576"/>
      <c r="L444" s="576"/>
      <c r="M444" s="576"/>
      <c r="N444" s="576"/>
      <c r="O444" s="576"/>
      <c r="P444" s="576"/>
      <c r="Q444" s="1087"/>
      <c r="R444" s="1092"/>
      <c r="S444" s="576"/>
      <c r="T444" s="576"/>
      <c r="U444" s="1093"/>
      <c r="V444" s="1103" t="s">
        <v>901</v>
      </c>
      <c r="W444" s="1104">
        <v>1354000</v>
      </c>
      <c r="X444" s="1105"/>
      <c r="Y444" s="1104" t="s">
        <v>904</v>
      </c>
      <c r="Z444" s="1104"/>
      <c r="AA444" s="1104"/>
      <c r="AB444" s="1106"/>
      <c r="AC444" s="576"/>
      <c r="AD444" s="576"/>
      <c r="AE444" s="576"/>
      <c r="AF444" s="576"/>
      <c r="AG444" s="576"/>
      <c r="AH444" s="576"/>
      <c r="AI444" s="576"/>
      <c r="AJ444" s="576"/>
      <c r="AK444" s="576"/>
      <c r="AL444" s="576"/>
      <c r="AM444" s="576"/>
      <c r="AN444" s="434"/>
      <c r="AO444" s="434"/>
      <c r="AP444" s="434"/>
      <c r="AQ444" s="434"/>
      <c r="AR444" s="434"/>
      <c r="AS444" s="434"/>
      <c r="AT444" s="434"/>
      <c r="AU444" s="434"/>
      <c r="AV444" s="434"/>
      <c r="AW444" s="434"/>
      <c r="AX444" s="434"/>
      <c r="AY444" s="434"/>
      <c r="AZ444" s="434"/>
      <c r="BA444" s="434"/>
      <c r="BB444" s="434"/>
      <c r="BC444" s="434"/>
      <c r="BD444" s="434"/>
      <c r="BE444" s="434"/>
      <c r="BF444" s="434"/>
      <c r="BG444" s="434"/>
    </row>
    <row r="445" spans="1:59" s="578" customFormat="1" ht="13.5" customHeight="1">
      <c r="A445" s="436"/>
      <c r="B445" s="1089"/>
      <c r="C445" s="1089"/>
      <c r="D445" s="1090"/>
      <c r="E445" s="1097"/>
      <c r="F445" s="1089"/>
      <c r="G445" s="1089"/>
      <c r="H445" s="1089"/>
      <c r="I445" s="1089"/>
      <c r="J445" s="1081"/>
      <c r="K445" s="576"/>
      <c r="L445" s="576"/>
      <c r="M445" s="576"/>
      <c r="N445" s="576"/>
      <c r="O445" s="576"/>
      <c r="P445" s="576"/>
      <c r="Q445" s="1087"/>
      <c r="R445" s="1092"/>
      <c r="S445" s="576"/>
      <c r="T445" s="576"/>
      <c r="U445" s="1093"/>
      <c r="V445" s="1103" t="s">
        <v>905</v>
      </c>
      <c r="W445" s="1104">
        <v>20000</v>
      </c>
      <c r="X445" s="1105"/>
      <c r="Y445" s="1104"/>
      <c r="Z445" s="1104"/>
      <c r="AA445" s="1104"/>
      <c r="AB445" s="1106"/>
      <c r="AC445" s="576"/>
      <c r="AD445" s="576"/>
      <c r="AE445" s="576"/>
      <c r="AF445" s="576"/>
      <c r="AG445" s="576"/>
      <c r="AH445" s="576"/>
      <c r="AI445" s="576"/>
      <c r="AJ445" s="576"/>
      <c r="AK445" s="576"/>
      <c r="AL445" s="576"/>
      <c r="AM445" s="576"/>
      <c r="AN445" s="434"/>
      <c r="AO445" s="434"/>
      <c r="AP445" s="434"/>
      <c r="AQ445" s="434"/>
      <c r="AR445" s="434"/>
      <c r="AS445" s="434"/>
      <c r="AT445" s="434"/>
      <c r="AU445" s="434"/>
      <c r="AV445" s="434"/>
      <c r="AW445" s="434"/>
      <c r="AX445" s="434"/>
      <c r="AY445" s="434"/>
      <c r="AZ445" s="434"/>
      <c r="BA445" s="434"/>
      <c r="BB445" s="434"/>
      <c r="BC445" s="434"/>
      <c r="BD445" s="434"/>
      <c r="BE445" s="434"/>
      <c r="BF445" s="434"/>
      <c r="BG445" s="434"/>
    </row>
    <row r="446" spans="1:59" s="578" customFormat="1" ht="27" customHeight="1">
      <c r="A446" s="436"/>
      <c r="B446" s="1089"/>
      <c r="C446" s="1089"/>
      <c r="D446" s="1090"/>
      <c r="E446" s="1097"/>
      <c r="F446" s="1089"/>
      <c r="G446" s="1089"/>
      <c r="H446" s="1089"/>
      <c r="I446" s="1089"/>
      <c r="J446" s="1081"/>
      <c r="K446" s="576"/>
      <c r="L446" s="576"/>
      <c r="M446" s="576"/>
      <c r="N446" s="576"/>
      <c r="O446" s="576"/>
      <c r="P446" s="576"/>
      <c r="Q446" s="1087"/>
      <c r="R446" s="1092"/>
      <c r="S446" s="576"/>
      <c r="T446" s="576"/>
      <c r="U446" s="1093"/>
      <c r="V446" s="1107" t="s">
        <v>906</v>
      </c>
      <c r="W446" s="1104">
        <v>400000</v>
      </c>
      <c r="X446" s="1105"/>
      <c r="Y446" s="1104"/>
      <c r="Z446" s="1104"/>
      <c r="AA446" s="1104"/>
      <c r="AB446" s="1106"/>
      <c r="AC446" s="576"/>
      <c r="AD446" s="576"/>
      <c r="AE446" s="576"/>
      <c r="AF446" s="576"/>
      <c r="AG446" s="576"/>
      <c r="AH446" s="576"/>
      <c r="AI446" s="576"/>
      <c r="AJ446" s="576"/>
      <c r="AK446" s="576"/>
      <c r="AL446" s="576"/>
      <c r="AM446" s="576"/>
      <c r="AN446" s="434"/>
      <c r="AO446" s="434"/>
      <c r="AP446" s="434"/>
      <c r="AQ446" s="434"/>
      <c r="AR446" s="434"/>
      <c r="AS446" s="434"/>
      <c r="AT446" s="434"/>
      <c r="AU446" s="434"/>
      <c r="AV446" s="434"/>
      <c r="AW446" s="434"/>
      <c r="AX446" s="434"/>
      <c r="AY446" s="434"/>
      <c r="AZ446" s="434"/>
      <c r="BA446" s="434"/>
      <c r="BB446" s="434"/>
      <c r="BC446" s="434"/>
      <c r="BD446" s="434"/>
      <c r="BE446" s="434"/>
      <c r="BF446" s="434"/>
      <c r="BG446" s="434"/>
    </row>
    <row r="447" spans="1:59" s="578" customFormat="1" ht="13.5" customHeight="1">
      <c r="A447" s="436"/>
      <c r="B447" s="1089"/>
      <c r="C447" s="1089"/>
      <c r="D447" s="1090"/>
      <c r="E447" s="1097"/>
      <c r="F447" s="1089"/>
      <c r="G447" s="1089"/>
      <c r="H447" s="1089"/>
      <c r="I447" s="1089"/>
      <c r="J447" s="1081"/>
      <c r="K447" s="576"/>
      <c r="L447" s="576"/>
      <c r="M447" s="576"/>
      <c r="N447" s="576"/>
      <c r="O447" s="576"/>
      <c r="P447" s="576"/>
      <c r="Q447" s="1087"/>
      <c r="R447" s="1092"/>
      <c r="S447" s="576"/>
      <c r="T447" s="576"/>
      <c r="U447" s="1093"/>
      <c r="V447" s="1103" t="s">
        <v>907</v>
      </c>
      <c r="W447" s="1104">
        <v>11500</v>
      </c>
      <c r="X447" s="1105"/>
      <c r="Y447" s="1104"/>
      <c r="Z447" s="1104"/>
      <c r="AA447" s="1104"/>
      <c r="AB447" s="1106"/>
      <c r="AC447" s="576"/>
      <c r="AD447" s="576"/>
      <c r="AE447" s="576"/>
      <c r="AF447" s="576"/>
      <c r="AG447" s="576"/>
      <c r="AH447" s="576"/>
      <c r="AI447" s="576"/>
      <c r="AJ447" s="576"/>
      <c r="AK447" s="576"/>
      <c r="AL447" s="576"/>
      <c r="AM447" s="576"/>
      <c r="AN447" s="434"/>
      <c r="AO447" s="434"/>
      <c r="AP447" s="434"/>
      <c r="AQ447" s="434"/>
      <c r="AR447" s="434"/>
      <c r="AS447" s="434"/>
      <c r="AT447" s="434"/>
      <c r="AU447" s="434"/>
      <c r="AV447" s="434"/>
      <c r="AW447" s="434"/>
      <c r="AX447" s="434"/>
      <c r="AY447" s="434"/>
      <c r="AZ447" s="434"/>
      <c r="BA447" s="434"/>
      <c r="BB447" s="434"/>
      <c r="BC447" s="434"/>
      <c r="BD447" s="434"/>
      <c r="BE447" s="434"/>
      <c r="BF447" s="434"/>
      <c r="BG447" s="434"/>
    </row>
    <row r="448" spans="1:59" s="578" customFormat="1" ht="13.5" customHeight="1">
      <c r="A448" s="436"/>
      <c r="B448" s="1089"/>
      <c r="C448" s="1089"/>
      <c r="D448" s="1090"/>
      <c r="E448" s="1097"/>
      <c r="F448" s="1089"/>
      <c r="G448" s="1089"/>
      <c r="H448" s="1089"/>
      <c r="I448" s="1089"/>
      <c r="J448" s="1081"/>
      <c r="K448" s="576"/>
      <c r="L448" s="576"/>
      <c r="M448" s="576"/>
      <c r="N448" s="576"/>
      <c r="O448" s="576"/>
      <c r="P448" s="576"/>
      <c r="Q448" s="1087"/>
      <c r="R448" s="1092"/>
      <c r="S448" s="576"/>
      <c r="T448" s="576"/>
      <c r="U448" s="1093"/>
      <c r="V448" s="1103" t="s">
        <v>908</v>
      </c>
      <c r="W448" s="1104"/>
      <c r="X448" s="1105"/>
      <c r="Y448" s="1104" t="s">
        <v>909</v>
      </c>
      <c r="Z448" s="1104"/>
      <c r="AA448" s="1104"/>
      <c r="AB448" s="1106"/>
      <c r="AC448" s="576"/>
      <c r="AD448" s="576"/>
      <c r="AE448" s="576"/>
      <c r="AF448" s="576"/>
      <c r="AG448" s="576"/>
      <c r="AH448" s="576"/>
      <c r="AI448" s="576"/>
      <c r="AJ448" s="576"/>
      <c r="AK448" s="576"/>
      <c r="AL448" s="576"/>
      <c r="AM448" s="576"/>
      <c r="AN448" s="434"/>
      <c r="AO448" s="434"/>
      <c r="AP448" s="434"/>
      <c r="AQ448" s="434"/>
      <c r="AR448" s="434"/>
      <c r="AS448" s="434"/>
      <c r="AT448" s="434"/>
      <c r="AU448" s="434"/>
      <c r="AV448" s="434"/>
      <c r="AW448" s="434"/>
      <c r="AX448" s="434"/>
      <c r="AY448" s="434"/>
      <c r="AZ448" s="434"/>
      <c r="BA448" s="434"/>
      <c r="BB448" s="434"/>
      <c r="BC448" s="434"/>
      <c r="BD448" s="434"/>
      <c r="BE448" s="434"/>
      <c r="BF448" s="434"/>
      <c r="BG448" s="434"/>
    </row>
    <row r="449" spans="1:59" s="578" customFormat="1" ht="13.5" customHeight="1">
      <c r="A449" s="436"/>
      <c r="B449" s="1089"/>
      <c r="C449" s="1089"/>
      <c r="D449" s="1090"/>
      <c r="E449" s="1097"/>
      <c r="F449" s="1089"/>
      <c r="G449" s="1089"/>
      <c r="H449" s="1089"/>
      <c r="I449" s="1089"/>
      <c r="J449" s="1081"/>
      <c r="K449" s="576"/>
      <c r="L449" s="576"/>
      <c r="M449" s="576"/>
      <c r="N449" s="576"/>
      <c r="O449" s="576"/>
      <c r="P449" s="576"/>
      <c r="Q449" s="1087"/>
      <c r="R449" s="1092"/>
      <c r="S449" s="576"/>
      <c r="T449" s="576"/>
      <c r="U449" s="1093"/>
      <c r="V449" s="1108"/>
      <c r="W449" s="1109">
        <f>SUM(W443:W448)</f>
        <v>1785500</v>
      </c>
      <c r="X449" s="1110"/>
      <c r="Y449" s="1111"/>
      <c r="Z449" s="1111"/>
      <c r="AA449" s="1111"/>
      <c r="AB449" s="1112"/>
      <c r="AC449" s="576"/>
      <c r="AD449" s="576"/>
      <c r="AE449" s="576"/>
      <c r="AF449" s="576"/>
      <c r="AG449" s="576"/>
      <c r="AH449" s="576"/>
      <c r="AI449" s="576"/>
      <c r="AJ449" s="576"/>
      <c r="AK449" s="576"/>
      <c r="AL449" s="576"/>
      <c r="AM449" s="576"/>
      <c r="AN449" s="434"/>
      <c r="AO449" s="434"/>
      <c r="AP449" s="434"/>
      <c r="AQ449" s="434"/>
      <c r="AR449" s="434"/>
      <c r="AS449" s="434"/>
      <c r="AT449" s="434"/>
      <c r="AU449" s="434"/>
      <c r="AV449" s="434"/>
      <c r="AW449" s="434"/>
      <c r="AX449" s="434"/>
      <c r="AY449" s="434"/>
      <c r="AZ449" s="434"/>
      <c r="BA449" s="434"/>
      <c r="BB449" s="434"/>
      <c r="BC449" s="434"/>
      <c r="BD449" s="434"/>
      <c r="BE449" s="434"/>
      <c r="BF449" s="434"/>
      <c r="BG449" s="434"/>
    </row>
    <row r="450" spans="1:58" s="578" customFormat="1" ht="13.5" customHeight="1">
      <c r="A450" s="436"/>
      <c r="B450" s="1089"/>
      <c r="C450" s="1089"/>
      <c r="D450" s="1090">
        <v>310</v>
      </c>
      <c r="E450" s="1097" t="s">
        <v>910</v>
      </c>
      <c r="F450" s="1089"/>
      <c r="G450" s="1089"/>
      <c r="H450" s="1089"/>
      <c r="I450" s="1089"/>
      <c r="J450" s="1081"/>
      <c r="K450" s="576"/>
      <c r="L450" s="576"/>
      <c r="M450" s="576"/>
      <c r="N450" s="576"/>
      <c r="O450" s="576"/>
      <c r="P450" s="576"/>
      <c r="Q450" s="1087"/>
      <c r="R450" s="1092"/>
      <c r="S450" s="576"/>
      <c r="T450" s="576"/>
      <c r="U450" s="1093"/>
      <c r="V450" s="1087"/>
      <c r="W450" s="576"/>
      <c r="X450" s="432"/>
      <c r="Y450" s="1087"/>
      <c r="Z450" s="1087"/>
      <c r="AA450" s="1087"/>
      <c r="AB450" s="576"/>
      <c r="AC450" s="576"/>
      <c r="AD450" s="576"/>
      <c r="AE450" s="576"/>
      <c r="AF450" s="576"/>
      <c r="AG450" s="576"/>
      <c r="AH450" s="576"/>
      <c r="AI450" s="576"/>
      <c r="AJ450" s="576"/>
      <c r="AK450" s="576"/>
      <c r="AL450" s="576"/>
      <c r="AM450" s="434"/>
      <c r="AN450" s="434"/>
      <c r="AO450" s="434"/>
      <c r="AP450" s="434"/>
      <c r="AQ450" s="434"/>
      <c r="AR450" s="434"/>
      <c r="AS450" s="434"/>
      <c r="AT450" s="434"/>
      <c r="AU450" s="434"/>
      <c r="AV450" s="434"/>
      <c r="AW450" s="434"/>
      <c r="AX450" s="434"/>
      <c r="AY450" s="434"/>
      <c r="AZ450" s="434"/>
      <c r="BA450" s="434"/>
      <c r="BB450" s="434"/>
      <c r="BC450" s="434"/>
      <c r="BD450" s="434"/>
      <c r="BE450" s="434"/>
      <c r="BF450" s="434"/>
    </row>
    <row r="451" spans="4:57" s="578" customFormat="1" ht="13.5" customHeight="1">
      <c r="D451" s="1113" t="s">
        <v>234</v>
      </c>
      <c r="E451" s="1113"/>
      <c r="F451" s="1113"/>
      <c r="G451" s="1113"/>
      <c r="H451" s="1113"/>
      <c r="I451" s="1113">
        <v>2016</v>
      </c>
      <c r="J451" s="1114" t="s">
        <v>911</v>
      </c>
      <c r="K451" s="1113"/>
      <c r="L451" s="1115"/>
      <c r="M451" s="1115"/>
      <c r="N451" s="1116" t="s">
        <v>912</v>
      </c>
      <c r="O451" s="1117" t="s">
        <v>913</v>
      </c>
      <c r="P451" s="1117" t="s">
        <v>914</v>
      </c>
      <c r="Q451" s="1117" t="s">
        <v>915</v>
      </c>
      <c r="R451" s="1117" t="s">
        <v>916</v>
      </c>
      <c r="S451" s="1118"/>
      <c r="T451" s="1119" t="s">
        <v>917</v>
      </c>
      <c r="U451" s="1119">
        <v>2017</v>
      </c>
      <c r="V451" s="1120" t="s">
        <v>918</v>
      </c>
      <c r="W451" s="1120" t="s">
        <v>919</v>
      </c>
      <c r="X451" s="1121" t="s">
        <v>920</v>
      </c>
      <c r="Y451" s="1122" t="s">
        <v>921</v>
      </c>
      <c r="AL451" s="434"/>
      <c r="AM451" s="434"/>
      <c r="AN451" s="434"/>
      <c r="AO451" s="434"/>
      <c r="AP451" s="434"/>
      <c r="AQ451" s="434"/>
      <c r="AR451" s="434"/>
      <c r="AS451" s="434"/>
      <c r="AT451" s="434"/>
      <c r="AU451" s="434"/>
      <c r="AV451" s="434"/>
      <c r="AW451" s="434"/>
      <c r="AX451" s="434"/>
      <c r="AY451" s="434"/>
      <c r="AZ451" s="434"/>
      <c r="BA451" s="434"/>
      <c r="BB451" s="434"/>
      <c r="BC451" s="434"/>
      <c r="BD451" s="434"/>
      <c r="BE451" s="434"/>
    </row>
    <row r="452" spans="4:58" s="578" customFormat="1" ht="36" customHeight="1" thickBot="1">
      <c r="D452" s="1269" t="s">
        <v>761</v>
      </c>
      <c r="E452" s="1270"/>
      <c r="F452" s="1270"/>
      <c r="G452" s="1271"/>
      <c r="H452" s="1123">
        <v>4</v>
      </c>
      <c r="I452" s="1124">
        <v>9</v>
      </c>
      <c r="J452" s="1125">
        <f>V230</f>
        <v>4712270.2</v>
      </c>
      <c r="K452" s="1126"/>
      <c r="L452" s="1126"/>
      <c r="M452" s="1127" t="s">
        <v>922</v>
      </c>
      <c r="N452" s="1127">
        <v>0</v>
      </c>
      <c r="O452" s="1128"/>
      <c r="P452" s="1128"/>
      <c r="Q452" s="1128"/>
      <c r="R452" s="1128"/>
      <c r="S452" s="1128"/>
      <c r="T452" s="1129" t="e">
        <f>#REF!+#REF!</f>
        <v>#REF!</v>
      </c>
      <c r="U452" s="1129" t="e">
        <f>#REF!+#REF!</f>
        <v>#REF!</v>
      </c>
      <c r="V452" s="1126">
        <f>X230</f>
        <v>0</v>
      </c>
      <c r="W452" s="1130">
        <f>J452+V452</f>
        <v>4712270.2</v>
      </c>
      <c r="X452" s="1121">
        <f>W452</f>
        <v>4712270.2</v>
      </c>
      <c r="Y452" s="1122">
        <f>J452-X452</f>
        <v>0</v>
      </c>
      <c r="AM452" s="434"/>
      <c r="AN452" s="434"/>
      <c r="AO452" s="434"/>
      <c r="AP452" s="434"/>
      <c r="AQ452" s="434"/>
      <c r="AR452" s="434"/>
      <c r="AS452" s="434"/>
      <c r="AT452" s="434"/>
      <c r="AU452" s="434"/>
      <c r="AV452" s="434"/>
      <c r="AW452" s="434"/>
      <c r="AX452" s="434"/>
      <c r="AY452" s="434"/>
      <c r="AZ452" s="434"/>
      <c r="BA452" s="434"/>
      <c r="BB452" s="434"/>
      <c r="BC452" s="434"/>
      <c r="BD452" s="434"/>
      <c r="BE452" s="434"/>
      <c r="BF452" s="434"/>
    </row>
    <row r="453" spans="4:58" s="578" customFormat="1" ht="45.75" customHeight="1" thickBot="1">
      <c r="D453" s="1259" t="s">
        <v>923</v>
      </c>
      <c r="E453" s="1260"/>
      <c r="F453" s="1260"/>
      <c r="G453" s="1260"/>
      <c r="H453" s="1131"/>
      <c r="I453" s="1131"/>
      <c r="J453" s="1132">
        <f>V210+V213</f>
        <v>17571.43</v>
      </c>
      <c r="K453" s="1133"/>
      <c r="L453" s="1133"/>
      <c r="M453" s="1127" t="s">
        <v>924</v>
      </c>
      <c r="N453" s="1127">
        <v>0</v>
      </c>
      <c r="O453" s="1128"/>
      <c r="P453" s="1128"/>
      <c r="Q453" s="1128"/>
      <c r="R453" s="1128"/>
      <c r="S453" s="1128"/>
      <c r="T453" s="1129" t="e">
        <f>#REF!+#REF!</f>
        <v>#REF!</v>
      </c>
      <c r="U453" s="1129" t="e">
        <f>#REF!+#REF!</f>
        <v>#REF!</v>
      </c>
      <c r="V453" s="1133">
        <f>X210+X213</f>
        <v>0</v>
      </c>
      <c r="W453" s="1130">
        <f>J453+V453</f>
        <v>17571.43</v>
      </c>
      <c r="X453" s="1121">
        <f>W453</f>
        <v>17571.43</v>
      </c>
      <c r="Y453" s="1122">
        <f aca="true" t="shared" si="8" ref="Y453:Y466">J453-X453</f>
        <v>0</v>
      </c>
      <c r="AM453" s="434"/>
      <c r="AN453" s="434"/>
      <c r="AO453" s="434"/>
      <c r="AP453" s="434"/>
      <c r="AQ453" s="434"/>
      <c r="AR453" s="434"/>
      <c r="AS453" s="434"/>
      <c r="AT453" s="434"/>
      <c r="AU453" s="434"/>
      <c r="AV453" s="434"/>
      <c r="AW453" s="434"/>
      <c r="AX453" s="434"/>
      <c r="AY453" s="434"/>
      <c r="AZ453" s="434"/>
      <c r="BA453" s="434"/>
      <c r="BB453" s="434"/>
      <c r="BC453" s="434"/>
      <c r="BD453" s="434"/>
      <c r="BE453" s="434"/>
      <c r="BF453" s="434"/>
    </row>
    <row r="454" spans="4:58" s="578" customFormat="1" ht="51.75" customHeight="1" thickBot="1">
      <c r="D454" s="1259" t="s">
        <v>705</v>
      </c>
      <c r="E454" s="1260"/>
      <c r="F454" s="1260"/>
      <c r="G454" s="1261"/>
      <c r="H454" s="1134" t="s">
        <v>925</v>
      </c>
      <c r="I454" s="1135"/>
      <c r="J454" s="1125">
        <f>V24+V32+V41+V63+V157+V399+V142+V152+X32+X41+X63</f>
        <v>7667333.852</v>
      </c>
      <c r="K454" s="1126"/>
      <c r="L454" s="1126"/>
      <c r="M454" s="1129" t="s">
        <v>926</v>
      </c>
      <c r="N454" s="1129">
        <v>0</v>
      </c>
      <c r="O454" s="1128"/>
      <c r="P454" s="1128">
        <v>2801000</v>
      </c>
      <c r="Q454" s="1128">
        <v>0</v>
      </c>
      <c r="R454" s="1128">
        <v>0</v>
      </c>
      <c r="S454" s="1128">
        <v>0</v>
      </c>
      <c r="T454" s="1129" t="e">
        <f>#REF!+#REF!+#REF!+#REF!+#REF!+#REF!</f>
        <v>#REF!</v>
      </c>
      <c r="U454" s="1129" t="e">
        <f>#REF!+#REF!+#REF!+#REF!+#REF!+#REF!</f>
        <v>#REF!</v>
      </c>
      <c r="V454" s="1126">
        <f>X24+X32+X41+X63+X157+X399+X142+X152</f>
        <v>3555456.21928</v>
      </c>
      <c r="W454" s="1130">
        <f>J454-V454</f>
        <v>4111877.63272</v>
      </c>
      <c r="X454" s="1121">
        <v>7556810</v>
      </c>
      <c r="Y454" s="1122">
        <f t="shared" si="8"/>
        <v>110523.85199999996</v>
      </c>
      <c r="AM454" s="434"/>
      <c r="AN454" s="434"/>
      <c r="AO454" s="434"/>
      <c r="AP454" s="434"/>
      <c r="AQ454" s="434"/>
      <c r="AR454" s="434"/>
      <c r="AS454" s="434"/>
      <c r="AT454" s="434"/>
      <c r="AU454" s="434"/>
      <c r="AV454" s="434"/>
      <c r="AW454" s="434"/>
      <c r="AX454" s="434"/>
      <c r="AY454" s="434"/>
      <c r="AZ454" s="434"/>
      <c r="BA454" s="434"/>
      <c r="BB454" s="434"/>
      <c r="BC454" s="434"/>
      <c r="BD454" s="434"/>
      <c r="BE454" s="434"/>
      <c r="BF454" s="434"/>
    </row>
    <row r="455" spans="4:58" s="578" customFormat="1" ht="37.5" customHeight="1" thickBot="1">
      <c r="D455" s="1259" t="s">
        <v>927</v>
      </c>
      <c r="E455" s="1260"/>
      <c r="F455" s="1260"/>
      <c r="G455" s="1261"/>
      <c r="H455" s="1136"/>
      <c r="I455" s="1137"/>
      <c r="J455" s="1125">
        <f>V132+V53</f>
        <v>80000</v>
      </c>
      <c r="K455" s="1126"/>
      <c r="L455" s="1126"/>
      <c r="M455" s="1129" t="s">
        <v>928</v>
      </c>
      <c r="N455" s="1129">
        <v>0</v>
      </c>
      <c r="O455" s="1128"/>
      <c r="P455" s="1128">
        <v>69611000</v>
      </c>
      <c r="Q455" s="1128">
        <v>0</v>
      </c>
      <c r="R455" s="1128">
        <v>0</v>
      </c>
      <c r="S455" s="1128">
        <v>0</v>
      </c>
      <c r="T455" s="1129" t="e">
        <f>#REF!</f>
        <v>#REF!</v>
      </c>
      <c r="U455" s="1129" t="e">
        <f>#REF!+#REF!</f>
        <v>#REF!</v>
      </c>
      <c r="V455" s="1126">
        <f>X132+X53</f>
        <v>0</v>
      </c>
      <c r="W455" s="1130">
        <f aca="true" t="shared" si="9" ref="W455:W465">J455-V455</f>
        <v>80000</v>
      </c>
      <c r="X455" s="1121">
        <f>W455</f>
        <v>80000</v>
      </c>
      <c r="Y455" s="1122">
        <f t="shared" si="8"/>
        <v>0</v>
      </c>
      <c r="AM455" s="434"/>
      <c r="AN455" s="434"/>
      <c r="AO455" s="434"/>
      <c r="AP455" s="434"/>
      <c r="AQ455" s="434"/>
      <c r="AR455" s="434"/>
      <c r="AS455" s="434"/>
      <c r="AT455" s="434"/>
      <c r="AU455" s="434"/>
      <c r="AV455" s="434"/>
      <c r="AW455" s="434"/>
      <c r="AX455" s="434"/>
      <c r="AY455" s="434"/>
      <c r="AZ455" s="434"/>
      <c r="BA455" s="434"/>
      <c r="BB455" s="434"/>
      <c r="BC455" s="434"/>
      <c r="BD455" s="434"/>
      <c r="BE455" s="434"/>
      <c r="BF455" s="434"/>
    </row>
    <row r="456" spans="4:58" s="578" customFormat="1" ht="54" customHeight="1" thickBot="1">
      <c r="D456" s="1259" t="s">
        <v>645</v>
      </c>
      <c r="E456" s="1260"/>
      <c r="F456" s="1260"/>
      <c r="G456" s="1261"/>
      <c r="H456" s="1136"/>
      <c r="I456" s="1137"/>
      <c r="J456" s="1125">
        <f>V129+X129</f>
        <v>6332764.18</v>
      </c>
      <c r="K456" s="1126"/>
      <c r="L456" s="1126"/>
      <c r="M456" s="1129" t="s">
        <v>929</v>
      </c>
      <c r="N456" s="1129">
        <v>0</v>
      </c>
      <c r="O456" s="1128"/>
      <c r="P456" s="1128">
        <v>2801000</v>
      </c>
      <c r="Q456" s="1128">
        <v>0</v>
      </c>
      <c r="R456" s="1128">
        <v>0</v>
      </c>
      <c r="S456" s="1128">
        <v>0</v>
      </c>
      <c r="T456" s="1129" t="e">
        <f>#REF!</f>
        <v>#REF!</v>
      </c>
      <c r="U456" s="1129" t="e">
        <f>#REF!</f>
        <v>#REF!</v>
      </c>
      <c r="V456" s="1126">
        <f>X129</f>
        <v>914074.6299999999</v>
      </c>
      <c r="W456" s="1130">
        <f t="shared" si="9"/>
        <v>5418689.55</v>
      </c>
      <c r="X456" s="1121">
        <v>4116837.5</v>
      </c>
      <c r="Y456" s="1122">
        <f t="shared" si="8"/>
        <v>2215926.6799999997</v>
      </c>
      <c r="AM456" s="434"/>
      <c r="AN456" s="434"/>
      <c r="AO456" s="434"/>
      <c r="AP456" s="434"/>
      <c r="AQ456" s="434"/>
      <c r="AR456" s="434"/>
      <c r="AS456" s="434"/>
      <c r="AT456" s="434"/>
      <c r="AU456" s="434"/>
      <c r="AV456" s="434"/>
      <c r="AW456" s="434"/>
      <c r="AX456" s="434"/>
      <c r="AY456" s="434"/>
      <c r="AZ456" s="434"/>
      <c r="BA456" s="434"/>
      <c r="BB456" s="434"/>
      <c r="BC456" s="434"/>
      <c r="BD456" s="434"/>
      <c r="BE456" s="434"/>
      <c r="BF456" s="434"/>
    </row>
    <row r="457" spans="4:58" s="578" customFormat="1" ht="37.5" customHeight="1" thickBot="1">
      <c r="D457" s="1262" t="s">
        <v>829</v>
      </c>
      <c r="E457" s="1263"/>
      <c r="F457" s="1263"/>
      <c r="G457" s="1264"/>
      <c r="H457" s="1136"/>
      <c r="I457" s="1137"/>
      <c r="J457" s="1125">
        <f>V379+V392+X379</f>
        <v>5005513.59</v>
      </c>
      <c r="K457" s="1126"/>
      <c r="L457" s="1126"/>
      <c r="M457" s="1127" t="s">
        <v>930</v>
      </c>
      <c r="N457" s="1138">
        <v>0</v>
      </c>
      <c r="O457" s="1128"/>
      <c r="P457" s="1128"/>
      <c r="Q457" s="1128"/>
      <c r="R457" s="1128"/>
      <c r="S457" s="1128"/>
      <c r="T457" s="1139" t="e">
        <f>#REF!+#REF!+#REF!</f>
        <v>#REF!</v>
      </c>
      <c r="U457" s="1139" t="e">
        <f>#REF!+#REF!+#REF!</f>
        <v>#REF!</v>
      </c>
      <c r="V457" s="1126">
        <f>X379+X392</f>
        <v>824188.59</v>
      </c>
      <c r="W457" s="1130">
        <f t="shared" si="9"/>
        <v>4181325</v>
      </c>
      <c r="X457" s="1121">
        <v>5709305.48</v>
      </c>
      <c r="Y457" s="1122">
        <f t="shared" si="8"/>
        <v>-703791.8900000006</v>
      </c>
      <c r="AM457" s="434"/>
      <c r="AN457" s="434"/>
      <c r="AO457" s="434"/>
      <c r="AP457" s="434"/>
      <c r="AQ457" s="434"/>
      <c r="AR457" s="434"/>
      <c r="AS457" s="434"/>
      <c r="AT457" s="434"/>
      <c r="AU457" s="434"/>
      <c r="AV457" s="434"/>
      <c r="AW457" s="434"/>
      <c r="AX457" s="434"/>
      <c r="AY457" s="434"/>
      <c r="AZ457" s="434"/>
      <c r="BA457" s="434"/>
      <c r="BB457" s="434"/>
      <c r="BC457" s="434"/>
      <c r="BD457" s="434"/>
      <c r="BE457" s="434"/>
      <c r="BF457" s="434"/>
    </row>
    <row r="458" spans="4:58" s="578" customFormat="1" ht="53.25" customHeight="1" thickBot="1">
      <c r="D458" s="1262" t="s">
        <v>931</v>
      </c>
      <c r="E458" s="1263"/>
      <c r="F458" s="1263"/>
      <c r="G458" s="1264"/>
      <c r="H458" s="1140"/>
      <c r="I458" s="1141"/>
      <c r="J458" s="1125">
        <f>V406+V417+V412</f>
        <v>1677000</v>
      </c>
      <c r="K458" s="1126"/>
      <c r="L458" s="1126"/>
      <c r="M458" s="1129" t="s">
        <v>932</v>
      </c>
      <c r="N458" s="1129">
        <v>0</v>
      </c>
      <c r="O458" s="1128"/>
      <c r="P458" s="1128"/>
      <c r="Q458" s="1128"/>
      <c r="R458" s="1128"/>
      <c r="S458" s="1128"/>
      <c r="T458" s="1129" t="e">
        <f>#REF!</f>
        <v>#REF!</v>
      </c>
      <c r="U458" s="1129" t="e">
        <f>#REF!</f>
        <v>#REF!</v>
      </c>
      <c r="V458" s="1126">
        <f>X406+X417+X412</f>
        <v>177406.738</v>
      </c>
      <c r="W458" s="1130">
        <f t="shared" si="9"/>
        <v>1499593.262</v>
      </c>
      <c r="X458" s="1121">
        <v>1433430</v>
      </c>
      <c r="Y458" s="1122">
        <f t="shared" si="8"/>
        <v>243570</v>
      </c>
      <c r="AM458" s="434"/>
      <c r="AN458" s="434"/>
      <c r="AO458" s="434"/>
      <c r="AP458" s="434"/>
      <c r="AQ458" s="434"/>
      <c r="AR458" s="434"/>
      <c r="AS458" s="434"/>
      <c r="AT458" s="434"/>
      <c r="AU458" s="434"/>
      <c r="AV458" s="434"/>
      <c r="AW458" s="434"/>
      <c r="AX458" s="434"/>
      <c r="AY458" s="434"/>
      <c r="AZ458" s="434"/>
      <c r="BA458" s="434"/>
      <c r="BB458" s="434"/>
      <c r="BC458" s="434"/>
      <c r="BD458" s="434"/>
      <c r="BE458" s="434"/>
      <c r="BF458" s="434"/>
    </row>
    <row r="459" spans="4:58" s="578" customFormat="1" ht="50.25" customHeight="1" thickBot="1">
      <c r="D459" s="1256" t="s">
        <v>933</v>
      </c>
      <c r="E459" s="1257"/>
      <c r="F459" s="1257"/>
      <c r="G459" s="1257"/>
      <c r="H459" s="1142"/>
      <c r="I459" s="1142"/>
      <c r="J459" s="1132">
        <f>V168+X168</f>
        <v>845680</v>
      </c>
      <c r="K459" s="1133"/>
      <c r="L459" s="1133"/>
      <c r="M459" s="1129" t="s">
        <v>934</v>
      </c>
      <c r="N459" s="1127">
        <v>0</v>
      </c>
      <c r="O459" s="1128"/>
      <c r="P459" s="1128"/>
      <c r="Q459" s="1128"/>
      <c r="R459" s="1128"/>
      <c r="S459" s="1128"/>
      <c r="T459" s="1129" t="e">
        <f>#REF!</f>
        <v>#REF!</v>
      </c>
      <c r="U459" s="1129" t="e">
        <f>#REF!</f>
        <v>#REF!</v>
      </c>
      <c r="V459" s="1133">
        <f>X168</f>
        <v>773680</v>
      </c>
      <c r="W459" s="1130">
        <f t="shared" si="9"/>
        <v>72000</v>
      </c>
      <c r="X459" s="1121">
        <v>531612.68</v>
      </c>
      <c r="Y459" s="1122">
        <f t="shared" si="8"/>
        <v>314067.31999999995</v>
      </c>
      <c r="AM459" s="434"/>
      <c r="AN459" s="434"/>
      <c r="AO459" s="434"/>
      <c r="AP459" s="434"/>
      <c r="AQ459" s="434"/>
      <c r="AR459" s="434"/>
      <c r="AS459" s="434"/>
      <c r="AT459" s="434"/>
      <c r="AU459" s="434"/>
      <c r="AV459" s="434"/>
      <c r="AW459" s="434"/>
      <c r="AX459" s="434"/>
      <c r="AY459" s="434"/>
      <c r="AZ459" s="434"/>
      <c r="BA459" s="434"/>
      <c r="BB459" s="434"/>
      <c r="BC459" s="434"/>
      <c r="BD459" s="434"/>
      <c r="BE459" s="434"/>
      <c r="BF459" s="434"/>
    </row>
    <row r="460" spans="4:58" s="578" customFormat="1" ht="49.5" customHeight="1" thickBot="1">
      <c r="D460" s="1250" t="s">
        <v>935</v>
      </c>
      <c r="E460" s="1251"/>
      <c r="F460" s="1251"/>
      <c r="G460" s="1252"/>
      <c r="H460" s="1134" t="s">
        <v>936</v>
      </c>
      <c r="I460" s="1135"/>
      <c r="J460" s="1125">
        <f>V242+V249+V295+V322+V317+V305+X322+X305+X295+X242</f>
        <v>4764781.15</v>
      </c>
      <c r="K460" s="1126"/>
      <c r="L460" s="1126"/>
      <c r="M460" s="1127" t="s">
        <v>937</v>
      </c>
      <c r="N460" s="1127">
        <v>0</v>
      </c>
      <c r="O460" s="1128"/>
      <c r="P460" s="1128"/>
      <c r="Q460" s="1128"/>
      <c r="R460" s="1128"/>
      <c r="S460" s="1128"/>
      <c r="T460" s="1129" t="e">
        <f>#REF!+#REF!+#REF!+#REF!</f>
        <v>#REF!</v>
      </c>
      <c r="U460" s="1129" t="e">
        <f>#REF!+#REF!+#REF!+#REF!</f>
        <v>#REF!</v>
      </c>
      <c r="V460" s="1126">
        <f>X242+X249+X295+X322+X317+X305</f>
        <v>1120339.25</v>
      </c>
      <c r="W460" s="1130">
        <f t="shared" si="9"/>
        <v>3644441.9000000004</v>
      </c>
      <c r="X460" s="1121">
        <v>6436061.13</v>
      </c>
      <c r="Y460" s="1122">
        <f t="shared" si="8"/>
        <v>-1671279.9799999995</v>
      </c>
      <c r="AM460" s="434"/>
      <c r="AN460" s="434"/>
      <c r="AO460" s="434"/>
      <c r="AP460" s="434"/>
      <c r="AQ460" s="434"/>
      <c r="AR460" s="434"/>
      <c r="AS460" s="434"/>
      <c r="AT460" s="434"/>
      <c r="AU460" s="434"/>
      <c r="AV460" s="434"/>
      <c r="AW460" s="434"/>
      <c r="AX460" s="434"/>
      <c r="AY460" s="434"/>
      <c r="AZ460" s="434"/>
      <c r="BA460" s="434"/>
      <c r="BB460" s="434"/>
      <c r="BC460" s="434"/>
      <c r="BD460" s="434"/>
      <c r="BE460" s="434"/>
      <c r="BF460" s="434"/>
    </row>
    <row r="461" spans="4:58" s="578" customFormat="1" ht="69.75" customHeight="1" thickBot="1">
      <c r="D461" s="1253" t="s">
        <v>630</v>
      </c>
      <c r="E461" s="1254"/>
      <c r="F461" s="1254"/>
      <c r="G461" s="1255"/>
      <c r="H461" s="1140"/>
      <c r="I461" s="1141"/>
      <c r="J461" s="1125">
        <f>V49+V271</f>
        <v>25120961.68</v>
      </c>
      <c r="K461" s="1126"/>
      <c r="L461" s="1126"/>
      <c r="M461" s="1129" t="s">
        <v>938</v>
      </c>
      <c r="N461" s="1129">
        <v>0</v>
      </c>
      <c r="O461" s="1128"/>
      <c r="P461" s="1128"/>
      <c r="Q461" s="1128"/>
      <c r="R461" s="1128"/>
      <c r="S461" s="1128"/>
      <c r="T461" s="1129" t="e">
        <f>906400+#REF!+#REF!+#REF!+#REF!+#REF!+#REF!</f>
        <v>#REF!</v>
      </c>
      <c r="U461" s="1129" t="e">
        <f>#REF!+#REF!+#REF!+#REF!+#REF!+#REF!</f>
        <v>#REF!</v>
      </c>
      <c r="V461" s="1126">
        <f>X49+X271</f>
        <v>0</v>
      </c>
      <c r="W461" s="1130">
        <f t="shared" si="9"/>
        <v>25120961.68</v>
      </c>
      <c r="X461" s="1143">
        <v>29127872.69</v>
      </c>
      <c r="Y461" s="1122">
        <f t="shared" si="8"/>
        <v>-4006911.0100000016</v>
      </c>
      <c r="AM461" s="434"/>
      <c r="AN461" s="434"/>
      <c r="AO461" s="434"/>
      <c r="AP461" s="434"/>
      <c r="AQ461" s="434"/>
      <c r="AR461" s="434"/>
      <c r="AS461" s="434"/>
      <c r="AT461" s="434"/>
      <c r="AU461" s="434"/>
      <c r="AV461" s="434"/>
      <c r="AW461" s="434"/>
      <c r="AX461" s="434"/>
      <c r="AY461" s="434"/>
      <c r="AZ461" s="434"/>
      <c r="BA461" s="434"/>
      <c r="BB461" s="434"/>
      <c r="BC461" s="434"/>
      <c r="BD461" s="434"/>
      <c r="BE461" s="434"/>
      <c r="BF461" s="434"/>
    </row>
    <row r="462" spans="4:58" s="578" customFormat="1" ht="41.25" customHeight="1" thickBot="1">
      <c r="D462" s="1256" t="s">
        <v>781</v>
      </c>
      <c r="E462" s="1257"/>
      <c r="F462" s="1257"/>
      <c r="G462" s="1257"/>
      <c r="H462" s="1142" t="s">
        <v>939</v>
      </c>
      <c r="I462" s="1142"/>
      <c r="J462" s="1132">
        <f>V262+X262+X181</f>
        <v>680000</v>
      </c>
      <c r="K462" s="1133"/>
      <c r="L462" s="1133"/>
      <c r="M462" s="1127" t="s">
        <v>940</v>
      </c>
      <c r="N462" s="1127">
        <v>0</v>
      </c>
      <c r="O462" s="1128"/>
      <c r="P462" s="1128"/>
      <c r="Q462" s="1128"/>
      <c r="R462" s="1128"/>
      <c r="S462" s="1128"/>
      <c r="T462" s="1129" t="e">
        <f>#REF!+#REF!</f>
        <v>#REF!</v>
      </c>
      <c r="U462" s="1129" t="e">
        <f>#REF!+#REF!</f>
        <v>#REF!</v>
      </c>
      <c r="V462" s="1133">
        <f>X262+X182</f>
        <v>650000</v>
      </c>
      <c r="W462" s="1130">
        <f t="shared" si="9"/>
        <v>30000</v>
      </c>
      <c r="X462" s="1121">
        <f>W462</f>
        <v>30000</v>
      </c>
      <c r="Y462" s="1122">
        <f t="shared" si="8"/>
        <v>650000</v>
      </c>
      <c r="AM462" s="434"/>
      <c r="AN462" s="434"/>
      <c r="AO462" s="434"/>
      <c r="AP462" s="434"/>
      <c r="AQ462" s="434"/>
      <c r="AR462" s="434"/>
      <c r="AS462" s="434"/>
      <c r="AT462" s="434"/>
      <c r="AU462" s="434"/>
      <c r="AV462" s="434"/>
      <c r="AW462" s="434"/>
      <c r="AX462" s="434"/>
      <c r="AY462" s="434"/>
      <c r="AZ462" s="434"/>
      <c r="BA462" s="434"/>
      <c r="BB462" s="434"/>
      <c r="BC462" s="434"/>
      <c r="BD462" s="434"/>
      <c r="BE462" s="434"/>
      <c r="BF462" s="434"/>
    </row>
    <row r="463" spans="4:58" s="578" customFormat="1" ht="47.25" customHeight="1" thickBot="1">
      <c r="D463" s="1250" t="s">
        <v>941</v>
      </c>
      <c r="E463" s="1251"/>
      <c r="F463" s="1251"/>
      <c r="G463" s="1252"/>
      <c r="H463" s="1144">
        <v>59</v>
      </c>
      <c r="I463" s="1145"/>
      <c r="J463" s="1125">
        <f>V331+X331</f>
        <v>533000</v>
      </c>
      <c r="K463" s="1126"/>
      <c r="L463" s="1126"/>
      <c r="M463" s="1127" t="s">
        <v>942</v>
      </c>
      <c r="N463" s="1127">
        <v>0</v>
      </c>
      <c r="O463" s="1128"/>
      <c r="P463" s="1128">
        <v>79429000</v>
      </c>
      <c r="Q463" s="1128">
        <v>0</v>
      </c>
      <c r="R463" s="1128">
        <v>0</v>
      </c>
      <c r="S463" s="1128">
        <v>0</v>
      </c>
      <c r="T463" s="1129" t="e">
        <f>#REF!</f>
        <v>#REF!</v>
      </c>
      <c r="U463" s="1129" t="e">
        <f>#REF!</f>
        <v>#REF!</v>
      </c>
      <c r="V463" s="1126">
        <f>X331</f>
        <v>533000</v>
      </c>
      <c r="W463" s="1130">
        <f t="shared" si="9"/>
        <v>0</v>
      </c>
      <c r="X463" s="1121">
        <f>W463</f>
        <v>0</v>
      </c>
      <c r="Y463" s="1122">
        <f t="shared" si="8"/>
        <v>533000</v>
      </c>
      <c r="AM463" s="434"/>
      <c r="AN463" s="434"/>
      <c r="AO463" s="434"/>
      <c r="AP463" s="434"/>
      <c r="AQ463" s="434"/>
      <c r="AR463" s="434"/>
      <c r="AS463" s="434"/>
      <c r="AT463" s="434"/>
      <c r="AU463" s="434"/>
      <c r="AV463" s="434"/>
      <c r="AW463" s="434"/>
      <c r="AX463" s="434"/>
      <c r="AY463" s="434"/>
      <c r="AZ463" s="434"/>
      <c r="BA463" s="434"/>
      <c r="BB463" s="434"/>
      <c r="BC463" s="434"/>
      <c r="BD463" s="434"/>
      <c r="BE463" s="434"/>
      <c r="BF463" s="434"/>
    </row>
    <row r="464" spans="4:58" s="578" customFormat="1" ht="75" customHeight="1">
      <c r="D464" s="1258" t="s">
        <v>943</v>
      </c>
      <c r="E464" s="1258"/>
      <c r="F464" s="1258"/>
      <c r="G464" s="1258"/>
      <c r="H464" s="1142"/>
      <c r="I464" s="1142"/>
      <c r="J464" s="1132">
        <v>0</v>
      </c>
      <c r="K464" s="1133"/>
      <c r="L464" s="1133"/>
      <c r="M464" s="1127" t="s">
        <v>944</v>
      </c>
      <c r="N464" s="1127">
        <v>0</v>
      </c>
      <c r="O464" s="1128"/>
      <c r="P464" s="1128"/>
      <c r="Q464" s="1128"/>
      <c r="R464" s="1128"/>
      <c r="S464" s="1128"/>
      <c r="T464" s="1129" t="e">
        <f>#REF!</f>
        <v>#REF!</v>
      </c>
      <c r="U464" s="1129">
        <v>0</v>
      </c>
      <c r="V464" s="1133">
        <v>0</v>
      </c>
      <c r="W464" s="1130">
        <f t="shared" si="9"/>
        <v>0</v>
      </c>
      <c r="X464" s="1121"/>
      <c r="Y464" s="1122">
        <f t="shared" si="8"/>
        <v>0</v>
      </c>
      <c r="AM464" s="434"/>
      <c r="AN464" s="434"/>
      <c r="AO464" s="434"/>
      <c r="AP464" s="434"/>
      <c r="AQ464" s="434"/>
      <c r="AR464" s="434"/>
      <c r="AS464" s="434"/>
      <c r="AT464" s="434"/>
      <c r="AU464" s="434"/>
      <c r="AV464" s="434"/>
      <c r="AW464" s="434"/>
      <c r="AX464" s="434"/>
      <c r="AY464" s="434"/>
      <c r="AZ464" s="434"/>
      <c r="BA464" s="434"/>
      <c r="BB464" s="434"/>
      <c r="BC464" s="434"/>
      <c r="BD464" s="434"/>
      <c r="BE464" s="434"/>
      <c r="BF464" s="434"/>
    </row>
    <row r="465" spans="4:58" s="578" customFormat="1" ht="75" customHeight="1">
      <c r="D465" s="1258" t="s">
        <v>945</v>
      </c>
      <c r="E465" s="1258"/>
      <c r="F465" s="1258"/>
      <c r="G465" s="1258"/>
      <c r="H465" s="1142"/>
      <c r="I465" s="1142"/>
      <c r="J465" s="1132">
        <f>V421+V422</f>
        <v>79637.53</v>
      </c>
      <c r="K465" s="1133"/>
      <c r="L465" s="1133"/>
      <c r="M465" s="1127" t="s">
        <v>944</v>
      </c>
      <c r="N465" s="1127">
        <v>0</v>
      </c>
      <c r="O465" s="1128"/>
      <c r="P465" s="1128"/>
      <c r="Q465" s="1128"/>
      <c r="R465" s="1128"/>
      <c r="S465" s="1128"/>
      <c r="T465" s="1129" t="e">
        <f>#REF!</f>
        <v>#REF!</v>
      </c>
      <c r="U465" s="1129">
        <v>0</v>
      </c>
      <c r="V465" s="1133">
        <f>X421+X422</f>
        <v>992000</v>
      </c>
      <c r="W465" s="1130">
        <f t="shared" si="9"/>
        <v>-912362.47</v>
      </c>
      <c r="X465" s="1121">
        <v>190905</v>
      </c>
      <c r="Y465" s="1122">
        <f t="shared" si="8"/>
        <v>-111267.47</v>
      </c>
      <c r="AM465" s="434"/>
      <c r="AN465" s="434"/>
      <c r="AO465" s="434"/>
      <c r="AP465" s="434"/>
      <c r="AQ465" s="434"/>
      <c r="AR465" s="434"/>
      <c r="AS465" s="434"/>
      <c r="AT465" s="434"/>
      <c r="AU465" s="434"/>
      <c r="AV465" s="434"/>
      <c r="AW465" s="434"/>
      <c r="AX465" s="434"/>
      <c r="AY465" s="434"/>
      <c r="AZ465" s="434"/>
      <c r="BA465" s="434"/>
      <c r="BB465" s="434"/>
      <c r="BC465" s="434"/>
      <c r="BD465" s="434"/>
      <c r="BE465" s="434"/>
      <c r="BF465" s="434"/>
    </row>
    <row r="466" spans="4:58" s="578" customFormat="1" ht="13.5" thickBot="1">
      <c r="D466" s="1146" t="s">
        <v>946</v>
      </c>
      <c r="E466" s="1147"/>
      <c r="F466" s="1147"/>
      <c r="G466" s="1147"/>
      <c r="H466" s="1147"/>
      <c r="I466" s="1147"/>
      <c r="J466" s="1125">
        <f>J452+J453+J454+J455+J456+J457+J458+J459+J460+J461+J462+J463+J464+J465</f>
        <v>57516513.612</v>
      </c>
      <c r="K466" s="1126"/>
      <c r="L466" s="1126"/>
      <c r="M466" s="1126"/>
      <c r="N466" s="1126"/>
      <c r="O466" s="1128" t="s">
        <v>947</v>
      </c>
      <c r="P466" s="1128">
        <v>1663111600</v>
      </c>
      <c r="Q466" s="1128">
        <v>726845000</v>
      </c>
      <c r="R466" s="1128">
        <v>469429000</v>
      </c>
      <c r="S466" s="1128">
        <v>387241100</v>
      </c>
      <c r="T466" s="1148" t="e">
        <f>T462+T461+T460+T459+T458+T457+T456+T455+T454+T453+T452+T463+#REF!+T464</f>
        <v>#REF!</v>
      </c>
      <c r="U466" s="1148" t="e">
        <f>U462+U461+U460+U459+U458+U457+U456+U455+U454+U453+U452</f>
        <v>#REF!</v>
      </c>
      <c r="V466" s="1126">
        <f>V452+V453+V454+V455+V456+V457+V458+V459+V460+V461+V462+V463+V464+V465</f>
        <v>9540145.42728</v>
      </c>
      <c r="W466" s="1126">
        <f>W452+W453+W454+W455+W456+W457+W458+W459+W460+W461+W462+W463+W464+W465</f>
        <v>47976368.18472</v>
      </c>
      <c r="X466" s="1149">
        <f>X452+X453+X454+X455+X456+X457+X458+X459+X460+X461+X462+X463+X464+X465</f>
        <v>59942676.11</v>
      </c>
      <c r="Y466" s="1122">
        <f t="shared" si="8"/>
        <v>-2426162.497999996</v>
      </c>
      <c r="AM466" s="434"/>
      <c r="AN466" s="434"/>
      <c r="AO466" s="434"/>
      <c r="AP466" s="434"/>
      <c r="AQ466" s="434"/>
      <c r="AR466" s="434"/>
      <c r="AS466" s="434"/>
      <c r="AT466" s="434"/>
      <c r="AU466" s="434"/>
      <c r="AV466" s="434"/>
      <c r="AW466" s="434"/>
      <c r="AX466" s="434"/>
      <c r="AY466" s="434"/>
      <c r="AZ466" s="434"/>
      <c r="BA466" s="434"/>
      <c r="BB466" s="434"/>
      <c r="BC466" s="434"/>
      <c r="BD466" s="434"/>
      <c r="BE466" s="434"/>
      <c r="BF466" s="434"/>
    </row>
    <row r="467" spans="10:58" s="578" customFormat="1" ht="12.75">
      <c r="J467" s="1150">
        <v>64533587.28</v>
      </c>
      <c r="K467" s="1126">
        <f aca="true" t="shared" si="10" ref="K467:U467">K453+K454+K455+K456+K457+K458+K459+K460+K461+K462+K463+K464+K466</f>
        <v>0</v>
      </c>
      <c r="L467" s="1126">
        <f t="shared" si="10"/>
        <v>0</v>
      </c>
      <c r="M467" s="1126" t="e">
        <f t="shared" si="10"/>
        <v>#VALUE!</v>
      </c>
      <c r="N467" s="1126">
        <f t="shared" si="10"/>
        <v>0</v>
      </c>
      <c r="O467" s="1126" t="e">
        <f t="shared" si="10"/>
        <v>#VALUE!</v>
      </c>
      <c r="P467" s="1126">
        <f t="shared" si="10"/>
        <v>1817753600</v>
      </c>
      <c r="Q467" s="1126">
        <f t="shared" si="10"/>
        <v>726845000</v>
      </c>
      <c r="R467" s="1126">
        <f t="shared" si="10"/>
        <v>469429000</v>
      </c>
      <c r="S467" s="1126">
        <f t="shared" si="10"/>
        <v>387241100</v>
      </c>
      <c r="T467" s="1126" t="e">
        <f t="shared" si="10"/>
        <v>#REF!</v>
      </c>
      <c r="U467" s="1126" t="e">
        <f t="shared" si="10"/>
        <v>#REF!</v>
      </c>
      <c r="V467" s="1126">
        <v>1785500</v>
      </c>
      <c r="W467" s="1126"/>
      <c r="X467" s="843"/>
      <c r="Y467" s="1151"/>
      <c r="AM467" s="434"/>
      <c r="AN467" s="434"/>
      <c r="AO467" s="434"/>
      <c r="AP467" s="434"/>
      <c r="AQ467" s="434"/>
      <c r="AR467" s="434"/>
      <c r="AS467" s="434"/>
      <c r="AT467" s="434"/>
      <c r="AU467" s="434"/>
      <c r="AV467" s="434"/>
      <c r="AW467" s="434"/>
      <c r="AX467" s="434"/>
      <c r="AY467" s="434"/>
      <c r="AZ467" s="434"/>
      <c r="BA467" s="434"/>
      <c r="BB467" s="434"/>
      <c r="BC467" s="434"/>
      <c r="BD467" s="434"/>
      <c r="BE467" s="434"/>
      <c r="BF467" s="434"/>
    </row>
    <row r="468" spans="10:58" s="578" customFormat="1" ht="12.75">
      <c r="J468" s="1126">
        <f>J467-J466</f>
        <v>7017073.667999998</v>
      </c>
      <c r="K468" s="1126">
        <f aca="true" t="shared" si="11" ref="K468:U468">K454+K455+K456+K457+K458+K459+K460+K461+K462+K463+K464+K466+K467</f>
        <v>0</v>
      </c>
      <c r="L468" s="1126">
        <f t="shared" si="11"/>
        <v>0</v>
      </c>
      <c r="M468" s="1126" t="e">
        <f t="shared" si="11"/>
        <v>#VALUE!</v>
      </c>
      <c r="N468" s="1126">
        <f t="shared" si="11"/>
        <v>0</v>
      </c>
      <c r="O468" s="1126" t="e">
        <f t="shared" si="11"/>
        <v>#VALUE!</v>
      </c>
      <c r="P468" s="1126">
        <f t="shared" si="11"/>
        <v>3635507200</v>
      </c>
      <c r="Q468" s="1126">
        <f t="shared" si="11"/>
        <v>1453690000</v>
      </c>
      <c r="R468" s="1126">
        <f t="shared" si="11"/>
        <v>938858000</v>
      </c>
      <c r="S468" s="1126">
        <f t="shared" si="11"/>
        <v>774482200</v>
      </c>
      <c r="T468" s="1126" t="e">
        <f t="shared" si="11"/>
        <v>#REF!</v>
      </c>
      <c r="U468" s="1126" t="e">
        <f t="shared" si="11"/>
        <v>#REF!</v>
      </c>
      <c r="V468" s="1126">
        <f>V466-V467</f>
        <v>7754645.4272799995</v>
      </c>
      <c r="W468" s="1126"/>
      <c r="X468" s="843"/>
      <c r="Y468" s="1151"/>
      <c r="AM468" s="434"/>
      <c r="AN468" s="434"/>
      <c r="AO468" s="434"/>
      <c r="AP468" s="434"/>
      <c r="AQ468" s="434"/>
      <c r="AR468" s="434"/>
      <c r="AS468" s="434"/>
      <c r="AT468" s="434"/>
      <c r="AU468" s="434"/>
      <c r="AV468" s="434"/>
      <c r="AW468" s="434"/>
      <c r="AX468" s="434"/>
      <c r="AY468" s="434"/>
      <c r="AZ468" s="434"/>
      <c r="BA468" s="434"/>
      <c r="BB468" s="434"/>
      <c r="BC468" s="434"/>
      <c r="BD468" s="434"/>
      <c r="BE468" s="434"/>
      <c r="BF468" s="434"/>
    </row>
    <row r="469" spans="10:58" s="578" customFormat="1" ht="12.75">
      <c r="J469" s="1152"/>
      <c r="K469" s="1151"/>
      <c r="L469" s="1151"/>
      <c r="M469" s="1151"/>
      <c r="N469" s="1151"/>
      <c r="O469" s="1151"/>
      <c r="P469" s="1151"/>
      <c r="Q469" s="1151"/>
      <c r="R469" s="1151"/>
      <c r="S469" s="1151"/>
      <c r="T469" s="1151"/>
      <c r="U469" s="1151"/>
      <c r="V469" s="1151"/>
      <c r="W469" s="1151"/>
      <c r="X469" s="843"/>
      <c r="Y469" s="1151"/>
      <c r="AM469" s="434"/>
      <c r="AN469" s="434"/>
      <c r="AO469" s="434"/>
      <c r="AP469" s="434"/>
      <c r="AQ469" s="434"/>
      <c r="AR469" s="434"/>
      <c r="AS469" s="434"/>
      <c r="AT469" s="434"/>
      <c r="AU469" s="434"/>
      <c r="AV469" s="434"/>
      <c r="AW469" s="434"/>
      <c r="AX469" s="434"/>
      <c r="AY469" s="434"/>
      <c r="AZ469" s="434"/>
      <c r="BA469" s="434"/>
      <c r="BB469" s="434"/>
      <c r="BC469" s="434"/>
      <c r="BD469" s="434"/>
      <c r="BE469" s="434"/>
      <c r="BF469" s="434"/>
    </row>
    <row r="470" spans="4:58" s="578" customFormat="1" ht="15.75" customHeight="1">
      <c r="D470" s="1239" t="s">
        <v>234</v>
      </c>
      <c r="E470" s="1240"/>
      <c r="G470" s="1243" t="s">
        <v>948</v>
      </c>
      <c r="H470" s="1245" t="s">
        <v>949</v>
      </c>
      <c r="I470" s="1245"/>
      <c r="J470" s="1246" t="s">
        <v>917</v>
      </c>
      <c r="K470" s="1153" t="s">
        <v>950</v>
      </c>
      <c r="L470" s="1154"/>
      <c r="Q470" s="1151"/>
      <c r="V470" s="1153"/>
      <c r="W470" s="1154"/>
      <c r="X470" s="843"/>
      <c r="Y470" s="1151">
        <v>0</v>
      </c>
      <c r="AM470" s="434"/>
      <c r="AN470" s="434"/>
      <c r="AO470" s="434"/>
      <c r="AP470" s="434"/>
      <c r="AQ470" s="434"/>
      <c r="AR470" s="434"/>
      <c r="AS470" s="434"/>
      <c r="AT470" s="434"/>
      <c r="AU470" s="434"/>
      <c r="AV470" s="434"/>
      <c r="AW470" s="434"/>
      <c r="AX470" s="434"/>
      <c r="AY470" s="434"/>
      <c r="AZ470" s="434"/>
      <c r="BA470" s="434"/>
      <c r="BB470" s="434"/>
      <c r="BC470" s="434"/>
      <c r="BD470" s="434"/>
      <c r="BE470" s="434"/>
      <c r="BF470" s="434"/>
    </row>
    <row r="471" spans="4:58" s="578" customFormat="1" ht="12.75" customHeight="1">
      <c r="D471" s="1241"/>
      <c r="E471" s="1242"/>
      <c r="G471" s="1244"/>
      <c r="H471" s="1245"/>
      <c r="I471" s="1245"/>
      <c r="J471" s="1247"/>
      <c r="K471" s="1155" t="s">
        <v>917</v>
      </c>
      <c r="L471" s="1156" t="s">
        <v>951</v>
      </c>
      <c r="Q471" s="1151"/>
      <c r="V471" s="1120" t="s">
        <v>918</v>
      </c>
      <c r="W471" s="1120" t="s">
        <v>911</v>
      </c>
      <c r="X471" s="843"/>
      <c r="Y471" s="1151"/>
      <c r="AM471" s="434"/>
      <c r="AN471" s="434"/>
      <c r="AO471" s="434"/>
      <c r="AP471" s="434"/>
      <c r="AQ471" s="434"/>
      <c r="AR471" s="434"/>
      <c r="AS471" s="434"/>
      <c r="AT471" s="434"/>
      <c r="AU471" s="434"/>
      <c r="AV471" s="434"/>
      <c r="AW471" s="434"/>
      <c r="AX471" s="434"/>
      <c r="AY471" s="434"/>
      <c r="AZ471" s="434"/>
      <c r="BA471" s="434"/>
      <c r="BB471" s="434"/>
      <c r="BC471" s="434"/>
      <c r="BD471" s="434"/>
      <c r="BE471" s="434"/>
      <c r="BF471" s="434"/>
    </row>
    <row r="472" spans="4:58" s="578" customFormat="1" ht="15.75" thickBot="1">
      <c r="D472" s="1248">
        <v>1</v>
      </c>
      <c r="E472" s="1248"/>
      <c r="G472" s="1157">
        <v>2</v>
      </c>
      <c r="H472" s="1249">
        <v>3</v>
      </c>
      <c r="I472" s="1249"/>
      <c r="J472" s="1158">
        <v>4</v>
      </c>
      <c r="K472" s="1159">
        <v>5</v>
      </c>
      <c r="L472" s="1160">
        <v>6</v>
      </c>
      <c r="Q472" s="1151"/>
      <c r="V472" s="1159">
        <v>5</v>
      </c>
      <c r="W472" s="1160">
        <v>6</v>
      </c>
      <c r="X472" s="843"/>
      <c r="Y472" s="1151"/>
      <c r="AM472" s="434"/>
      <c r="AN472" s="434"/>
      <c r="AO472" s="434"/>
      <c r="AP472" s="434"/>
      <c r="AQ472" s="434"/>
      <c r="AR472" s="434"/>
      <c r="AS472" s="434"/>
      <c r="AT472" s="434"/>
      <c r="AU472" s="434"/>
      <c r="AV472" s="434"/>
      <c r="AW472" s="434"/>
      <c r="AX472" s="434"/>
      <c r="AY472" s="434"/>
      <c r="AZ472" s="434"/>
      <c r="BA472" s="434"/>
      <c r="BB472" s="434"/>
      <c r="BC472" s="434"/>
      <c r="BD472" s="434"/>
      <c r="BE472" s="434"/>
      <c r="BF472" s="434"/>
    </row>
    <row r="473" spans="4:58" s="578" customFormat="1" ht="23.25" customHeight="1" thickBot="1">
      <c r="D473" s="1238" t="s">
        <v>95</v>
      </c>
      <c r="E473" s="1238"/>
      <c r="G473" s="1161">
        <v>0</v>
      </c>
      <c r="H473" s="1224">
        <v>0</v>
      </c>
      <c r="I473" s="1224"/>
      <c r="J473" s="1162">
        <f>J508</f>
        <v>49943362.24</v>
      </c>
      <c r="K473" s="1163">
        <f>K508</f>
        <v>31369.699</v>
      </c>
      <c r="L473" s="1164">
        <f>L508</f>
        <v>33631.499</v>
      </c>
      <c r="Q473" s="1151"/>
      <c r="V473" s="1162">
        <f>V508</f>
        <v>14798859.01728</v>
      </c>
      <c r="W473" s="1163">
        <f>J473+V473</f>
        <v>64742221.25728</v>
      </c>
      <c r="X473" s="843"/>
      <c r="Y473" s="1151"/>
      <c r="AM473" s="434"/>
      <c r="AN473" s="434"/>
      <c r="AO473" s="434"/>
      <c r="AP473" s="434"/>
      <c r="AQ473" s="434"/>
      <c r="AR473" s="434"/>
      <c r="AS473" s="434"/>
      <c r="AT473" s="434"/>
      <c r="AU473" s="434"/>
      <c r="AV473" s="434"/>
      <c r="AW473" s="434"/>
      <c r="AX473" s="434"/>
      <c r="AY473" s="434"/>
      <c r="AZ473" s="434"/>
      <c r="BA473" s="434"/>
      <c r="BB473" s="434"/>
      <c r="BC473" s="434"/>
      <c r="BD473" s="434"/>
      <c r="BE473" s="434"/>
      <c r="BF473" s="434"/>
    </row>
    <row r="474" spans="4:58" s="578" customFormat="1" ht="15.75" customHeight="1" thickBot="1">
      <c r="D474" s="1227" t="s">
        <v>952</v>
      </c>
      <c r="E474" s="1227"/>
      <c r="G474" s="1165">
        <v>1</v>
      </c>
      <c r="H474" s="1224">
        <v>0</v>
      </c>
      <c r="I474" s="1224"/>
      <c r="J474" s="1166">
        <f>J475+J476+J477+J478+J479</f>
        <v>10230717</v>
      </c>
      <c r="K474" s="1167">
        <f>K475+K476+K477+K478+K479</f>
        <v>11056.32747</v>
      </c>
      <c r="L474" s="1167">
        <f>L475+L476+L477+L478+L479</f>
        <v>12009.1093</v>
      </c>
      <c r="Q474" s="1151"/>
      <c r="V474" s="1166">
        <f>V475+V476+V477+V478+V479</f>
        <v>4669774.65928</v>
      </c>
      <c r="W474" s="1163">
        <f>J474+V474</f>
        <v>14900491.65928</v>
      </c>
      <c r="X474" s="843"/>
      <c r="Y474" s="1151"/>
      <c r="AM474" s="434"/>
      <c r="AN474" s="434"/>
      <c r="AO474" s="434"/>
      <c r="AP474" s="434"/>
      <c r="AQ474" s="434"/>
      <c r="AR474" s="434"/>
      <c r="AS474" s="434"/>
      <c r="AT474" s="434"/>
      <c r="AU474" s="434"/>
      <c r="AV474" s="434"/>
      <c r="AW474" s="434"/>
      <c r="AX474" s="434"/>
      <c r="AY474" s="434"/>
      <c r="AZ474" s="434"/>
      <c r="BA474" s="434"/>
      <c r="BB474" s="434"/>
      <c r="BC474" s="434"/>
      <c r="BD474" s="434"/>
      <c r="BE474" s="434"/>
      <c r="BF474" s="434"/>
    </row>
    <row r="475" spans="4:58" s="578" customFormat="1" ht="51" customHeight="1" thickBot="1">
      <c r="D475" s="1229" t="s">
        <v>953</v>
      </c>
      <c r="E475" s="1229"/>
      <c r="G475" s="1168">
        <v>1</v>
      </c>
      <c r="H475" s="1230">
        <v>2</v>
      </c>
      <c r="I475" s="1230"/>
      <c r="J475" s="1169">
        <f>V24</f>
        <v>1304578</v>
      </c>
      <c r="K475" s="1170">
        <v>1254.4</v>
      </c>
      <c r="L475" s="1170">
        <v>1254.4</v>
      </c>
      <c r="Q475" s="1151"/>
      <c r="V475" s="1169">
        <f>X24</f>
        <v>332989.81728</v>
      </c>
      <c r="W475" s="1163">
        <f>J475+V475</f>
        <v>1637567.81728</v>
      </c>
      <c r="X475" s="843"/>
      <c r="Y475" s="1151"/>
      <c r="AM475" s="434"/>
      <c r="AN475" s="434"/>
      <c r="AO475" s="434"/>
      <c r="AP475" s="434"/>
      <c r="AQ475" s="434"/>
      <c r="AR475" s="434"/>
      <c r="AS475" s="434"/>
      <c r="AT475" s="434"/>
      <c r="AU475" s="434"/>
      <c r="AV475" s="434"/>
      <c r="AW475" s="434"/>
      <c r="AX475" s="434"/>
      <c r="AY475" s="434"/>
      <c r="AZ475" s="434"/>
      <c r="BA475" s="434"/>
      <c r="BB475" s="434"/>
      <c r="BC475" s="434"/>
      <c r="BD475" s="434"/>
      <c r="BE475" s="434"/>
      <c r="BF475" s="434"/>
    </row>
    <row r="476" spans="4:58" s="578" customFormat="1" ht="1.5" customHeight="1" thickBot="1">
      <c r="D476" s="1236" t="s">
        <v>954</v>
      </c>
      <c r="E476" s="1237"/>
      <c r="G476" s="1168">
        <v>1</v>
      </c>
      <c r="H476" s="1171">
        <v>3</v>
      </c>
      <c r="I476" s="1120"/>
      <c r="J476" s="1169"/>
      <c r="K476" s="1170"/>
      <c r="L476" s="1170"/>
      <c r="Q476" s="1151"/>
      <c r="V476" s="1169"/>
      <c r="W476" s="1163">
        <f aca="true" t="shared" si="12" ref="W476:W508">J476+V476</f>
        <v>0</v>
      </c>
      <c r="X476" s="843"/>
      <c r="Y476" s="1151"/>
      <c r="AM476" s="434"/>
      <c r="AN476" s="434"/>
      <c r="AO476" s="434"/>
      <c r="AP476" s="434"/>
      <c r="AQ476" s="434"/>
      <c r="AR476" s="434"/>
      <c r="AS476" s="434"/>
      <c r="AT476" s="434"/>
      <c r="AU476" s="434"/>
      <c r="AV476" s="434"/>
      <c r="AW476" s="434"/>
      <c r="AX476" s="434"/>
      <c r="AY476" s="434"/>
      <c r="AZ476" s="434"/>
      <c r="BA476" s="434"/>
      <c r="BB476" s="434"/>
      <c r="BC476" s="434"/>
      <c r="BD476" s="434"/>
      <c r="BE476" s="434"/>
      <c r="BF476" s="434"/>
    </row>
    <row r="477" spans="4:58" s="578" customFormat="1" ht="75" customHeight="1" thickBot="1">
      <c r="D477" s="1229" t="s">
        <v>955</v>
      </c>
      <c r="E477" s="1229"/>
      <c r="G477" s="1168">
        <v>1</v>
      </c>
      <c r="H477" s="1230">
        <v>4</v>
      </c>
      <c r="I477" s="1230"/>
      <c r="J477" s="1169">
        <f>V32+V41+V44</f>
        <v>3285402</v>
      </c>
      <c r="K477" s="1170">
        <v>4440.881</v>
      </c>
      <c r="L477" s="1170">
        <v>4440.881</v>
      </c>
      <c r="Q477" s="1151"/>
      <c r="V477" s="1169">
        <f>X32+X41+X44</f>
        <v>2981966.402</v>
      </c>
      <c r="W477" s="1163">
        <f t="shared" si="12"/>
        <v>6267368.402</v>
      </c>
      <c r="X477" s="843">
        <f>W477+W475</f>
        <v>7904936.21928</v>
      </c>
      <c r="Y477" s="1151"/>
      <c r="AM477" s="434"/>
      <c r="AN477" s="434"/>
      <c r="AO477" s="434"/>
      <c r="AP477" s="434"/>
      <c r="AQ477" s="434"/>
      <c r="AR477" s="434"/>
      <c r="AS477" s="434"/>
      <c r="AT477" s="434"/>
      <c r="AU477" s="434"/>
      <c r="AV477" s="434"/>
      <c r="AW477" s="434"/>
      <c r="AX477" s="434"/>
      <c r="AY477" s="434"/>
      <c r="AZ477" s="434"/>
      <c r="BA477" s="434"/>
      <c r="BB477" s="434"/>
      <c r="BC477" s="434"/>
      <c r="BD477" s="434"/>
      <c r="BE477" s="434"/>
      <c r="BF477" s="434"/>
    </row>
    <row r="478" spans="4:58" s="578" customFormat="1" ht="13.5" thickBot="1">
      <c r="D478" s="1229" t="s">
        <v>635</v>
      </c>
      <c r="E478" s="1229"/>
      <c r="G478" s="1168">
        <v>1</v>
      </c>
      <c r="H478" s="1230">
        <v>11</v>
      </c>
      <c r="I478" s="1230"/>
      <c r="J478" s="1169">
        <f>V54</f>
        <v>80000</v>
      </c>
      <c r="K478" s="1170">
        <v>80</v>
      </c>
      <c r="L478" s="1170">
        <v>80</v>
      </c>
      <c r="Q478" s="1151"/>
      <c r="V478" s="1169">
        <f>X54</f>
        <v>0</v>
      </c>
      <c r="W478" s="1163">
        <f t="shared" si="12"/>
        <v>80000</v>
      </c>
      <c r="X478" s="843"/>
      <c r="Y478" s="1151"/>
      <c r="AM478" s="434"/>
      <c r="AN478" s="434"/>
      <c r="AO478" s="434"/>
      <c r="AP478" s="434"/>
      <c r="AQ478" s="434"/>
      <c r="AR478" s="434"/>
      <c r="AS478" s="434"/>
      <c r="AT478" s="434"/>
      <c r="AU478" s="434"/>
      <c r="AV478" s="434"/>
      <c r="AW478" s="434"/>
      <c r="AX478" s="434"/>
      <c r="AY478" s="434"/>
      <c r="AZ478" s="434"/>
      <c r="BA478" s="434"/>
      <c r="BB478" s="434"/>
      <c r="BC478" s="434"/>
      <c r="BD478" s="434"/>
      <c r="BE478" s="434"/>
      <c r="BF478" s="434"/>
    </row>
    <row r="479" spans="4:58" s="578" customFormat="1" ht="23.25" customHeight="1" thickBot="1">
      <c r="D479" s="1229" t="s">
        <v>956</v>
      </c>
      <c r="E479" s="1229"/>
      <c r="G479" s="1168">
        <v>1</v>
      </c>
      <c r="H479" s="1230">
        <v>13</v>
      </c>
      <c r="I479" s="1230"/>
      <c r="J479" s="1169">
        <f>V129+V63+V297+V298</f>
        <v>5560737</v>
      </c>
      <c r="K479" s="1170">
        <v>5281.04647</v>
      </c>
      <c r="L479" s="1170">
        <v>6233.8283</v>
      </c>
      <c r="Q479" s="1151"/>
      <c r="V479" s="1169">
        <f>X129+X63+X297+X298</f>
        <v>1354818.44</v>
      </c>
      <c r="W479" s="1163">
        <f t="shared" si="12"/>
        <v>6915555.4399999995</v>
      </c>
      <c r="X479" s="843"/>
      <c r="Y479" s="1151"/>
      <c r="AM479" s="434"/>
      <c r="AN479" s="434"/>
      <c r="AO479" s="434"/>
      <c r="AP479" s="434"/>
      <c r="AQ479" s="434"/>
      <c r="AR479" s="434"/>
      <c r="AS479" s="434"/>
      <c r="AT479" s="434"/>
      <c r="AU479" s="434"/>
      <c r="AV479" s="434"/>
      <c r="AW479" s="434"/>
      <c r="AX479" s="434"/>
      <c r="AY479" s="434"/>
      <c r="AZ479" s="434"/>
      <c r="BA479" s="434"/>
      <c r="BB479" s="434"/>
      <c r="BC479" s="434"/>
      <c r="BD479" s="434"/>
      <c r="BE479" s="434"/>
      <c r="BF479" s="434"/>
    </row>
    <row r="480" spans="4:58" s="578" customFormat="1" ht="12" customHeight="1" thickBot="1">
      <c r="D480" s="1234" t="s">
        <v>957</v>
      </c>
      <c r="E480" s="1234"/>
      <c r="G480" s="1172">
        <v>2</v>
      </c>
      <c r="H480" s="1235">
        <v>0</v>
      </c>
      <c r="I480" s="1235"/>
      <c r="J480" s="1173">
        <f>J481</f>
        <v>210100</v>
      </c>
      <c r="K480" s="1174">
        <f>K481</f>
        <v>156</v>
      </c>
      <c r="L480" s="1174">
        <f>L481</f>
        <v>156</v>
      </c>
      <c r="Q480" s="1151"/>
      <c r="V480" s="1173">
        <f>V481</f>
        <v>0</v>
      </c>
      <c r="W480" s="1163">
        <f t="shared" si="12"/>
        <v>210100</v>
      </c>
      <c r="X480" s="843"/>
      <c r="Y480" s="1151"/>
      <c r="AM480" s="434"/>
      <c r="AN480" s="434"/>
      <c r="AO480" s="434"/>
      <c r="AP480" s="434"/>
      <c r="AQ480" s="434"/>
      <c r="AR480" s="434"/>
      <c r="AS480" s="434"/>
      <c r="AT480" s="434"/>
      <c r="AU480" s="434"/>
      <c r="AV480" s="434"/>
      <c r="AW480" s="434"/>
      <c r="AX480" s="434"/>
      <c r="AY480" s="434"/>
      <c r="AZ480" s="434"/>
      <c r="BA480" s="434"/>
      <c r="BB480" s="434"/>
      <c r="BC480" s="434"/>
      <c r="BD480" s="434"/>
      <c r="BE480" s="434"/>
      <c r="BF480" s="434"/>
    </row>
    <row r="481" spans="4:58" s="578" customFormat="1" ht="28.5" customHeight="1" thickBot="1">
      <c r="D481" s="1229" t="s">
        <v>958</v>
      </c>
      <c r="E481" s="1229"/>
      <c r="G481" s="1168">
        <v>2</v>
      </c>
      <c r="H481" s="1230">
        <v>3</v>
      </c>
      <c r="I481" s="1230"/>
      <c r="J481" s="1169">
        <f>V152+V142</f>
        <v>210100</v>
      </c>
      <c r="K481" s="1170">
        <v>156</v>
      </c>
      <c r="L481" s="1170">
        <v>156</v>
      </c>
      <c r="Q481" s="1151"/>
      <c r="V481" s="1169">
        <f>X152+X142</f>
        <v>0</v>
      </c>
      <c r="W481" s="1163">
        <f t="shared" si="12"/>
        <v>210100</v>
      </c>
      <c r="X481" s="843"/>
      <c r="Y481" s="1151"/>
      <c r="AM481" s="434"/>
      <c r="AN481" s="434"/>
      <c r="AO481" s="434"/>
      <c r="AP481" s="434"/>
      <c r="AQ481" s="434"/>
      <c r="AR481" s="434"/>
      <c r="AS481" s="434"/>
      <c r="AT481" s="434"/>
      <c r="AU481" s="434"/>
      <c r="AV481" s="434"/>
      <c r="AW481" s="434"/>
      <c r="AX481" s="434"/>
      <c r="AY481" s="434"/>
      <c r="AZ481" s="434"/>
      <c r="BA481" s="434"/>
      <c r="BB481" s="434"/>
      <c r="BC481" s="434"/>
      <c r="BD481" s="434"/>
      <c r="BE481" s="434"/>
      <c r="BF481" s="434"/>
    </row>
    <row r="482" spans="4:58" s="578" customFormat="1" ht="24.75" customHeight="1" thickBot="1">
      <c r="D482" s="1227" t="s">
        <v>959</v>
      </c>
      <c r="E482" s="1227"/>
      <c r="G482" s="1175">
        <v>3</v>
      </c>
      <c r="H482" s="1224">
        <v>0</v>
      </c>
      <c r="I482" s="1224"/>
      <c r="J482" s="1176">
        <f>J483+J484+J485+J486</f>
        <v>101611.43</v>
      </c>
      <c r="K482" s="1177">
        <f>K484+K483+K486+K485</f>
        <v>115.22999999999999</v>
      </c>
      <c r="L482" s="1177">
        <f>L484+L483+L486+L485</f>
        <v>115.22999999999999</v>
      </c>
      <c r="Q482" s="1151"/>
      <c r="V482" s="1176">
        <f>V483+V484+V485+V486</f>
        <v>1223680</v>
      </c>
      <c r="W482" s="1163">
        <f t="shared" si="12"/>
        <v>1325291.43</v>
      </c>
      <c r="X482" s="843"/>
      <c r="Y482" s="1151"/>
      <c r="AM482" s="434"/>
      <c r="AN482" s="434"/>
      <c r="AO482" s="434"/>
      <c r="AP482" s="434"/>
      <c r="AQ482" s="434"/>
      <c r="AR482" s="434"/>
      <c r="AS482" s="434"/>
      <c r="AT482" s="434"/>
      <c r="AU482" s="434"/>
      <c r="AV482" s="434"/>
      <c r="AW482" s="434"/>
      <c r="AX482" s="434"/>
      <c r="AY482" s="434"/>
      <c r="AZ482" s="434"/>
      <c r="BA482" s="434"/>
      <c r="BB482" s="434"/>
      <c r="BC482" s="434"/>
      <c r="BD482" s="434"/>
      <c r="BE482" s="434"/>
      <c r="BF482" s="434"/>
    </row>
    <row r="483" spans="4:58" s="578" customFormat="1" ht="13.5" thickBot="1">
      <c r="D483" s="1229" t="s">
        <v>960</v>
      </c>
      <c r="E483" s="1229"/>
      <c r="G483" s="1168">
        <v>3</v>
      </c>
      <c r="H483" s="1230">
        <v>4</v>
      </c>
      <c r="I483" s="1230"/>
      <c r="J483" s="1169">
        <f>V157</f>
        <v>12040</v>
      </c>
      <c r="K483" s="1170">
        <v>9.8</v>
      </c>
      <c r="L483" s="1170">
        <v>9.8</v>
      </c>
      <c r="Q483" s="1151"/>
      <c r="V483" s="1169">
        <f>X157</f>
        <v>0</v>
      </c>
      <c r="W483" s="1163">
        <f t="shared" si="12"/>
        <v>12040</v>
      </c>
      <c r="X483" s="843"/>
      <c r="Y483" s="1151"/>
      <c r="AM483" s="434"/>
      <c r="AN483" s="434"/>
      <c r="AO483" s="434"/>
      <c r="AP483" s="434"/>
      <c r="AQ483" s="434"/>
      <c r="AR483" s="434"/>
      <c r="AS483" s="434"/>
      <c r="AT483" s="434"/>
      <c r="AU483" s="434"/>
      <c r="AV483" s="434"/>
      <c r="AW483" s="434"/>
      <c r="AX483" s="434"/>
      <c r="AY483" s="434"/>
      <c r="AZ483" s="434"/>
      <c r="BA483" s="434"/>
      <c r="BB483" s="434"/>
      <c r="BC483" s="434"/>
      <c r="BD483" s="434"/>
      <c r="BE483" s="434"/>
      <c r="BF483" s="434"/>
    </row>
    <row r="484" spans="4:58" s="578" customFormat="1" ht="58.5" customHeight="1" thickBot="1">
      <c r="D484" s="1233" t="s">
        <v>961</v>
      </c>
      <c r="E484" s="1233"/>
      <c r="G484" s="1168">
        <v>3</v>
      </c>
      <c r="H484" s="1230">
        <v>9</v>
      </c>
      <c r="I484" s="1230"/>
      <c r="J484" s="1169">
        <f>V168</f>
        <v>72000</v>
      </c>
      <c r="K484" s="1170">
        <v>100</v>
      </c>
      <c r="L484" s="1170">
        <v>100</v>
      </c>
      <c r="Q484" s="1151"/>
      <c r="V484" s="1169">
        <f>X168</f>
        <v>773680</v>
      </c>
      <c r="W484" s="1163">
        <f t="shared" si="12"/>
        <v>845680</v>
      </c>
      <c r="X484" s="843"/>
      <c r="AM484" s="434"/>
      <c r="AN484" s="434"/>
      <c r="AO484" s="434"/>
      <c r="AP484" s="434"/>
      <c r="AQ484" s="434"/>
      <c r="AR484" s="434"/>
      <c r="AS484" s="434"/>
      <c r="AT484" s="434"/>
      <c r="AU484" s="434"/>
      <c r="AV484" s="434"/>
      <c r="AW484" s="434"/>
      <c r="AX484" s="434"/>
      <c r="AY484" s="434"/>
      <c r="AZ484" s="434"/>
      <c r="BA484" s="434"/>
      <c r="BB484" s="434"/>
      <c r="BC484" s="434"/>
      <c r="BD484" s="434"/>
      <c r="BE484" s="434"/>
      <c r="BF484" s="434"/>
    </row>
    <row r="485" spans="4:58" s="578" customFormat="1" ht="17.25" customHeight="1" thickBot="1">
      <c r="D485" s="1233" t="s">
        <v>962</v>
      </c>
      <c r="E485" s="1233"/>
      <c r="G485" s="1168">
        <v>3</v>
      </c>
      <c r="H485" s="1230">
        <v>10</v>
      </c>
      <c r="I485" s="1230"/>
      <c r="J485" s="1169">
        <f>V182</f>
        <v>0</v>
      </c>
      <c r="K485" s="1170">
        <v>0</v>
      </c>
      <c r="L485" s="1170">
        <v>0</v>
      </c>
      <c r="Q485" s="1151"/>
      <c r="V485" s="1169">
        <f>X182</f>
        <v>450000</v>
      </c>
      <c r="W485" s="1163">
        <f t="shared" si="12"/>
        <v>450000</v>
      </c>
      <c r="X485" s="843"/>
      <c r="Y485" s="1151"/>
      <c r="AM485" s="434"/>
      <c r="AN485" s="434"/>
      <c r="AO485" s="434"/>
      <c r="AP485" s="434"/>
      <c r="AQ485" s="434"/>
      <c r="AR485" s="434"/>
      <c r="AS485" s="434"/>
      <c r="AT485" s="434"/>
      <c r="AU485" s="434"/>
      <c r="AV485" s="434"/>
      <c r="AW485" s="434"/>
      <c r="AX485" s="434"/>
      <c r="AY485" s="434"/>
      <c r="AZ485" s="434"/>
      <c r="BA485" s="434"/>
      <c r="BB485" s="434"/>
      <c r="BC485" s="434"/>
      <c r="BD485" s="434"/>
      <c r="BE485" s="434"/>
      <c r="BF485" s="434"/>
    </row>
    <row r="486" spans="4:58" s="578" customFormat="1" ht="36" customHeight="1" thickBot="1">
      <c r="D486" s="1229" t="s">
        <v>963</v>
      </c>
      <c r="E486" s="1229"/>
      <c r="G486" s="1168">
        <v>3</v>
      </c>
      <c r="H486" s="1230">
        <v>14</v>
      </c>
      <c r="I486" s="1230"/>
      <c r="J486" s="1169">
        <f>V210+V213</f>
        <v>17571.43</v>
      </c>
      <c r="K486" s="1170">
        <v>5.43</v>
      </c>
      <c r="L486" s="1170">
        <v>5.43</v>
      </c>
      <c r="Q486" s="1151"/>
      <c r="V486" s="1169">
        <f>X210+X213</f>
        <v>0</v>
      </c>
      <c r="W486" s="1163">
        <f t="shared" si="12"/>
        <v>17571.43</v>
      </c>
      <c r="X486" s="843"/>
      <c r="Y486" s="1151"/>
      <c r="AM486" s="434"/>
      <c r="AN486" s="434"/>
      <c r="AO486" s="434"/>
      <c r="AP486" s="434"/>
      <c r="AQ486" s="434"/>
      <c r="AR486" s="434"/>
      <c r="AS486" s="434"/>
      <c r="AT486" s="434"/>
      <c r="AU486" s="434"/>
      <c r="AV486" s="434"/>
      <c r="AW486" s="434"/>
      <c r="AX486" s="434"/>
      <c r="AY486" s="434"/>
      <c r="AZ486" s="434"/>
      <c r="BA486" s="434"/>
      <c r="BB486" s="434"/>
      <c r="BC486" s="434"/>
      <c r="BD486" s="434"/>
      <c r="BE486" s="434"/>
      <c r="BF486" s="434"/>
    </row>
    <row r="487" spans="4:58" s="578" customFormat="1" ht="15.75" customHeight="1" thickBot="1">
      <c r="D487" s="1227" t="s">
        <v>964</v>
      </c>
      <c r="E487" s="1227"/>
      <c r="G487" s="1175">
        <v>4</v>
      </c>
      <c r="H487" s="1224">
        <v>0</v>
      </c>
      <c r="I487" s="1224"/>
      <c r="J487" s="1176">
        <f>J490+J489</f>
        <v>4790539.600000001</v>
      </c>
      <c r="K487" s="1177">
        <f>K490+K489</f>
        <v>2742</v>
      </c>
      <c r="L487" s="1177">
        <f>L490+L489</f>
        <v>2879</v>
      </c>
      <c r="Q487" s="1151"/>
      <c r="V487" s="1176">
        <f>V490+V489</f>
        <v>249595.44000000003</v>
      </c>
      <c r="W487" s="1163">
        <f t="shared" si="12"/>
        <v>5040135.040000001</v>
      </c>
      <c r="X487" s="843"/>
      <c r="Y487" s="1151"/>
      <c r="AM487" s="434"/>
      <c r="AN487" s="434"/>
      <c r="AO487" s="434"/>
      <c r="AP487" s="434"/>
      <c r="AQ487" s="434"/>
      <c r="AR487" s="434"/>
      <c r="AS487" s="434"/>
      <c r="AT487" s="434"/>
      <c r="AU487" s="434"/>
      <c r="AV487" s="434"/>
      <c r="AW487" s="434"/>
      <c r="AX487" s="434"/>
      <c r="AY487" s="434"/>
      <c r="AZ487" s="434"/>
      <c r="BA487" s="434"/>
      <c r="BB487" s="434"/>
      <c r="BC487" s="434"/>
      <c r="BD487" s="434"/>
      <c r="BE487" s="434"/>
      <c r="BF487" s="434"/>
    </row>
    <row r="488" spans="4:58" s="578" customFormat="1" ht="21" customHeight="1" thickBot="1">
      <c r="D488" s="1229" t="s">
        <v>965</v>
      </c>
      <c r="E488" s="1229"/>
      <c r="G488" s="1168">
        <v>4</v>
      </c>
      <c r="H488" s="1230">
        <v>1</v>
      </c>
      <c r="I488" s="1230"/>
      <c r="J488" s="1169">
        <f>V421+V422</f>
        <v>79637.53</v>
      </c>
      <c r="K488" s="1177"/>
      <c r="L488" s="1177"/>
      <c r="Q488" s="1151"/>
      <c r="V488" s="1169">
        <f>X421+X422</f>
        <v>992000</v>
      </c>
      <c r="W488" s="1163">
        <f t="shared" si="12"/>
        <v>1071637.53</v>
      </c>
      <c r="X488" s="843"/>
      <c r="Y488" s="1151"/>
      <c r="AM488" s="434"/>
      <c r="AN488" s="434"/>
      <c r="AO488" s="434"/>
      <c r="AP488" s="434"/>
      <c r="AQ488" s="434"/>
      <c r="AR488" s="434"/>
      <c r="AS488" s="434"/>
      <c r="AT488" s="434"/>
      <c r="AU488" s="434"/>
      <c r="AV488" s="434"/>
      <c r="AW488" s="434"/>
      <c r="AX488" s="434"/>
      <c r="AY488" s="434"/>
      <c r="AZ488" s="434"/>
      <c r="BA488" s="434"/>
      <c r="BB488" s="434"/>
      <c r="BC488" s="434"/>
      <c r="BD488" s="434"/>
      <c r="BE488" s="434"/>
      <c r="BF488" s="434"/>
    </row>
    <row r="489" spans="4:58" s="578" customFormat="1" ht="30" customHeight="1" thickBot="1">
      <c r="D489" s="1229" t="s">
        <v>966</v>
      </c>
      <c r="E489" s="1229"/>
      <c r="G489" s="1168">
        <v>4</v>
      </c>
      <c r="H489" s="1230">
        <v>9</v>
      </c>
      <c r="I489" s="1230"/>
      <c r="J489" s="1169">
        <f>V230+V45</f>
        <v>4712270.2</v>
      </c>
      <c r="K489" s="1170">
        <v>2742</v>
      </c>
      <c r="L489" s="1170">
        <v>2879</v>
      </c>
      <c r="Q489" s="1151"/>
      <c r="V489" s="1169">
        <f>X230+X45</f>
        <v>0</v>
      </c>
      <c r="W489" s="1163">
        <f t="shared" si="12"/>
        <v>4712270.2</v>
      </c>
      <c r="X489" s="843"/>
      <c r="Y489" s="1151"/>
      <c r="AM489" s="434"/>
      <c r="AN489" s="434"/>
      <c r="AO489" s="434"/>
      <c r="AP489" s="434"/>
      <c r="AQ489" s="434"/>
      <c r="AR489" s="434"/>
      <c r="AS489" s="434"/>
      <c r="AT489" s="434"/>
      <c r="AU489" s="434"/>
      <c r="AV489" s="434"/>
      <c r="AW489" s="434"/>
      <c r="AX489" s="434"/>
      <c r="AY489" s="434"/>
      <c r="AZ489" s="434"/>
      <c r="BA489" s="434"/>
      <c r="BB489" s="434"/>
      <c r="BC489" s="434"/>
      <c r="BD489" s="434"/>
      <c r="BE489" s="434"/>
      <c r="BF489" s="434"/>
    </row>
    <row r="490" spans="4:58" s="578" customFormat="1" ht="16.5" customHeight="1" thickBot="1">
      <c r="D490" s="1229" t="s">
        <v>967</v>
      </c>
      <c r="E490" s="1229"/>
      <c r="G490" s="1168">
        <v>4</v>
      </c>
      <c r="H490" s="1230">
        <v>10</v>
      </c>
      <c r="I490" s="1230"/>
      <c r="J490" s="1169">
        <f>V242</f>
        <v>78269.4</v>
      </c>
      <c r="K490" s="1170">
        <v>0</v>
      </c>
      <c r="L490" s="1170">
        <v>0</v>
      </c>
      <c r="Q490" s="1151"/>
      <c r="V490" s="1169">
        <f>X242</f>
        <v>249595.44000000003</v>
      </c>
      <c r="W490" s="1163">
        <f t="shared" si="12"/>
        <v>327864.84</v>
      </c>
      <c r="X490" s="843"/>
      <c r="Y490" s="1151"/>
      <c r="AM490" s="434"/>
      <c r="AN490" s="434"/>
      <c r="AO490" s="434"/>
      <c r="AP490" s="434"/>
      <c r="AQ490" s="434"/>
      <c r="AR490" s="434"/>
      <c r="AS490" s="434"/>
      <c r="AT490" s="434"/>
      <c r="AU490" s="434"/>
      <c r="AV490" s="434"/>
      <c r="AW490" s="434"/>
      <c r="AX490" s="434"/>
      <c r="AY490" s="434"/>
      <c r="AZ490" s="434"/>
      <c r="BA490" s="434"/>
      <c r="BB490" s="434"/>
      <c r="BC490" s="434"/>
      <c r="BD490" s="434"/>
      <c r="BE490" s="434"/>
      <c r="BF490" s="434"/>
    </row>
    <row r="491" spans="4:58" s="578" customFormat="1" ht="28.5" customHeight="1" thickBot="1">
      <c r="D491" s="1229" t="s">
        <v>968</v>
      </c>
      <c r="E491" s="1229"/>
      <c r="G491" s="1168">
        <v>4</v>
      </c>
      <c r="H491" s="1230">
        <v>12</v>
      </c>
      <c r="I491" s="1230"/>
      <c r="J491" s="1169"/>
      <c r="K491" s="1170">
        <v>0</v>
      </c>
      <c r="L491" s="1170">
        <v>0</v>
      </c>
      <c r="Q491" s="1151"/>
      <c r="V491" s="1169"/>
      <c r="W491" s="1163">
        <f t="shared" si="12"/>
        <v>0</v>
      </c>
      <c r="X491" s="843"/>
      <c r="Y491" s="1151"/>
      <c r="AM491" s="434"/>
      <c r="AN491" s="434"/>
      <c r="AO491" s="434"/>
      <c r="AP491" s="434"/>
      <c r="AQ491" s="434"/>
      <c r="AR491" s="434"/>
      <c r="AS491" s="434"/>
      <c r="AT491" s="434"/>
      <c r="AU491" s="434"/>
      <c r="AV491" s="434"/>
      <c r="AW491" s="434"/>
      <c r="AX491" s="434"/>
      <c r="AY491" s="434"/>
      <c r="AZ491" s="434"/>
      <c r="BA491" s="434"/>
      <c r="BB491" s="434"/>
      <c r="BC491" s="434"/>
      <c r="BD491" s="434"/>
      <c r="BE491" s="434"/>
      <c r="BF491" s="434"/>
    </row>
    <row r="492" spans="4:58" s="578" customFormat="1" ht="20.25" customHeight="1" thickBot="1">
      <c r="D492" s="1227" t="s">
        <v>969</v>
      </c>
      <c r="E492" s="1227"/>
      <c r="G492" s="1175">
        <v>5</v>
      </c>
      <c r="H492" s="1224">
        <v>0</v>
      </c>
      <c r="I492" s="1224"/>
      <c r="J492" s="1176">
        <f>J493+J496+J497</f>
        <v>28602431.68</v>
      </c>
      <c r="K492" s="1177">
        <f>K493+K496+K497</f>
        <v>10567.42953</v>
      </c>
      <c r="L492" s="1177">
        <f>L493+L496+L497</f>
        <v>11888.67304</v>
      </c>
      <c r="Q492" s="1151"/>
      <c r="V492" s="1176">
        <f>V493+V496+V497</f>
        <v>1579200</v>
      </c>
      <c r="W492" s="1163">
        <f t="shared" si="12"/>
        <v>30181631.68</v>
      </c>
      <c r="X492" s="843"/>
      <c r="Y492" s="1151"/>
      <c r="AM492" s="434"/>
      <c r="AN492" s="434"/>
      <c r="AO492" s="434"/>
      <c r="AP492" s="434"/>
      <c r="AQ492" s="434"/>
      <c r="AR492" s="434"/>
      <c r="AS492" s="434"/>
      <c r="AT492" s="434"/>
      <c r="AU492" s="434"/>
      <c r="AV492" s="434"/>
      <c r="AW492" s="434"/>
      <c r="AX492" s="434"/>
      <c r="AY492" s="434"/>
      <c r="AZ492" s="434"/>
      <c r="BA492" s="434"/>
      <c r="BB492" s="434"/>
      <c r="BC492" s="434"/>
      <c r="BD492" s="434"/>
      <c r="BE492" s="434"/>
      <c r="BF492" s="434"/>
    </row>
    <row r="493" spans="4:58" s="578" customFormat="1" ht="13.5" customHeight="1" thickBot="1">
      <c r="D493" s="1231" t="s">
        <v>970</v>
      </c>
      <c r="E493" s="1231"/>
      <c r="G493" s="1178">
        <v>5</v>
      </c>
      <c r="H493" s="1232">
        <v>1</v>
      </c>
      <c r="I493" s="1232"/>
      <c r="J493" s="1179">
        <f>V249+V262+V46</f>
        <v>3663270</v>
      </c>
      <c r="K493" s="1180">
        <v>5405.03153</v>
      </c>
      <c r="L493" s="1180">
        <v>5659.67304</v>
      </c>
      <c r="Q493" s="1151"/>
      <c r="V493" s="1179">
        <f>X249+X262+X46</f>
        <v>200000</v>
      </c>
      <c r="W493" s="1163">
        <f t="shared" si="12"/>
        <v>3863270</v>
      </c>
      <c r="X493" s="843"/>
      <c r="Y493" s="1151"/>
      <c r="AM493" s="434"/>
      <c r="AN493" s="434"/>
      <c r="AO493" s="434"/>
      <c r="AP493" s="434"/>
      <c r="AQ493" s="434"/>
      <c r="AR493" s="434"/>
      <c r="AS493" s="434"/>
      <c r="AT493" s="434"/>
      <c r="AU493" s="434"/>
      <c r="AV493" s="434"/>
      <c r="AW493" s="434"/>
      <c r="AX493" s="434"/>
      <c r="AY493" s="434"/>
      <c r="AZ493" s="434"/>
      <c r="BA493" s="434"/>
      <c r="BB493" s="434"/>
      <c r="BC493" s="434"/>
      <c r="BD493" s="434"/>
      <c r="BE493" s="434"/>
      <c r="BF493" s="434"/>
    </row>
    <row r="494" spans="4:58" s="578" customFormat="1" ht="0.75" customHeight="1" thickBot="1">
      <c r="D494" s="1228" t="s">
        <v>971</v>
      </c>
      <c r="E494" s="1228"/>
      <c r="G494" s="1181">
        <v>5</v>
      </c>
      <c r="H494" s="1182">
        <v>1</v>
      </c>
      <c r="I494" s="1120"/>
      <c r="J494" s="1183"/>
      <c r="K494" s="1184">
        <v>212</v>
      </c>
      <c r="L494" s="1184">
        <v>212</v>
      </c>
      <c r="Q494" s="1151"/>
      <c r="V494" s="1183"/>
      <c r="W494" s="1163">
        <f t="shared" si="12"/>
        <v>0</v>
      </c>
      <c r="X494" s="843"/>
      <c r="Y494" s="1151"/>
      <c r="AM494" s="434"/>
      <c r="AN494" s="434"/>
      <c r="AO494" s="434"/>
      <c r="AP494" s="434"/>
      <c r="AQ494" s="434"/>
      <c r="AR494" s="434"/>
      <c r="AS494" s="434"/>
      <c r="AT494" s="434"/>
      <c r="AU494" s="434"/>
      <c r="AV494" s="434"/>
      <c r="AW494" s="434"/>
      <c r="AX494" s="434"/>
      <c r="AY494" s="434"/>
      <c r="AZ494" s="434"/>
      <c r="BA494" s="434"/>
      <c r="BB494" s="434"/>
      <c r="BC494" s="434"/>
      <c r="BD494" s="434"/>
      <c r="BE494" s="434"/>
      <c r="BF494" s="434"/>
    </row>
    <row r="495" spans="4:58" s="578" customFormat="1" ht="25.5" customHeight="1" hidden="1">
      <c r="D495" s="1228" t="s">
        <v>972</v>
      </c>
      <c r="E495" s="1228"/>
      <c r="G495" s="1181">
        <v>5</v>
      </c>
      <c r="H495" s="1182">
        <v>1</v>
      </c>
      <c r="I495" s="1120"/>
      <c r="J495" s="1183"/>
      <c r="K495" s="1184">
        <v>75</v>
      </c>
      <c r="L495" s="1184">
        <v>75</v>
      </c>
      <c r="Q495" s="1151"/>
      <c r="V495" s="1183"/>
      <c r="W495" s="1163">
        <f t="shared" si="12"/>
        <v>0</v>
      </c>
      <c r="X495" s="843"/>
      <c r="Y495" s="1151"/>
      <c r="AM495" s="434"/>
      <c r="AN495" s="434"/>
      <c r="AO495" s="434"/>
      <c r="AP495" s="434"/>
      <c r="AQ495" s="434"/>
      <c r="AR495" s="434"/>
      <c r="AS495" s="434"/>
      <c r="AT495" s="434"/>
      <c r="AU495" s="434"/>
      <c r="AV495" s="434"/>
      <c r="AW495" s="434"/>
      <c r="AX495" s="434"/>
      <c r="AY495" s="434"/>
      <c r="AZ495" s="434"/>
      <c r="BA495" s="434"/>
      <c r="BB495" s="434"/>
      <c r="BC495" s="434"/>
      <c r="BD495" s="434"/>
      <c r="BE495" s="434"/>
      <c r="BF495" s="434"/>
    </row>
    <row r="496" spans="4:58" s="578" customFormat="1" ht="16.5" customHeight="1" thickBot="1">
      <c r="D496" s="1231" t="s">
        <v>973</v>
      </c>
      <c r="E496" s="1231"/>
      <c r="G496" s="1178">
        <v>5</v>
      </c>
      <c r="H496" s="1232">
        <v>2</v>
      </c>
      <c r="I496" s="1232"/>
      <c r="J496" s="1179">
        <f>V271+V47+V48</f>
        <v>24639161.68</v>
      </c>
      <c r="K496" s="1180">
        <v>4660</v>
      </c>
      <c r="L496" s="1180">
        <v>5879</v>
      </c>
      <c r="Q496" s="1151"/>
      <c r="V496" s="1179">
        <f>X271+X47+X48</f>
        <v>0</v>
      </c>
      <c r="W496" s="1163">
        <f t="shared" si="12"/>
        <v>24639161.68</v>
      </c>
      <c r="X496" s="843"/>
      <c r="Y496" s="1151"/>
      <c r="AM496" s="434"/>
      <c r="AN496" s="434"/>
      <c r="AO496" s="434"/>
      <c r="AP496" s="434"/>
      <c r="AQ496" s="434"/>
      <c r="AR496" s="434"/>
      <c r="AS496" s="434"/>
      <c r="AT496" s="434"/>
      <c r="AU496" s="434"/>
      <c r="AV496" s="434"/>
      <c r="AW496" s="434"/>
      <c r="AX496" s="434"/>
      <c r="AY496" s="434"/>
      <c r="AZ496" s="434"/>
      <c r="BA496" s="434"/>
      <c r="BB496" s="434"/>
      <c r="BC496" s="434"/>
      <c r="BD496" s="434"/>
      <c r="BE496" s="434"/>
      <c r="BF496" s="434"/>
    </row>
    <row r="497" spans="4:58" s="578" customFormat="1" ht="11.25" customHeight="1" thickBot="1">
      <c r="D497" s="1231" t="s">
        <v>974</v>
      </c>
      <c r="E497" s="1231"/>
      <c r="G497" s="1178">
        <v>5</v>
      </c>
      <c r="H497" s="1232">
        <v>3</v>
      </c>
      <c r="I497" s="1232"/>
      <c r="J497" s="1179">
        <f>V295+V322+V331+V317+V301</f>
        <v>300000</v>
      </c>
      <c r="K497" s="1180">
        <v>502.398</v>
      </c>
      <c r="L497" s="1180">
        <v>350</v>
      </c>
      <c r="Q497" s="1151"/>
      <c r="V497" s="1179">
        <f>X295+X322+X331+X317+X301+X299+X303+X304</f>
        <v>1379200</v>
      </c>
      <c r="W497" s="1163">
        <f t="shared" si="12"/>
        <v>1679200</v>
      </c>
      <c r="X497" s="843"/>
      <c r="Y497" s="1151"/>
      <c r="AM497" s="434"/>
      <c r="AN497" s="434"/>
      <c r="AO497" s="434"/>
      <c r="AP497" s="434"/>
      <c r="AQ497" s="434"/>
      <c r="AR497" s="434"/>
      <c r="AS497" s="434"/>
      <c r="AT497" s="434"/>
      <c r="AU497" s="434"/>
      <c r="AV497" s="434"/>
      <c r="AW497" s="434"/>
      <c r="AX497" s="434"/>
      <c r="AY497" s="434"/>
      <c r="AZ497" s="434"/>
      <c r="BA497" s="434"/>
      <c r="BB497" s="434"/>
      <c r="BC497" s="434"/>
      <c r="BD497" s="434"/>
      <c r="BE497" s="434"/>
      <c r="BF497" s="434"/>
    </row>
    <row r="498" spans="4:58" s="578" customFormat="1" ht="0.75" customHeight="1" hidden="1">
      <c r="D498" s="1228" t="s">
        <v>975</v>
      </c>
      <c r="E498" s="1228"/>
      <c r="G498" s="1181">
        <v>5</v>
      </c>
      <c r="H498" s="1182">
        <v>3</v>
      </c>
      <c r="I498" s="1120"/>
      <c r="J498" s="1183"/>
      <c r="K498" s="1184"/>
      <c r="L498" s="1184"/>
      <c r="Q498" s="1151"/>
      <c r="V498" s="1183"/>
      <c r="W498" s="1163">
        <f t="shared" si="12"/>
        <v>0</v>
      </c>
      <c r="X498" s="843"/>
      <c r="Y498" s="1151"/>
      <c r="AM498" s="434"/>
      <c r="AN498" s="434"/>
      <c r="AO498" s="434"/>
      <c r="AP498" s="434"/>
      <c r="AQ498" s="434"/>
      <c r="AR498" s="434"/>
      <c r="AS498" s="434"/>
      <c r="AT498" s="434"/>
      <c r="AU498" s="434"/>
      <c r="AV498" s="434"/>
      <c r="AW498" s="434"/>
      <c r="AX498" s="434"/>
      <c r="AY498" s="434"/>
      <c r="AZ498" s="434"/>
      <c r="BA498" s="434"/>
      <c r="BB498" s="434"/>
      <c r="BC498" s="434"/>
      <c r="BD498" s="434"/>
      <c r="BE498" s="434"/>
      <c r="BF498" s="434"/>
    </row>
    <row r="499" spans="4:58" s="578" customFormat="1" ht="14.25" customHeight="1" hidden="1">
      <c r="D499" s="1228" t="s">
        <v>976</v>
      </c>
      <c r="E499" s="1228"/>
      <c r="G499" s="1181">
        <v>5</v>
      </c>
      <c r="H499" s="1182">
        <v>3</v>
      </c>
      <c r="I499" s="1120"/>
      <c r="J499" s="1183"/>
      <c r="K499" s="1184"/>
      <c r="L499" s="1184"/>
      <c r="Q499" s="1151"/>
      <c r="V499" s="1183"/>
      <c r="W499" s="1163">
        <f t="shared" si="12"/>
        <v>0</v>
      </c>
      <c r="X499" s="843"/>
      <c r="Y499" s="1151"/>
      <c r="AM499" s="434"/>
      <c r="AN499" s="434"/>
      <c r="AO499" s="434"/>
      <c r="AP499" s="434"/>
      <c r="AQ499" s="434"/>
      <c r="AR499" s="434"/>
      <c r="AS499" s="434"/>
      <c r="AT499" s="434"/>
      <c r="AU499" s="434"/>
      <c r="AV499" s="434"/>
      <c r="AW499" s="434"/>
      <c r="AX499" s="434"/>
      <c r="AY499" s="434"/>
      <c r="AZ499" s="434"/>
      <c r="BA499" s="434"/>
      <c r="BB499" s="434"/>
      <c r="BC499" s="434"/>
      <c r="BD499" s="434"/>
      <c r="BE499" s="434"/>
      <c r="BF499" s="434"/>
    </row>
    <row r="500" spans="4:58" s="578" customFormat="1" ht="42.75" customHeight="1" hidden="1">
      <c r="D500" s="1228" t="s">
        <v>977</v>
      </c>
      <c r="E500" s="1228"/>
      <c r="G500" s="1181">
        <v>5</v>
      </c>
      <c r="H500" s="1182">
        <v>3</v>
      </c>
      <c r="I500" s="1120"/>
      <c r="J500" s="1183"/>
      <c r="K500" s="1184">
        <v>7659</v>
      </c>
      <c r="L500" s="1184">
        <v>7659</v>
      </c>
      <c r="Q500" s="1151"/>
      <c r="V500" s="1183"/>
      <c r="W500" s="1163">
        <f t="shared" si="12"/>
        <v>0</v>
      </c>
      <c r="X500" s="843"/>
      <c r="Y500" s="1151"/>
      <c r="AM500" s="434"/>
      <c r="AN500" s="434"/>
      <c r="AO500" s="434"/>
      <c r="AP500" s="434"/>
      <c r="AQ500" s="434"/>
      <c r="AR500" s="434"/>
      <c r="AS500" s="434"/>
      <c r="AT500" s="434"/>
      <c r="AU500" s="434"/>
      <c r="AV500" s="434"/>
      <c r="AW500" s="434"/>
      <c r="AX500" s="434"/>
      <c r="AY500" s="434"/>
      <c r="AZ500" s="434"/>
      <c r="BA500" s="434"/>
      <c r="BB500" s="434"/>
      <c r="BC500" s="434"/>
      <c r="BD500" s="434"/>
      <c r="BE500" s="434"/>
      <c r="BF500" s="434"/>
    </row>
    <row r="501" spans="4:58" s="578" customFormat="1" ht="16.5" customHeight="1" thickBot="1">
      <c r="D501" s="1227" t="s">
        <v>978</v>
      </c>
      <c r="E501" s="1227"/>
      <c r="G501" s="1175">
        <v>8</v>
      </c>
      <c r="H501" s="1224">
        <v>0</v>
      </c>
      <c r="I501" s="1224"/>
      <c r="J501" s="1176">
        <f>J502+J503</f>
        <v>4191325</v>
      </c>
      <c r="K501" s="1177">
        <f>K502+K503+K522+K523+K524</f>
        <v>5447.412</v>
      </c>
      <c r="L501" s="1177">
        <f>L502+L503+L522+L523+L524</f>
        <v>5298.18666</v>
      </c>
      <c r="Q501" s="1151"/>
      <c r="V501" s="1176">
        <f>V502+V503</f>
        <v>5819702.18</v>
      </c>
      <c r="W501" s="1163">
        <f t="shared" si="12"/>
        <v>10011027.18</v>
      </c>
      <c r="X501" s="843"/>
      <c r="Y501" s="1151"/>
      <c r="AM501" s="434"/>
      <c r="AN501" s="434"/>
      <c r="AO501" s="434"/>
      <c r="AP501" s="434"/>
      <c r="AQ501" s="434"/>
      <c r="AR501" s="434"/>
      <c r="AS501" s="434"/>
      <c r="AT501" s="434"/>
      <c r="AU501" s="434"/>
      <c r="AV501" s="434"/>
      <c r="AW501" s="434"/>
      <c r="AX501" s="434"/>
      <c r="AY501" s="434"/>
      <c r="AZ501" s="434"/>
      <c r="BA501" s="434"/>
      <c r="BB501" s="434"/>
      <c r="BC501" s="434"/>
      <c r="BD501" s="434"/>
      <c r="BE501" s="434"/>
      <c r="BF501" s="434"/>
    </row>
    <row r="502" spans="4:58" s="578" customFormat="1" ht="13.5" thickBot="1">
      <c r="D502" s="1229" t="s">
        <v>979</v>
      </c>
      <c r="E502" s="1229"/>
      <c r="G502" s="1168">
        <v>8</v>
      </c>
      <c r="H502" s="1230">
        <v>1</v>
      </c>
      <c r="I502" s="1230"/>
      <c r="J502" s="1169">
        <f>V379</f>
        <v>3836114</v>
      </c>
      <c r="K502" s="1170">
        <v>4996.92</v>
      </c>
      <c r="L502" s="1170">
        <v>4828.16466</v>
      </c>
      <c r="Q502" s="1151"/>
      <c r="V502" s="1169">
        <f>X379</f>
        <v>814188.59</v>
      </c>
      <c r="W502" s="1163">
        <f t="shared" si="12"/>
        <v>4650302.59</v>
      </c>
      <c r="X502" s="843"/>
      <c r="Y502" s="1151"/>
      <c r="AM502" s="434"/>
      <c r="AN502" s="434"/>
      <c r="AO502" s="434"/>
      <c r="AP502" s="434"/>
      <c r="AQ502" s="434"/>
      <c r="AR502" s="434"/>
      <c r="AS502" s="434"/>
      <c r="AT502" s="434"/>
      <c r="AU502" s="434"/>
      <c r="AV502" s="434"/>
      <c r="AW502" s="434"/>
      <c r="AX502" s="434"/>
      <c r="AY502" s="434"/>
      <c r="AZ502" s="434"/>
      <c r="BA502" s="434"/>
      <c r="BB502" s="434"/>
      <c r="BC502" s="434"/>
      <c r="BD502" s="434"/>
      <c r="BE502" s="434"/>
      <c r="BF502" s="434"/>
    </row>
    <row r="503" spans="4:58" s="578" customFormat="1" ht="13.5" thickBot="1">
      <c r="D503" s="1229" t="s">
        <v>980</v>
      </c>
      <c r="E503" s="1229"/>
      <c r="G503" s="1168">
        <v>8</v>
      </c>
      <c r="H503" s="1230">
        <v>2</v>
      </c>
      <c r="I503" s="1230"/>
      <c r="J503" s="1169">
        <f>V392</f>
        <v>355211</v>
      </c>
      <c r="K503" s="1170">
        <v>450.492</v>
      </c>
      <c r="L503" s="1170">
        <v>470.022</v>
      </c>
      <c r="Q503" s="1151"/>
      <c r="V503" s="1169">
        <f>W392</f>
        <v>5005513.59</v>
      </c>
      <c r="W503" s="1163">
        <f t="shared" si="12"/>
        <v>5360724.59</v>
      </c>
      <c r="X503" s="843"/>
      <c r="Y503" s="1151"/>
      <c r="AM503" s="434"/>
      <c r="AN503" s="434"/>
      <c r="AO503" s="434"/>
      <c r="AP503" s="434"/>
      <c r="AQ503" s="434"/>
      <c r="AR503" s="434"/>
      <c r="AS503" s="434"/>
      <c r="AT503" s="434"/>
      <c r="AU503" s="434"/>
      <c r="AV503" s="434"/>
      <c r="AW503" s="434"/>
      <c r="AX503" s="434"/>
      <c r="AY503" s="434"/>
      <c r="AZ503" s="434"/>
      <c r="BA503" s="434"/>
      <c r="BB503" s="434"/>
      <c r="BC503" s="434"/>
      <c r="BD503" s="434"/>
      <c r="BE503" s="434"/>
      <c r="BF503" s="434"/>
    </row>
    <row r="504" spans="4:58" s="578" customFormat="1" ht="15" customHeight="1" thickBot="1">
      <c r="D504" s="1223" t="s">
        <v>981</v>
      </c>
      <c r="E504" s="1223"/>
      <c r="G504" s="1185" t="s">
        <v>982</v>
      </c>
      <c r="H504" s="1224">
        <v>0</v>
      </c>
      <c r="I504" s="1224"/>
      <c r="J504" s="1176">
        <f>J505</f>
        <v>60000</v>
      </c>
      <c r="K504" s="1177">
        <f>K505</f>
        <v>120</v>
      </c>
      <c r="L504" s="1177">
        <f>L505</f>
        <v>120</v>
      </c>
      <c r="Q504" s="1151"/>
      <c r="V504" s="1176">
        <f>V505</f>
        <v>87500</v>
      </c>
      <c r="W504" s="1163">
        <f t="shared" si="12"/>
        <v>147500</v>
      </c>
      <c r="X504" s="843"/>
      <c r="Y504" s="1151"/>
      <c r="AM504" s="434"/>
      <c r="AN504" s="434"/>
      <c r="AO504" s="434"/>
      <c r="AP504" s="434"/>
      <c r="AQ504" s="434"/>
      <c r="AR504" s="434"/>
      <c r="AS504" s="434"/>
      <c r="AT504" s="434"/>
      <c r="AU504" s="434"/>
      <c r="AV504" s="434"/>
      <c r="AW504" s="434"/>
      <c r="AX504" s="434"/>
      <c r="AY504" s="434"/>
      <c r="AZ504" s="434"/>
      <c r="BA504" s="434"/>
      <c r="BB504" s="434"/>
      <c r="BC504" s="434"/>
      <c r="BD504" s="434"/>
      <c r="BE504" s="434"/>
      <c r="BF504" s="434"/>
    </row>
    <row r="505" spans="4:58" s="578" customFormat="1" ht="15.75" customHeight="1" thickBot="1">
      <c r="D505" s="1225" t="s">
        <v>983</v>
      </c>
      <c r="E505" s="1225"/>
      <c r="G505" s="1186" t="s">
        <v>982</v>
      </c>
      <c r="H505" s="1226" t="s">
        <v>984</v>
      </c>
      <c r="I505" s="1226"/>
      <c r="J505" s="1187">
        <f>V400</f>
        <v>60000</v>
      </c>
      <c r="K505" s="1188">
        <v>120</v>
      </c>
      <c r="L505" s="1188">
        <v>120</v>
      </c>
      <c r="Q505" s="1151"/>
      <c r="V505" s="1187">
        <f>X400</f>
        <v>87500</v>
      </c>
      <c r="W505" s="1163">
        <f t="shared" si="12"/>
        <v>147500</v>
      </c>
      <c r="X505" s="843"/>
      <c r="Y505" s="1151"/>
      <c r="AM505" s="434"/>
      <c r="AN505" s="434"/>
      <c r="AO505" s="434"/>
      <c r="AP505" s="434"/>
      <c r="AQ505" s="434"/>
      <c r="AR505" s="434"/>
      <c r="AS505" s="434"/>
      <c r="AT505" s="434"/>
      <c r="AU505" s="434"/>
      <c r="AV505" s="434"/>
      <c r="AW505" s="434"/>
      <c r="AX505" s="434"/>
      <c r="AY505" s="434"/>
      <c r="AZ505" s="434"/>
      <c r="BA505" s="434"/>
      <c r="BB505" s="434"/>
      <c r="BC505" s="434"/>
      <c r="BD505" s="434"/>
      <c r="BE505" s="434"/>
      <c r="BF505" s="434"/>
    </row>
    <row r="506" spans="4:58" s="578" customFormat="1" ht="16.5" customHeight="1" thickBot="1">
      <c r="D506" s="1227" t="s">
        <v>985</v>
      </c>
      <c r="E506" s="1227"/>
      <c r="G506" s="1189">
        <v>11</v>
      </c>
      <c r="H506" s="1224">
        <v>0</v>
      </c>
      <c r="I506" s="1224"/>
      <c r="J506" s="1176">
        <f>J507</f>
        <v>1677000</v>
      </c>
      <c r="K506" s="1177">
        <f>K507</f>
        <v>1165.3</v>
      </c>
      <c r="L506" s="1177">
        <f>L507</f>
        <v>1165.3</v>
      </c>
      <c r="Q506" s="1151"/>
      <c r="V506" s="1176">
        <f>V507</f>
        <v>177406.738</v>
      </c>
      <c r="W506" s="1163">
        <f t="shared" si="12"/>
        <v>1854406.738</v>
      </c>
      <c r="X506" s="843"/>
      <c r="Y506" s="1151"/>
      <c r="AM506" s="434"/>
      <c r="AN506" s="434"/>
      <c r="AO506" s="434"/>
      <c r="AP506" s="434"/>
      <c r="AQ506" s="434"/>
      <c r="AR506" s="434"/>
      <c r="AS506" s="434"/>
      <c r="AT506" s="434"/>
      <c r="AU506" s="434"/>
      <c r="AV506" s="434"/>
      <c r="AW506" s="434"/>
      <c r="AX506" s="434"/>
      <c r="AY506" s="434"/>
      <c r="AZ506" s="434"/>
      <c r="BA506" s="434"/>
      <c r="BB506" s="434"/>
      <c r="BC506" s="434"/>
      <c r="BD506" s="434"/>
      <c r="BE506" s="434"/>
      <c r="BF506" s="434"/>
    </row>
    <row r="507" spans="4:58" s="578" customFormat="1" ht="14.25" customHeight="1" thickBot="1">
      <c r="D507" s="1217" t="s">
        <v>986</v>
      </c>
      <c r="E507" s="1217"/>
      <c r="G507" s="1190">
        <v>11</v>
      </c>
      <c r="H507" s="1218">
        <v>1</v>
      </c>
      <c r="I507" s="1218"/>
      <c r="J507" s="1191">
        <f>V406+V417++V412</f>
        <v>1677000</v>
      </c>
      <c r="K507" s="1192">
        <v>1165.3</v>
      </c>
      <c r="L507" s="1192">
        <v>1165.3</v>
      </c>
      <c r="Q507" s="1151"/>
      <c r="V507" s="1191">
        <f>X406+X417+X412</f>
        <v>177406.738</v>
      </c>
      <c r="W507" s="1163">
        <f t="shared" si="12"/>
        <v>1854406.738</v>
      </c>
      <c r="X507" s="843"/>
      <c r="Y507" s="1151"/>
      <c r="AM507" s="434"/>
      <c r="AN507" s="434"/>
      <c r="AO507" s="434"/>
      <c r="AP507" s="434"/>
      <c r="AQ507" s="434"/>
      <c r="AR507" s="434"/>
      <c r="AS507" s="434"/>
      <c r="AT507" s="434"/>
      <c r="AU507" s="434"/>
      <c r="AV507" s="434"/>
      <c r="AW507" s="434"/>
      <c r="AX507" s="434"/>
      <c r="AY507" s="434"/>
      <c r="AZ507" s="434"/>
      <c r="BA507" s="434"/>
      <c r="BB507" s="434"/>
      <c r="BC507" s="434"/>
      <c r="BD507" s="434"/>
      <c r="BE507" s="434"/>
      <c r="BF507" s="434"/>
    </row>
    <row r="508" spans="4:58" s="578" customFormat="1" ht="13.5" thickBot="1">
      <c r="D508" s="1219" t="s">
        <v>987</v>
      </c>
      <c r="E508" s="1220"/>
      <c r="F508" s="1193"/>
      <c r="G508" s="1194"/>
      <c r="H508" s="1221"/>
      <c r="I508" s="1222"/>
      <c r="J508" s="1195">
        <f>J474+J480+J482+J487+J492+J501+J504+J506+J488</f>
        <v>49943362.24</v>
      </c>
      <c r="K508" s="1196">
        <f>K474+K480+K482+K487+K492+K501+K504+K506</f>
        <v>31369.699</v>
      </c>
      <c r="L508" s="1196">
        <f>L474+L480+L482+L487+L492+L501+L504+L506</f>
        <v>33631.499</v>
      </c>
      <c r="M508" s="1193"/>
      <c r="N508" s="1193"/>
      <c r="O508" s="1193"/>
      <c r="P508" s="1193"/>
      <c r="Q508" s="1197"/>
      <c r="R508" s="1193"/>
      <c r="S508" s="1193"/>
      <c r="T508" s="1193"/>
      <c r="U508" s="1193"/>
      <c r="V508" s="1195">
        <f>V474+V480+V482+V487+V492+V501+V504+V506+V488</f>
        <v>14798859.01728</v>
      </c>
      <c r="W508" s="1163">
        <f t="shared" si="12"/>
        <v>64742221.25728</v>
      </c>
      <c r="X508" s="843">
        <v>58577962.48</v>
      </c>
      <c r="Y508" s="1151">
        <f>W508-X508</f>
        <v>6164258.777280003</v>
      </c>
      <c r="AM508" s="434"/>
      <c r="AN508" s="434"/>
      <c r="AO508" s="434"/>
      <c r="AP508" s="434"/>
      <c r="AQ508" s="434"/>
      <c r="AR508" s="434"/>
      <c r="AS508" s="434"/>
      <c r="AT508" s="434"/>
      <c r="AU508" s="434"/>
      <c r="AV508" s="434"/>
      <c r="AW508" s="434"/>
      <c r="AX508" s="434"/>
      <c r="AY508" s="434"/>
      <c r="AZ508" s="434"/>
      <c r="BA508" s="434"/>
      <c r="BB508" s="434"/>
      <c r="BC508" s="434"/>
      <c r="BD508" s="434"/>
      <c r="BE508" s="434"/>
      <c r="BF508" s="434"/>
    </row>
    <row r="509" spans="10:58" s="578" customFormat="1" ht="12.75">
      <c r="J509" s="1087">
        <v>64533587.28</v>
      </c>
      <c r="Q509" s="1151"/>
      <c r="V509" s="578">
        <v>3996884.79</v>
      </c>
      <c r="X509" s="843"/>
      <c r="Y509" s="1151"/>
      <c r="AM509" s="434"/>
      <c r="AN509" s="434"/>
      <c r="AO509" s="434"/>
      <c r="AP509" s="434"/>
      <c r="AQ509" s="434"/>
      <c r="AR509" s="434"/>
      <c r="AS509" s="434"/>
      <c r="AT509" s="434"/>
      <c r="AU509" s="434"/>
      <c r="AV509" s="434"/>
      <c r="AW509" s="434"/>
      <c r="AX509" s="434"/>
      <c r="AY509" s="434"/>
      <c r="AZ509" s="434"/>
      <c r="BA509" s="434"/>
      <c r="BB509" s="434"/>
      <c r="BC509" s="434"/>
      <c r="BD509" s="434"/>
      <c r="BE509" s="434"/>
      <c r="BF509" s="434"/>
    </row>
    <row r="510" spans="4:58" s="578" customFormat="1" ht="12.75">
      <c r="D510" s="1216"/>
      <c r="E510" s="1216"/>
      <c r="J510" s="1191">
        <f>J509-J508</f>
        <v>14590225.04</v>
      </c>
      <c r="Q510" s="1151"/>
      <c r="X510" s="843"/>
      <c r="Y510" s="1151"/>
      <c r="AM510" s="434"/>
      <c r="AN510" s="434"/>
      <c r="AO510" s="434"/>
      <c r="AP510" s="434"/>
      <c r="AQ510" s="434"/>
      <c r="AR510" s="434"/>
      <c r="AS510" s="434"/>
      <c r="AT510" s="434"/>
      <c r="AU510" s="434"/>
      <c r="AV510" s="434"/>
      <c r="AW510" s="434"/>
      <c r="AX510" s="434"/>
      <c r="AY510" s="434"/>
      <c r="AZ510" s="434"/>
      <c r="BA510" s="434"/>
      <c r="BB510" s="434"/>
      <c r="BC510" s="434"/>
      <c r="BD510" s="434"/>
      <c r="BE510" s="434"/>
      <c r="BF510" s="434"/>
    </row>
    <row r="511" spans="4:58" s="578" customFormat="1" ht="12.75">
      <c r="D511" s="1216"/>
      <c r="E511" s="1216"/>
      <c r="J511" s="1198"/>
      <c r="Q511" s="1151"/>
      <c r="X511" s="843"/>
      <c r="Y511" s="1151"/>
      <c r="AM511" s="434"/>
      <c r="AN511" s="434"/>
      <c r="AO511" s="434"/>
      <c r="AP511" s="434"/>
      <c r="AQ511" s="434"/>
      <c r="AR511" s="434"/>
      <c r="AS511" s="434"/>
      <c r="AT511" s="434"/>
      <c r="AU511" s="434"/>
      <c r="AV511" s="434"/>
      <c r="AW511" s="434"/>
      <c r="AX511" s="434"/>
      <c r="AY511" s="434"/>
      <c r="AZ511" s="434"/>
      <c r="BA511" s="434"/>
      <c r="BB511" s="434"/>
      <c r="BC511" s="434"/>
      <c r="BD511" s="434"/>
      <c r="BE511" s="434"/>
      <c r="BF511" s="434"/>
    </row>
    <row r="512" spans="4:58" s="578" customFormat="1" ht="12.75">
      <c r="D512" s="1216"/>
      <c r="E512" s="1216"/>
      <c r="J512" s="1198"/>
      <c r="Q512" s="1151"/>
      <c r="X512" s="843"/>
      <c r="Y512" s="1151"/>
      <c r="AM512" s="434"/>
      <c r="AN512" s="434"/>
      <c r="AO512" s="434"/>
      <c r="AP512" s="434"/>
      <c r="AQ512" s="434"/>
      <c r="AR512" s="434"/>
      <c r="AS512" s="434"/>
      <c r="AT512" s="434"/>
      <c r="AU512" s="434"/>
      <c r="AV512" s="434"/>
      <c r="AW512" s="434"/>
      <c r="AX512" s="434"/>
      <c r="AY512" s="434"/>
      <c r="AZ512" s="434"/>
      <c r="BA512" s="434"/>
      <c r="BB512" s="434"/>
      <c r="BC512" s="434"/>
      <c r="BD512" s="434"/>
      <c r="BE512" s="434"/>
      <c r="BF512" s="434"/>
    </row>
    <row r="513" spans="4:58" s="578" customFormat="1" ht="12.75">
      <c r="D513" s="1216"/>
      <c r="E513" s="1216"/>
      <c r="J513" s="1198"/>
      <c r="Q513" s="1151"/>
      <c r="X513" s="843"/>
      <c r="Y513" s="1151"/>
      <c r="AM513" s="434"/>
      <c r="AN513" s="434"/>
      <c r="AO513" s="434"/>
      <c r="AP513" s="434"/>
      <c r="AQ513" s="434"/>
      <c r="AR513" s="434"/>
      <c r="AS513" s="434"/>
      <c r="AT513" s="434"/>
      <c r="AU513" s="434"/>
      <c r="AV513" s="434"/>
      <c r="AW513" s="434"/>
      <c r="AX513" s="434"/>
      <c r="AY513" s="434"/>
      <c r="AZ513" s="434"/>
      <c r="BA513" s="434"/>
      <c r="BB513" s="434"/>
      <c r="BC513" s="434"/>
      <c r="BD513" s="434"/>
      <c r="BE513" s="434"/>
      <c r="BF513" s="434"/>
    </row>
    <row r="514" spans="4:58" s="578" customFormat="1" ht="12.75">
      <c r="D514" s="1216"/>
      <c r="E514" s="1216"/>
      <c r="J514" s="1198"/>
      <c r="Q514" s="1151"/>
      <c r="X514" s="843"/>
      <c r="Y514" s="1151"/>
      <c r="AM514" s="434"/>
      <c r="AN514" s="434"/>
      <c r="AO514" s="434"/>
      <c r="AP514" s="434"/>
      <c r="AQ514" s="434"/>
      <c r="AR514" s="434"/>
      <c r="AS514" s="434"/>
      <c r="AT514" s="434"/>
      <c r="AU514" s="434"/>
      <c r="AV514" s="434"/>
      <c r="AW514" s="434"/>
      <c r="AX514" s="434"/>
      <c r="AY514" s="434"/>
      <c r="AZ514" s="434"/>
      <c r="BA514" s="434"/>
      <c r="BB514" s="434"/>
      <c r="BC514" s="434"/>
      <c r="BD514" s="434"/>
      <c r="BE514" s="434"/>
      <c r="BF514" s="434"/>
    </row>
    <row r="515" spans="4:58" s="578" customFormat="1" ht="12.75">
      <c r="D515" s="1216"/>
      <c r="E515" s="1216"/>
      <c r="J515" s="1198"/>
      <c r="Q515" s="1151"/>
      <c r="X515" s="843"/>
      <c r="Y515" s="1151"/>
      <c r="AM515" s="434"/>
      <c r="AN515" s="434"/>
      <c r="AO515" s="434"/>
      <c r="AP515" s="434"/>
      <c r="AQ515" s="434"/>
      <c r="AR515" s="434"/>
      <c r="AS515" s="434"/>
      <c r="AT515" s="434"/>
      <c r="AU515" s="434"/>
      <c r="AV515" s="434"/>
      <c r="AW515" s="434"/>
      <c r="AX515" s="434"/>
      <c r="AY515" s="434"/>
      <c r="AZ515" s="434"/>
      <c r="BA515" s="434"/>
      <c r="BB515" s="434"/>
      <c r="BC515" s="434"/>
      <c r="BD515" s="434"/>
      <c r="BE515" s="434"/>
      <c r="BF515" s="434"/>
    </row>
    <row r="516" spans="4:58" s="578" customFormat="1" ht="12.75">
      <c r="D516" s="1216"/>
      <c r="E516" s="1216"/>
      <c r="J516" s="1198"/>
      <c r="Q516" s="1151"/>
      <c r="X516" s="843"/>
      <c r="Y516" s="1151"/>
      <c r="AM516" s="434"/>
      <c r="AN516" s="434"/>
      <c r="AO516" s="434"/>
      <c r="AP516" s="434"/>
      <c r="AQ516" s="434"/>
      <c r="AR516" s="434"/>
      <c r="AS516" s="434"/>
      <c r="AT516" s="434"/>
      <c r="AU516" s="434"/>
      <c r="AV516" s="434"/>
      <c r="AW516" s="434"/>
      <c r="AX516" s="434"/>
      <c r="AY516" s="434"/>
      <c r="AZ516" s="434"/>
      <c r="BA516" s="434"/>
      <c r="BB516" s="434"/>
      <c r="BC516" s="434"/>
      <c r="BD516" s="434"/>
      <c r="BE516" s="434"/>
      <c r="BF516" s="434"/>
    </row>
    <row r="517" spans="10:58" s="578" customFormat="1" ht="12.75">
      <c r="J517" s="1198"/>
      <c r="Q517" s="1151"/>
      <c r="X517" s="843"/>
      <c r="Y517" s="1151"/>
      <c r="AM517" s="434"/>
      <c r="AN517" s="434"/>
      <c r="AO517" s="434"/>
      <c r="AP517" s="434"/>
      <c r="AQ517" s="434"/>
      <c r="AR517" s="434"/>
      <c r="AS517" s="434"/>
      <c r="AT517" s="434"/>
      <c r="AU517" s="434"/>
      <c r="AV517" s="434"/>
      <c r="AW517" s="434"/>
      <c r="AX517" s="434"/>
      <c r="AY517" s="434"/>
      <c r="AZ517" s="434"/>
      <c r="BA517" s="434"/>
      <c r="BB517" s="434"/>
      <c r="BC517" s="434"/>
      <c r="BD517" s="434"/>
      <c r="BE517" s="434"/>
      <c r="BF517" s="434"/>
    </row>
    <row r="518" spans="10:58" s="578" customFormat="1" ht="12.75">
      <c r="J518" s="1198"/>
      <c r="Q518" s="1151"/>
      <c r="X518" s="843"/>
      <c r="Y518" s="1151"/>
      <c r="AM518" s="434"/>
      <c r="AN518" s="434"/>
      <c r="AO518" s="434"/>
      <c r="AP518" s="434"/>
      <c r="AQ518" s="434"/>
      <c r="AR518" s="434"/>
      <c r="AS518" s="434"/>
      <c r="AT518" s="434"/>
      <c r="AU518" s="434"/>
      <c r="AV518" s="434"/>
      <c r="AW518" s="434"/>
      <c r="AX518" s="434"/>
      <c r="AY518" s="434"/>
      <c r="AZ518" s="434"/>
      <c r="BA518" s="434"/>
      <c r="BB518" s="434"/>
      <c r="BC518" s="434"/>
      <c r="BD518" s="434"/>
      <c r="BE518" s="434"/>
      <c r="BF518" s="434"/>
    </row>
    <row r="519" spans="10:58" s="578" customFormat="1" ht="12.75">
      <c r="J519" s="1198"/>
      <c r="Q519" s="1151"/>
      <c r="X519" s="843"/>
      <c r="Y519" s="1151"/>
      <c r="AM519" s="434"/>
      <c r="AN519" s="434"/>
      <c r="AO519" s="434"/>
      <c r="AP519" s="434"/>
      <c r="AQ519" s="434"/>
      <c r="AR519" s="434"/>
      <c r="AS519" s="434"/>
      <c r="AT519" s="434"/>
      <c r="AU519" s="434"/>
      <c r="AV519" s="434"/>
      <c r="AW519" s="434"/>
      <c r="AX519" s="434"/>
      <c r="AY519" s="434"/>
      <c r="AZ519" s="434"/>
      <c r="BA519" s="434"/>
      <c r="BB519" s="434"/>
      <c r="BC519" s="434"/>
      <c r="BD519" s="434"/>
      <c r="BE519" s="434"/>
      <c r="BF519" s="434"/>
    </row>
    <row r="520" spans="10:58" s="578" customFormat="1" ht="12.75">
      <c r="J520" s="1198"/>
      <c r="Q520" s="1151"/>
      <c r="X520" s="843"/>
      <c r="Y520" s="1151"/>
      <c r="AM520" s="434"/>
      <c r="AN520" s="434"/>
      <c r="AO520" s="434"/>
      <c r="AP520" s="434"/>
      <c r="AQ520" s="434"/>
      <c r="AR520" s="434"/>
      <c r="AS520" s="434"/>
      <c r="AT520" s="434"/>
      <c r="AU520" s="434"/>
      <c r="AV520" s="434"/>
      <c r="AW520" s="434"/>
      <c r="AX520" s="434"/>
      <c r="AY520" s="434"/>
      <c r="AZ520" s="434"/>
      <c r="BA520" s="434"/>
      <c r="BB520" s="434"/>
      <c r="BC520" s="434"/>
      <c r="BD520" s="434"/>
      <c r="BE520" s="434"/>
      <c r="BF520" s="434"/>
    </row>
    <row r="521" spans="10:58" s="578" customFormat="1" ht="12.75">
      <c r="J521" s="1198"/>
      <c r="Q521" s="1151"/>
      <c r="X521" s="843"/>
      <c r="Y521" s="1151"/>
      <c r="AM521" s="434"/>
      <c r="AN521" s="434"/>
      <c r="AO521" s="434"/>
      <c r="AP521" s="434"/>
      <c r="AQ521" s="434"/>
      <c r="AR521" s="434"/>
      <c r="AS521" s="434"/>
      <c r="AT521" s="434"/>
      <c r="AU521" s="434"/>
      <c r="AV521" s="434"/>
      <c r="AW521" s="434"/>
      <c r="AX521" s="434"/>
      <c r="AY521" s="434"/>
      <c r="AZ521" s="434"/>
      <c r="BA521" s="434"/>
      <c r="BB521" s="434"/>
      <c r="BC521" s="434"/>
      <c r="BD521" s="434"/>
      <c r="BE521" s="434"/>
      <c r="BF521" s="434"/>
    </row>
    <row r="522" spans="10:58" s="578" customFormat="1" ht="12.75">
      <c r="J522" s="1198"/>
      <c r="Q522" s="1151"/>
      <c r="X522" s="843"/>
      <c r="Y522" s="1151"/>
      <c r="AM522" s="434"/>
      <c r="AN522" s="434"/>
      <c r="AO522" s="434"/>
      <c r="AP522" s="434"/>
      <c r="AQ522" s="434"/>
      <c r="AR522" s="434"/>
      <c r="AS522" s="434"/>
      <c r="AT522" s="434"/>
      <c r="AU522" s="434"/>
      <c r="AV522" s="434"/>
      <c r="AW522" s="434"/>
      <c r="AX522" s="434"/>
      <c r="AY522" s="434"/>
      <c r="AZ522" s="434"/>
      <c r="BA522" s="434"/>
      <c r="BB522" s="434"/>
      <c r="BC522" s="434"/>
      <c r="BD522" s="434"/>
      <c r="BE522" s="434"/>
      <c r="BF522" s="434"/>
    </row>
    <row r="523" spans="10:58" s="578" customFormat="1" ht="12.75">
      <c r="J523" s="1198"/>
      <c r="Q523" s="1151"/>
      <c r="X523" s="843"/>
      <c r="Y523" s="1151"/>
      <c r="AM523" s="434"/>
      <c r="AN523" s="434"/>
      <c r="AO523" s="434"/>
      <c r="AP523" s="434"/>
      <c r="AQ523" s="434"/>
      <c r="AR523" s="434"/>
      <c r="AS523" s="434"/>
      <c r="AT523" s="434"/>
      <c r="AU523" s="434"/>
      <c r="AV523" s="434"/>
      <c r="AW523" s="434"/>
      <c r="AX523" s="434"/>
      <c r="AY523" s="434"/>
      <c r="AZ523" s="434"/>
      <c r="BA523" s="434"/>
      <c r="BB523" s="434"/>
      <c r="BC523" s="434"/>
      <c r="BD523" s="434"/>
      <c r="BE523" s="434"/>
      <c r="BF523" s="434"/>
    </row>
    <row r="524" spans="10:58" s="578" customFormat="1" ht="12.75">
      <c r="J524" s="1198"/>
      <c r="Q524" s="1151"/>
      <c r="X524" s="843"/>
      <c r="Y524" s="1151"/>
      <c r="AM524" s="434"/>
      <c r="AN524" s="434"/>
      <c r="AO524" s="434"/>
      <c r="AP524" s="434"/>
      <c r="AQ524" s="434"/>
      <c r="AR524" s="434"/>
      <c r="AS524" s="434"/>
      <c r="AT524" s="434"/>
      <c r="AU524" s="434"/>
      <c r="AV524" s="434"/>
      <c r="AW524" s="434"/>
      <c r="AX524" s="434"/>
      <c r="AY524" s="434"/>
      <c r="AZ524" s="434"/>
      <c r="BA524" s="434"/>
      <c r="BB524" s="434"/>
      <c r="BC524" s="434"/>
      <c r="BD524" s="434"/>
      <c r="BE524" s="434"/>
      <c r="BF524" s="434"/>
    </row>
    <row r="525" spans="10:58" s="578" customFormat="1" ht="12.75">
      <c r="J525" s="1198"/>
      <c r="Q525" s="1151"/>
      <c r="X525" s="843"/>
      <c r="Y525" s="1151"/>
      <c r="AM525" s="434"/>
      <c r="AN525" s="434"/>
      <c r="AO525" s="434"/>
      <c r="AP525" s="434"/>
      <c r="AQ525" s="434"/>
      <c r="AR525" s="434"/>
      <c r="AS525" s="434"/>
      <c r="AT525" s="434"/>
      <c r="AU525" s="434"/>
      <c r="AV525" s="434"/>
      <c r="AW525" s="434"/>
      <c r="AX525" s="434"/>
      <c r="AY525" s="434"/>
      <c r="AZ525" s="434"/>
      <c r="BA525" s="434"/>
      <c r="BB525" s="434"/>
      <c r="BC525" s="434"/>
      <c r="BD525" s="434"/>
      <c r="BE525" s="434"/>
      <c r="BF525" s="434"/>
    </row>
    <row r="526" spans="10:58" s="578" customFormat="1" ht="12.75">
      <c r="J526" s="1198"/>
      <c r="Q526" s="1151"/>
      <c r="X526" s="843"/>
      <c r="Y526" s="1151"/>
      <c r="AM526" s="434"/>
      <c r="AN526" s="434"/>
      <c r="AO526" s="434"/>
      <c r="AP526" s="434"/>
      <c r="AQ526" s="434"/>
      <c r="AR526" s="434"/>
      <c r="AS526" s="434"/>
      <c r="AT526" s="434"/>
      <c r="AU526" s="434"/>
      <c r="AV526" s="434"/>
      <c r="AW526" s="434"/>
      <c r="AX526" s="434"/>
      <c r="AY526" s="434"/>
      <c r="AZ526" s="434"/>
      <c r="BA526" s="434"/>
      <c r="BB526" s="434"/>
      <c r="BC526" s="434"/>
      <c r="BD526" s="434"/>
      <c r="BE526" s="434"/>
      <c r="BF526" s="434"/>
    </row>
    <row r="527" spans="10:58" s="578" customFormat="1" ht="12.75">
      <c r="J527" s="1198"/>
      <c r="Q527" s="1151"/>
      <c r="X527" s="843"/>
      <c r="Y527" s="1151"/>
      <c r="AM527" s="434"/>
      <c r="AN527" s="434"/>
      <c r="AO527" s="434"/>
      <c r="AP527" s="434"/>
      <c r="AQ527" s="434"/>
      <c r="AR527" s="434"/>
      <c r="AS527" s="434"/>
      <c r="AT527" s="434"/>
      <c r="AU527" s="434"/>
      <c r="AV527" s="434"/>
      <c r="AW527" s="434"/>
      <c r="AX527" s="434"/>
      <c r="AY527" s="434"/>
      <c r="AZ527" s="434"/>
      <c r="BA527" s="434"/>
      <c r="BB527" s="434"/>
      <c r="BC527" s="434"/>
      <c r="BD527" s="434"/>
      <c r="BE527" s="434"/>
      <c r="BF527" s="434"/>
    </row>
    <row r="528" spans="10:58" s="578" customFormat="1" ht="12.75">
      <c r="J528" s="1198"/>
      <c r="Q528" s="1151"/>
      <c r="X528" s="843"/>
      <c r="Y528" s="1151"/>
      <c r="AM528" s="434"/>
      <c r="AN528" s="434"/>
      <c r="AO528" s="434"/>
      <c r="AP528" s="434"/>
      <c r="AQ528" s="434"/>
      <c r="AR528" s="434"/>
      <c r="AS528" s="434"/>
      <c r="AT528" s="434"/>
      <c r="AU528" s="434"/>
      <c r="AV528" s="434"/>
      <c r="AW528" s="434"/>
      <c r="AX528" s="434"/>
      <c r="AY528" s="434"/>
      <c r="AZ528" s="434"/>
      <c r="BA528" s="434"/>
      <c r="BB528" s="434"/>
      <c r="BC528" s="434"/>
      <c r="BD528" s="434"/>
      <c r="BE528" s="434"/>
      <c r="BF528" s="434"/>
    </row>
    <row r="529" spans="10:58" s="578" customFormat="1" ht="12.75">
      <c r="J529" s="1198"/>
      <c r="Q529" s="1151"/>
      <c r="X529" s="843"/>
      <c r="Y529" s="1151"/>
      <c r="AM529" s="434"/>
      <c r="AN529" s="434"/>
      <c r="AO529" s="434"/>
      <c r="AP529" s="434"/>
      <c r="AQ529" s="434"/>
      <c r="AR529" s="434"/>
      <c r="AS529" s="434"/>
      <c r="AT529" s="434"/>
      <c r="AU529" s="434"/>
      <c r="AV529" s="434"/>
      <c r="AW529" s="434"/>
      <c r="AX529" s="434"/>
      <c r="AY529" s="434"/>
      <c r="AZ529" s="434"/>
      <c r="BA529" s="434"/>
      <c r="BB529" s="434"/>
      <c r="BC529" s="434"/>
      <c r="BD529" s="434"/>
      <c r="BE529" s="434"/>
      <c r="BF529" s="434"/>
    </row>
    <row r="530" spans="10:58" s="578" customFormat="1" ht="12.75">
      <c r="J530" s="1198"/>
      <c r="Q530" s="1151"/>
      <c r="X530" s="843"/>
      <c r="Y530" s="1151"/>
      <c r="AM530" s="434"/>
      <c r="AN530" s="434"/>
      <c r="AO530" s="434"/>
      <c r="AP530" s="434"/>
      <c r="AQ530" s="434"/>
      <c r="AR530" s="434"/>
      <c r="AS530" s="434"/>
      <c r="AT530" s="434"/>
      <c r="AU530" s="434"/>
      <c r="AV530" s="434"/>
      <c r="AW530" s="434"/>
      <c r="AX530" s="434"/>
      <c r="AY530" s="434"/>
      <c r="AZ530" s="434"/>
      <c r="BA530" s="434"/>
      <c r="BB530" s="434"/>
      <c r="BC530" s="434"/>
      <c r="BD530" s="434"/>
      <c r="BE530" s="434"/>
      <c r="BF530" s="434"/>
    </row>
    <row r="531" spans="10:58" s="578" customFormat="1" ht="12.75">
      <c r="J531" s="1198"/>
      <c r="Q531" s="1151"/>
      <c r="X531" s="843"/>
      <c r="Y531" s="1151"/>
      <c r="AM531" s="434"/>
      <c r="AN531" s="434"/>
      <c r="AO531" s="434"/>
      <c r="AP531" s="434"/>
      <c r="AQ531" s="434"/>
      <c r="AR531" s="434"/>
      <c r="AS531" s="434"/>
      <c r="AT531" s="434"/>
      <c r="AU531" s="434"/>
      <c r="AV531" s="434"/>
      <c r="AW531" s="434"/>
      <c r="AX531" s="434"/>
      <c r="AY531" s="434"/>
      <c r="AZ531" s="434"/>
      <c r="BA531" s="434"/>
      <c r="BB531" s="434"/>
      <c r="BC531" s="434"/>
      <c r="BD531" s="434"/>
      <c r="BE531" s="434"/>
      <c r="BF531" s="434"/>
    </row>
    <row r="532" spans="10:58" s="578" customFormat="1" ht="12.75">
      <c r="J532" s="1198"/>
      <c r="Q532" s="1151"/>
      <c r="X532" s="843"/>
      <c r="Y532" s="1151"/>
      <c r="AM532" s="434"/>
      <c r="AN532" s="434"/>
      <c r="AO532" s="434"/>
      <c r="AP532" s="434"/>
      <c r="AQ532" s="434"/>
      <c r="AR532" s="434"/>
      <c r="AS532" s="434"/>
      <c r="AT532" s="434"/>
      <c r="AU532" s="434"/>
      <c r="AV532" s="434"/>
      <c r="AW532" s="434"/>
      <c r="AX532" s="434"/>
      <c r="AY532" s="434"/>
      <c r="AZ532" s="434"/>
      <c r="BA532" s="434"/>
      <c r="BB532" s="434"/>
      <c r="BC532" s="434"/>
      <c r="BD532" s="434"/>
      <c r="BE532" s="434"/>
      <c r="BF532" s="434"/>
    </row>
    <row r="533" spans="10:58" s="578" customFormat="1" ht="12.75">
      <c r="J533" s="1198"/>
      <c r="Q533" s="1151"/>
      <c r="X533" s="843"/>
      <c r="Y533" s="1151"/>
      <c r="AM533" s="434"/>
      <c r="AN533" s="434"/>
      <c r="AO533" s="434"/>
      <c r="AP533" s="434"/>
      <c r="AQ533" s="434"/>
      <c r="AR533" s="434"/>
      <c r="AS533" s="434"/>
      <c r="AT533" s="434"/>
      <c r="AU533" s="434"/>
      <c r="AV533" s="434"/>
      <c r="AW533" s="434"/>
      <c r="AX533" s="434"/>
      <c r="AY533" s="434"/>
      <c r="AZ533" s="434"/>
      <c r="BA533" s="434"/>
      <c r="BB533" s="434"/>
      <c r="BC533" s="434"/>
      <c r="BD533" s="434"/>
      <c r="BE533" s="434"/>
      <c r="BF533" s="434"/>
    </row>
    <row r="534" spans="10:58" s="578" customFormat="1" ht="12.75">
      <c r="J534" s="1198"/>
      <c r="Q534" s="1151"/>
      <c r="X534" s="843"/>
      <c r="Y534" s="1151"/>
      <c r="AM534" s="434"/>
      <c r="AN534" s="434"/>
      <c r="AO534" s="434"/>
      <c r="AP534" s="434"/>
      <c r="AQ534" s="434"/>
      <c r="AR534" s="434"/>
      <c r="AS534" s="434"/>
      <c r="AT534" s="434"/>
      <c r="AU534" s="434"/>
      <c r="AV534" s="434"/>
      <c r="AW534" s="434"/>
      <c r="AX534" s="434"/>
      <c r="AY534" s="434"/>
      <c r="AZ534" s="434"/>
      <c r="BA534" s="434"/>
      <c r="BB534" s="434"/>
      <c r="BC534" s="434"/>
      <c r="BD534" s="434"/>
      <c r="BE534" s="434"/>
      <c r="BF534" s="434"/>
    </row>
    <row r="535" spans="10:58" s="578" customFormat="1" ht="12.75">
      <c r="J535" s="1198"/>
      <c r="Q535" s="1151"/>
      <c r="X535" s="843"/>
      <c r="Y535" s="1151"/>
      <c r="AM535" s="434"/>
      <c r="AN535" s="434"/>
      <c r="AO535" s="434"/>
      <c r="AP535" s="434"/>
      <c r="AQ535" s="434"/>
      <c r="AR535" s="434"/>
      <c r="AS535" s="434"/>
      <c r="AT535" s="434"/>
      <c r="AU535" s="434"/>
      <c r="AV535" s="434"/>
      <c r="AW535" s="434"/>
      <c r="AX535" s="434"/>
      <c r="AY535" s="434"/>
      <c r="AZ535" s="434"/>
      <c r="BA535" s="434"/>
      <c r="BB535" s="434"/>
      <c r="BC535" s="434"/>
      <c r="BD535" s="434"/>
      <c r="BE535" s="434"/>
      <c r="BF535" s="434"/>
    </row>
    <row r="536" spans="10:58" s="578" customFormat="1" ht="12.75">
      <c r="J536" s="1198"/>
      <c r="Q536" s="1151"/>
      <c r="X536" s="843"/>
      <c r="Y536" s="1151"/>
      <c r="AM536" s="434"/>
      <c r="AN536" s="434"/>
      <c r="AO536" s="434"/>
      <c r="AP536" s="434"/>
      <c r="AQ536" s="434"/>
      <c r="AR536" s="434"/>
      <c r="AS536" s="434"/>
      <c r="AT536" s="434"/>
      <c r="AU536" s="434"/>
      <c r="AV536" s="434"/>
      <c r="AW536" s="434"/>
      <c r="AX536" s="434"/>
      <c r="AY536" s="434"/>
      <c r="AZ536" s="434"/>
      <c r="BA536" s="434"/>
      <c r="BB536" s="434"/>
      <c r="BC536" s="434"/>
      <c r="BD536" s="434"/>
      <c r="BE536" s="434"/>
      <c r="BF536" s="434"/>
    </row>
    <row r="537" spans="10:58" s="578" customFormat="1" ht="12.75">
      <c r="J537" s="1198"/>
      <c r="Q537" s="1151"/>
      <c r="X537" s="843"/>
      <c r="Y537" s="1151"/>
      <c r="AM537" s="434"/>
      <c r="AN537" s="434"/>
      <c r="AO537" s="434"/>
      <c r="AP537" s="434"/>
      <c r="AQ537" s="434"/>
      <c r="AR537" s="434"/>
      <c r="AS537" s="434"/>
      <c r="AT537" s="434"/>
      <c r="AU537" s="434"/>
      <c r="AV537" s="434"/>
      <c r="AW537" s="434"/>
      <c r="AX537" s="434"/>
      <c r="AY537" s="434"/>
      <c r="AZ537" s="434"/>
      <c r="BA537" s="434"/>
      <c r="BB537" s="434"/>
      <c r="BC537" s="434"/>
      <c r="BD537" s="434"/>
      <c r="BE537" s="434"/>
      <c r="BF537" s="434"/>
    </row>
    <row r="538" spans="10:58" s="578" customFormat="1" ht="12.75">
      <c r="J538" s="1198"/>
      <c r="Q538" s="1151"/>
      <c r="X538" s="843"/>
      <c r="Y538" s="1151"/>
      <c r="AM538" s="434"/>
      <c r="AN538" s="434"/>
      <c r="AO538" s="434"/>
      <c r="AP538" s="434"/>
      <c r="AQ538" s="434"/>
      <c r="AR538" s="434"/>
      <c r="AS538" s="434"/>
      <c r="AT538" s="434"/>
      <c r="AU538" s="434"/>
      <c r="AV538" s="434"/>
      <c r="AW538" s="434"/>
      <c r="AX538" s="434"/>
      <c r="AY538" s="434"/>
      <c r="AZ538" s="434"/>
      <c r="BA538" s="434"/>
      <c r="BB538" s="434"/>
      <c r="BC538" s="434"/>
      <c r="BD538" s="434"/>
      <c r="BE538" s="434"/>
      <c r="BF538" s="434"/>
    </row>
    <row r="539" spans="10:58" s="578" customFormat="1" ht="12.75">
      <c r="J539" s="1198"/>
      <c r="Q539" s="1151"/>
      <c r="X539" s="843"/>
      <c r="Y539" s="1151"/>
      <c r="AM539" s="434"/>
      <c r="AN539" s="434"/>
      <c r="AO539" s="434"/>
      <c r="AP539" s="434"/>
      <c r="AQ539" s="434"/>
      <c r="AR539" s="434"/>
      <c r="AS539" s="434"/>
      <c r="AT539" s="434"/>
      <c r="AU539" s="434"/>
      <c r="AV539" s="434"/>
      <c r="AW539" s="434"/>
      <c r="AX539" s="434"/>
      <c r="AY539" s="434"/>
      <c r="AZ539" s="434"/>
      <c r="BA539" s="434"/>
      <c r="BB539" s="434"/>
      <c r="BC539" s="434"/>
      <c r="BD539" s="434"/>
      <c r="BE539" s="434"/>
      <c r="BF539" s="434"/>
    </row>
    <row r="540" spans="10:58" s="578" customFormat="1" ht="12.75">
      <c r="J540" s="1198"/>
      <c r="Q540" s="1151"/>
      <c r="X540" s="843"/>
      <c r="Y540" s="1151"/>
      <c r="AM540" s="434"/>
      <c r="AN540" s="434"/>
      <c r="AO540" s="434"/>
      <c r="AP540" s="434"/>
      <c r="AQ540" s="434"/>
      <c r="AR540" s="434"/>
      <c r="AS540" s="434"/>
      <c r="AT540" s="434"/>
      <c r="AU540" s="434"/>
      <c r="AV540" s="434"/>
      <c r="AW540" s="434"/>
      <c r="AX540" s="434"/>
      <c r="AY540" s="434"/>
      <c r="AZ540" s="434"/>
      <c r="BA540" s="434"/>
      <c r="BB540" s="434"/>
      <c r="BC540" s="434"/>
      <c r="BD540" s="434"/>
      <c r="BE540" s="434"/>
      <c r="BF540" s="434"/>
    </row>
    <row r="541" spans="10:58" s="578" customFormat="1" ht="12.75">
      <c r="J541" s="1198"/>
      <c r="Q541" s="1151"/>
      <c r="X541" s="843"/>
      <c r="Y541" s="1151"/>
      <c r="AM541" s="434"/>
      <c r="AN541" s="434"/>
      <c r="AO541" s="434"/>
      <c r="AP541" s="434"/>
      <c r="AQ541" s="434"/>
      <c r="AR541" s="434"/>
      <c r="AS541" s="434"/>
      <c r="AT541" s="434"/>
      <c r="AU541" s="434"/>
      <c r="AV541" s="434"/>
      <c r="AW541" s="434"/>
      <c r="AX541" s="434"/>
      <c r="AY541" s="434"/>
      <c r="AZ541" s="434"/>
      <c r="BA541" s="434"/>
      <c r="BB541" s="434"/>
      <c r="BC541" s="434"/>
      <c r="BD541" s="434"/>
      <c r="BE541" s="434"/>
      <c r="BF541" s="434"/>
    </row>
    <row r="542" spans="10:58" s="578" customFormat="1" ht="12.75">
      <c r="J542" s="1198"/>
      <c r="Q542" s="1151"/>
      <c r="X542" s="843"/>
      <c r="Y542" s="1151"/>
      <c r="AM542" s="434"/>
      <c r="AN542" s="434"/>
      <c r="AO542" s="434"/>
      <c r="AP542" s="434"/>
      <c r="AQ542" s="434"/>
      <c r="AR542" s="434"/>
      <c r="AS542" s="434"/>
      <c r="AT542" s="434"/>
      <c r="AU542" s="434"/>
      <c r="AV542" s="434"/>
      <c r="AW542" s="434"/>
      <c r="AX542" s="434"/>
      <c r="AY542" s="434"/>
      <c r="AZ542" s="434"/>
      <c r="BA542" s="434"/>
      <c r="BB542" s="434"/>
      <c r="BC542" s="434"/>
      <c r="BD542" s="434"/>
      <c r="BE542" s="434"/>
      <c r="BF542" s="434"/>
    </row>
    <row r="543" spans="10:58" s="578" customFormat="1" ht="12.75">
      <c r="J543" s="1198"/>
      <c r="Q543" s="1151"/>
      <c r="X543" s="843"/>
      <c r="Y543" s="1151"/>
      <c r="AM543" s="434"/>
      <c r="AN543" s="434"/>
      <c r="AO543" s="434"/>
      <c r="AP543" s="434"/>
      <c r="AQ543" s="434"/>
      <c r="AR543" s="434"/>
      <c r="AS543" s="434"/>
      <c r="AT543" s="434"/>
      <c r="AU543" s="434"/>
      <c r="AV543" s="434"/>
      <c r="AW543" s="434"/>
      <c r="AX543" s="434"/>
      <c r="AY543" s="434"/>
      <c r="AZ543" s="434"/>
      <c r="BA543" s="434"/>
      <c r="BB543" s="434"/>
      <c r="BC543" s="434"/>
      <c r="BD543" s="434"/>
      <c r="BE543" s="434"/>
      <c r="BF543" s="434"/>
    </row>
    <row r="544" spans="10:58" s="578" customFormat="1" ht="12.75">
      <c r="J544" s="1198"/>
      <c r="Q544" s="1151"/>
      <c r="X544" s="843"/>
      <c r="Y544" s="1151"/>
      <c r="AM544" s="434"/>
      <c r="AN544" s="434"/>
      <c r="AO544" s="434"/>
      <c r="AP544" s="434"/>
      <c r="AQ544" s="434"/>
      <c r="AR544" s="434"/>
      <c r="AS544" s="434"/>
      <c r="AT544" s="434"/>
      <c r="AU544" s="434"/>
      <c r="AV544" s="434"/>
      <c r="AW544" s="434"/>
      <c r="AX544" s="434"/>
      <c r="AY544" s="434"/>
      <c r="AZ544" s="434"/>
      <c r="BA544" s="434"/>
      <c r="BB544" s="434"/>
      <c r="BC544" s="434"/>
      <c r="BD544" s="434"/>
      <c r="BE544" s="434"/>
      <c r="BF544" s="434"/>
    </row>
    <row r="545" spans="10:58" s="578" customFormat="1" ht="12.75">
      <c r="J545" s="1198"/>
      <c r="Q545" s="1151"/>
      <c r="X545" s="843"/>
      <c r="Y545" s="1151"/>
      <c r="AM545" s="434"/>
      <c r="AN545" s="434"/>
      <c r="AO545" s="434"/>
      <c r="AP545" s="434"/>
      <c r="AQ545" s="434"/>
      <c r="AR545" s="434"/>
      <c r="AS545" s="434"/>
      <c r="AT545" s="434"/>
      <c r="AU545" s="434"/>
      <c r="AV545" s="434"/>
      <c r="AW545" s="434"/>
      <c r="AX545" s="434"/>
      <c r="AY545" s="434"/>
      <c r="AZ545" s="434"/>
      <c r="BA545" s="434"/>
      <c r="BB545" s="434"/>
      <c r="BC545" s="434"/>
      <c r="BD545" s="434"/>
      <c r="BE545" s="434"/>
      <c r="BF545" s="434"/>
    </row>
    <row r="546" spans="10:58" s="578" customFormat="1" ht="12.75">
      <c r="J546" s="1198"/>
      <c r="Q546" s="1151"/>
      <c r="X546" s="843"/>
      <c r="Y546" s="1151"/>
      <c r="AM546" s="434"/>
      <c r="AN546" s="434"/>
      <c r="AO546" s="434"/>
      <c r="AP546" s="434"/>
      <c r="AQ546" s="434"/>
      <c r="AR546" s="434"/>
      <c r="AS546" s="434"/>
      <c r="AT546" s="434"/>
      <c r="AU546" s="434"/>
      <c r="AV546" s="434"/>
      <c r="AW546" s="434"/>
      <c r="AX546" s="434"/>
      <c r="AY546" s="434"/>
      <c r="AZ546" s="434"/>
      <c r="BA546" s="434"/>
      <c r="BB546" s="434"/>
      <c r="BC546" s="434"/>
      <c r="BD546" s="434"/>
      <c r="BE546" s="434"/>
      <c r="BF546" s="434"/>
    </row>
    <row r="547" spans="10:58" s="578" customFormat="1" ht="12.75">
      <c r="J547" s="1198"/>
      <c r="Q547" s="1151"/>
      <c r="X547" s="843"/>
      <c r="Y547" s="1151"/>
      <c r="AM547" s="434"/>
      <c r="AN547" s="434"/>
      <c r="AO547" s="434"/>
      <c r="AP547" s="434"/>
      <c r="AQ547" s="434"/>
      <c r="AR547" s="434"/>
      <c r="AS547" s="434"/>
      <c r="AT547" s="434"/>
      <c r="AU547" s="434"/>
      <c r="AV547" s="434"/>
      <c r="AW547" s="434"/>
      <c r="AX547" s="434"/>
      <c r="AY547" s="434"/>
      <c r="AZ547" s="434"/>
      <c r="BA547" s="434"/>
      <c r="BB547" s="434"/>
      <c r="BC547" s="434"/>
      <c r="BD547" s="434"/>
      <c r="BE547" s="434"/>
      <c r="BF547" s="434"/>
    </row>
    <row r="548" spans="10:58" s="578" customFormat="1" ht="12.75">
      <c r="J548" s="1198"/>
      <c r="Q548" s="1151"/>
      <c r="X548" s="843"/>
      <c r="Y548" s="1151"/>
      <c r="AM548" s="434"/>
      <c r="AN548" s="434"/>
      <c r="AO548" s="434"/>
      <c r="AP548" s="434"/>
      <c r="AQ548" s="434"/>
      <c r="AR548" s="434"/>
      <c r="AS548" s="434"/>
      <c r="AT548" s="434"/>
      <c r="AU548" s="434"/>
      <c r="AV548" s="434"/>
      <c r="AW548" s="434"/>
      <c r="AX548" s="434"/>
      <c r="AY548" s="434"/>
      <c r="AZ548" s="434"/>
      <c r="BA548" s="434"/>
      <c r="BB548" s="434"/>
      <c r="BC548" s="434"/>
      <c r="BD548" s="434"/>
      <c r="BE548" s="434"/>
      <c r="BF548" s="434"/>
    </row>
    <row r="549" spans="10:58" s="578" customFormat="1" ht="12.75">
      <c r="J549" s="1198"/>
      <c r="Q549" s="1151"/>
      <c r="X549" s="843"/>
      <c r="Y549" s="1151"/>
      <c r="AM549" s="434"/>
      <c r="AN549" s="434"/>
      <c r="AO549" s="434"/>
      <c r="AP549" s="434"/>
      <c r="AQ549" s="434"/>
      <c r="AR549" s="434"/>
      <c r="AS549" s="434"/>
      <c r="AT549" s="434"/>
      <c r="AU549" s="434"/>
      <c r="AV549" s="434"/>
      <c r="AW549" s="434"/>
      <c r="AX549" s="434"/>
      <c r="AY549" s="434"/>
      <c r="AZ549" s="434"/>
      <c r="BA549" s="434"/>
      <c r="BB549" s="434"/>
      <c r="BC549" s="434"/>
      <c r="BD549" s="434"/>
      <c r="BE549" s="434"/>
      <c r="BF549" s="434"/>
    </row>
    <row r="550" spans="10:58" s="578" customFormat="1" ht="12.75">
      <c r="J550" s="1198"/>
      <c r="Q550" s="1151"/>
      <c r="X550" s="843"/>
      <c r="Y550" s="1151"/>
      <c r="AM550" s="434"/>
      <c r="AN550" s="434"/>
      <c r="AO550" s="434"/>
      <c r="AP550" s="434"/>
      <c r="AQ550" s="434"/>
      <c r="AR550" s="434"/>
      <c r="AS550" s="434"/>
      <c r="AT550" s="434"/>
      <c r="AU550" s="434"/>
      <c r="AV550" s="434"/>
      <c r="AW550" s="434"/>
      <c r="AX550" s="434"/>
      <c r="AY550" s="434"/>
      <c r="AZ550" s="434"/>
      <c r="BA550" s="434"/>
      <c r="BB550" s="434"/>
      <c r="BC550" s="434"/>
      <c r="BD550" s="434"/>
      <c r="BE550" s="434"/>
      <c r="BF550" s="434"/>
    </row>
    <row r="551" spans="10:58" s="578" customFormat="1" ht="12.75">
      <c r="J551" s="1198"/>
      <c r="Q551" s="1151"/>
      <c r="X551" s="843"/>
      <c r="Y551" s="1151"/>
      <c r="AM551" s="434"/>
      <c r="AN551" s="434"/>
      <c r="AO551" s="434"/>
      <c r="AP551" s="434"/>
      <c r="AQ551" s="434"/>
      <c r="AR551" s="434"/>
      <c r="AS551" s="434"/>
      <c r="AT551" s="434"/>
      <c r="AU551" s="434"/>
      <c r="AV551" s="434"/>
      <c r="AW551" s="434"/>
      <c r="AX551" s="434"/>
      <c r="AY551" s="434"/>
      <c r="AZ551" s="434"/>
      <c r="BA551" s="434"/>
      <c r="BB551" s="434"/>
      <c r="BC551" s="434"/>
      <c r="BD551" s="434"/>
      <c r="BE551" s="434"/>
      <c r="BF551" s="434"/>
    </row>
    <row r="552" spans="10:58" s="578" customFormat="1" ht="12.75">
      <c r="J552" s="1198"/>
      <c r="Q552" s="1151"/>
      <c r="X552" s="843"/>
      <c r="Y552" s="1151"/>
      <c r="AM552" s="434"/>
      <c r="AN552" s="434"/>
      <c r="AO552" s="434"/>
      <c r="AP552" s="434"/>
      <c r="AQ552" s="434"/>
      <c r="AR552" s="434"/>
      <c r="AS552" s="434"/>
      <c r="AT552" s="434"/>
      <c r="AU552" s="434"/>
      <c r="AV552" s="434"/>
      <c r="AW552" s="434"/>
      <c r="AX552" s="434"/>
      <c r="AY552" s="434"/>
      <c r="AZ552" s="434"/>
      <c r="BA552" s="434"/>
      <c r="BB552" s="434"/>
      <c r="BC552" s="434"/>
      <c r="BD552" s="434"/>
      <c r="BE552" s="434"/>
      <c r="BF552" s="434"/>
    </row>
    <row r="553" spans="10:58" s="578" customFormat="1" ht="12.75">
      <c r="J553" s="1198"/>
      <c r="Q553" s="1151"/>
      <c r="X553" s="843"/>
      <c r="Y553" s="1151"/>
      <c r="AM553" s="434"/>
      <c r="AN553" s="434"/>
      <c r="AO553" s="434"/>
      <c r="AP553" s="434"/>
      <c r="AQ553" s="434"/>
      <c r="AR553" s="434"/>
      <c r="AS553" s="434"/>
      <c r="AT553" s="434"/>
      <c r="AU553" s="434"/>
      <c r="AV553" s="434"/>
      <c r="AW553" s="434"/>
      <c r="AX553" s="434"/>
      <c r="AY553" s="434"/>
      <c r="AZ553" s="434"/>
      <c r="BA553" s="434"/>
      <c r="BB553" s="434"/>
      <c r="BC553" s="434"/>
      <c r="BD553" s="434"/>
      <c r="BE553" s="434"/>
      <c r="BF553" s="434"/>
    </row>
    <row r="554" spans="10:58" s="578" customFormat="1" ht="12.75">
      <c r="J554" s="1198"/>
      <c r="Q554" s="1151"/>
      <c r="X554" s="843"/>
      <c r="Y554" s="1151"/>
      <c r="AM554" s="434"/>
      <c r="AN554" s="434"/>
      <c r="AO554" s="434"/>
      <c r="AP554" s="434"/>
      <c r="AQ554" s="434"/>
      <c r="AR554" s="434"/>
      <c r="AS554" s="434"/>
      <c r="AT554" s="434"/>
      <c r="AU554" s="434"/>
      <c r="AV554" s="434"/>
      <c r="AW554" s="434"/>
      <c r="AX554" s="434"/>
      <c r="AY554" s="434"/>
      <c r="AZ554" s="434"/>
      <c r="BA554" s="434"/>
      <c r="BB554" s="434"/>
      <c r="BC554" s="434"/>
      <c r="BD554" s="434"/>
      <c r="BE554" s="434"/>
      <c r="BF554" s="434"/>
    </row>
    <row r="555" spans="10:58" s="578" customFormat="1" ht="12.75">
      <c r="J555" s="1198"/>
      <c r="Q555" s="1151"/>
      <c r="X555" s="843"/>
      <c r="Y555" s="1151"/>
      <c r="AM555" s="434"/>
      <c r="AN555" s="434"/>
      <c r="AO555" s="434"/>
      <c r="AP555" s="434"/>
      <c r="AQ555" s="434"/>
      <c r="AR555" s="434"/>
      <c r="AS555" s="434"/>
      <c r="AT555" s="434"/>
      <c r="AU555" s="434"/>
      <c r="AV555" s="434"/>
      <c r="AW555" s="434"/>
      <c r="AX555" s="434"/>
      <c r="AY555" s="434"/>
      <c r="AZ555" s="434"/>
      <c r="BA555" s="434"/>
      <c r="BB555" s="434"/>
      <c r="BC555" s="434"/>
      <c r="BD555" s="434"/>
      <c r="BE555" s="434"/>
      <c r="BF555" s="434"/>
    </row>
    <row r="556" spans="10:58" s="578" customFormat="1" ht="12.75">
      <c r="J556" s="1198"/>
      <c r="Q556" s="1151"/>
      <c r="X556" s="843"/>
      <c r="Y556" s="1151"/>
      <c r="AM556" s="434"/>
      <c r="AN556" s="434"/>
      <c r="AO556" s="434"/>
      <c r="AP556" s="434"/>
      <c r="AQ556" s="434"/>
      <c r="AR556" s="434"/>
      <c r="AS556" s="434"/>
      <c r="AU556" s="434"/>
      <c r="AV556" s="434"/>
      <c r="AW556" s="434"/>
      <c r="AX556" s="434"/>
      <c r="AY556" s="434"/>
      <c r="AZ556" s="434"/>
      <c r="BA556" s="434"/>
      <c r="BB556" s="434"/>
      <c r="BC556" s="434"/>
      <c r="BD556" s="434"/>
      <c r="BE556" s="434"/>
      <c r="BF556" s="434"/>
    </row>
    <row r="557" spans="10:58" s="578" customFormat="1" ht="12.75">
      <c r="J557" s="1198"/>
      <c r="Q557" s="1151"/>
      <c r="X557" s="843"/>
      <c r="Y557" s="1151"/>
      <c r="AM557" s="434"/>
      <c r="AN557" s="434"/>
      <c r="AO557" s="434"/>
      <c r="AP557" s="434"/>
      <c r="AQ557" s="434"/>
      <c r="AR557" s="434"/>
      <c r="AS557" s="434"/>
      <c r="AT557" s="434"/>
      <c r="AU557" s="434"/>
      <c r="AV557" s="434"/>
      <c r="AW557" s="434"/>
      <c r="AX557" s="434"/>
      <c r="AY557" s="434"/>
      <c r="AZ557" s="434"/>
      <c r="BA557" s="434"/>
      <c r="BB557" s="434"/>
      <c r="BC557" s="434"/>
      <c r="BD557" s="434"/>
      <c r="BE557" s="434"/>
      <c r="BF557" s="434"/>
    </row>
    <row r="558" spans="10:58" s="578" customFormat="1" ht="12.75">
      <c r="J558" s="1198"/>
      <c r="Q558" s="1151"/>
      <c r="X558" s="843"/>
      <c r="Y558" s="1151"/>
      <c r="AM558" s="434"/>
      <c r="AN558" s="434"/>
      <c r="AO558" s="434"/>
      <c r="AP558" s="434"/>
      <c r="AQ558" s="434"/>
      <c r="AR558" s="434"/>
      <c r="AS558" s="434"/>
      <c r="AT558" s="434"/>
      <c r="AU558" s="434"/>
      <c r="AV558" s="434"/>
      <c r="AW558" s="434"/>
      <c r="AX558" s="434"/>
      <c r="AY558" s="434"/>
      <c r="AZ558" s="434"/>
      <c r="BA558" s="434"/>
      <c r="BB558" s="434"/>
      <c r="BC558" s="434"/>
      <c r="BD558" s="434"/>
      <c r="BE558" s="434"/>
      <c r="BF558" s="434"/>
    </row>
    <row r="559" spans="10:58" s="578" customFormat="1" ht="12.75">
      <c r="J559" s="1198"/>
      <c r="Q559" s="1151"/>
      <c r="X559" s="843"/>
      <c r="Y559" s="1151"/>
      <c r="AM559" s="434"/>
      <c r="AN559" s="434"/>
      <c r="AO559" s="434"/>
      <c r="AP559" s="434"/>
      <c r="AQ559" s="434"/>
      <c r="AR559" s="434"/>
      <c r="AS559" s="434"/>
      <c r="AT559" s="434"/>
      <c r="AU559" s="434"/>
      <c r="AV559" s="434"/>
      <c r="AW559" s="434"/>
      <c r="AX559" s="434"/>
      <c r="AY559" s="434"/>
      <c r="AZ559" s="434"/>
      <c r="BA559" s="434"/>
      <c r="BB559" s="434"/>
      <c r="BC559" s="434"/>
      <c r="BD559" s="434"/>
      <c r="BE559" s="434"/>
      <c r="BF559" s="434"/>
    </row>
    <row r="560" spans="10:58" s="578" customFormat="1" ht="12.75">
      <c r="J560" s="1198"/>
      <c r="Q560" s="1151"/>
      <c r="X560" s="843"/>
      <c r="Y560" s="1151"/>
      <c r="AM560" s="434"/>
      <c r="AN560" s="434"/>
      <c r="AO560" s="434"/>
      <c r="AP560" s="434"/>
      <c r="AQ560" s="434"/>
      <c r="AR560" s="434"/>
      <c r="AS560" s="434"/>
      <c r="AT560" s="434"/>
      <c r="AU560" s="434"/>
      <c r="AV560" s="434"/>
      <c r="AW560" s="434"/>
      <c r="AX560" s="434"/>
      <c r="AY560" s="434"/>
      <c r="AZ560" s="434"/>
      <c r="BA560" s="434"/>
      <c r="BB560" s="434"/>
      <c r="BC560" s="434"/>
      <c r="BD560" s="434"/>
      <c r="BE560" s="434"/>
      <c r="BF560" s="434"/>
    </row>
    <row r="561" spans="10:58" s="578" customFormat="1" ht="12.75">
      <c r="J561" s="1198"/>
      <c r="Q561" s="1151"/>
      <c r="X561" s="843"/>
      <c r="Y561" s="1151"/>
      <c r="AM561" s="434"/>
      <c r="AN561" s="434"/>
      <c r="AO561" s="434"/>
      <c r="AP561" s="434"/>
      <c r="AQ561" s="434"/>
      <c r="AR561" s="434"/>
      <c r="AS561" s="434"/>
      <c r="AT561" s="434"/>
      <c r="AU561" s="434"/>
      <c r="AV561" s="434"/>
      <c r="AW561" s="434"/>
      <c r="AX561" s="434"/>
      <c r="AY561" s="434"/>
      <c r="AZ561" s="434"/>
      <c r="BA561" s="434"/>
      <c r="BB561" s="434"/>
      <c r="BC561" s="434"/>
      <c r="BD561" s="434"/>
      <c r="BE561" s="434"/>
      <c r="BF561" s="434"/>
    </row>
    <row r="562" spans="10:58" s="578" customFormat="1" ht="12.75">
      <c r="J562" s="1198"/>
      <c r="Q562" s="1151"/>
      <c r="X562" s="843"/>
      <c r="Y562" s="1151"/>
      <c r="AM562" s="434"/>
      <c r="AN562" s="434"/>
      <c r="AO562" s="434"/>
      <c r="AP562" s="434"/>
      <c r="AQ562" s="434"/>
      <c r="AR562" s="434"/>
      <c r="AS562" s="434"/>
      <c r="AT562" s="434"/>
      <c r="AU562" s="434"/>
      <c r="AV562" s="434"/>
      <c r="AW562" s="434"/>
      <c r="AX562" s="434"/>
      <c r="AY562" s="434"/>
      <c r="AZ562" s="434"/>
      <c r="BA562" s="434"/>
      <c r="BB562" s="434"/>
      <c r="BC562" s="434"/>
      <c r="BD562" s="434"/>
      <c r="BE562" s="434"/>
      <c r="BF562" s="434"/>
    </row>
    <row r="563" spans="10:58" s="578" customFormat="1" ht="12.75">
      <c r="J563" s="1198"/>
      <c r="Q563" s="1151"/>
      <c r="X563" s="843"/>
      <c r="Y563" s="1151"/>
      <c r="AM563" s="434"/>
      <c r="AN563" s="434"/>
      <c r="AO563" s="434"/>
      <c r="AP563" s="434"/>
      <c r="AQ563" s="434"/>
      <c r="AR563" s="434"/>
      <c r="AS563" s="434"/>
      <c r="AT563" s="434"/>
      <c r="AU563" s="434"/>
      <c r="AV563" s="434"/>
      <c r="AW563" s="434"/>
      <c r="AX563" s="434"/>
      <c r="AY563" s="434"/>
      <c r="AZ563" s="434"/>
      <c r="BA563" s="434"/>
      <c r="BB563" s="434"/>
      <c r="BC563" s="434"/>
      <c r="BD563" s="434"/>
      <c r="BE563" s="434"/>
      <c r="BF563" s="434"/>
    </row>
    <row r="564" spans="10:58" s="578" customFormat="1" ht="12.75">
      <c r="J564" s="1198"/>
      <c r="Q564" s="1151"/>
      <c r="X564" s="843"/>
      <c r="Y564" s="1151"/>
      <c r="AM564" s="434"/>
      <c r="AN564" s="434"/>
      <c r="AO564" s="434"/>
      <c r="AP564" s="434"/>
      <c r="AQ564" s="434"/>
      <c r="AR564" s="434"/>
      <c r="AS564" s="434"/>
      <c r="AT564" s="434"/>
      <c r="AU564" s="434"/>
      <c r="AV564" s="434"/>
      <c r="AW564" s="434"/>
      <c r="AX564" s="434"/>
      <c r="AY564" s="434"/>
      <c r="AZ564" s="434"/>
      <c r="BA564" s="434"/>
      <c r="BB564" s="434"/>
      <c r="BC564" s="434"/>
      <c r="BD564" s="434"/>
      <c r="BE564" s="434"/>
      <c r="BF564" s="434"/>
    </row>
    <row r="565" spans="10:58" s="578" customFormat="1" ht="12.75">
      <c r="J565" s="1198"/>
      <c r="Q565" s="1151"/>
      <c r="X565" s="843"/>
      <c r="Y565" s="1151"/>
      <c r="AM565" s="434"/>
      <c r="AN565" s="434"/>
      <c r="AO565" s="434"/>
      <c r="AP565" s="434"/>
      <c r="AQ565" s="434"/>
      <c r="AR565" s="434"/>
      <c r="AS565" s="434"/>
      <c r="AT565" s="434"/>
      <c r="AU565" s="434"/>
      <c r="AV565" s="434"/>
      <c r="AW565" s="434"/>
      <c r="AX565" s="434"/>
      <c r="AY565" s="434"/>
      <c r="AZ565" s="434"/>
      <c r="BA565" s="434"/>
      <c r="BB565" s="434"/>
      <c r="BC565" s="434"/>
      <c r="BD565" s="434"/>
      <c r="BE565" s="434"/>
      <c r="BF565" s="434"/>
    </row>
    <row r="566" spans="10:58" s="578" customFormat="1" ht="12.75">
      <c r="J566" s="1198"/>
      <c r="Q566" s="1151"/>
      <c r="X566" s="843"/>
      <c r="Y566" s="1151"/>
      <c r="AM566" s="434"/>
      <c r="AN566" s="434"/>
      <c r="AO566" s="434"/>
      <c r="AP566" s="434"/>
      <c r="AQ566" s="434"/>
      <c r="AR566" s="434"/>
      <c r="AS566" s="434"/>
      <c r="AT566" s="434"/>
      <c r="AU566" s="434"/>
      <c r="AV566" s="434"/>
      <c r="AW566" s="434"/>
      <c r="AX566" s="434"/>
      <c r="AY566" s="434"/>
      <c r="AZ566" s="434"/>
      <c r="BA566" s="434"/>
      <c r="BB566" s="434"/>
      <c r="BC566" s="434"/>
      <c r="BD566" s="434"/>
      <c r="BE566" s="434"/>
      <c r="BF566" s="434"/>
    </row>
    <row r="567" spans="10:58" s="578" customFormat="1" ht="12.75">
      <c r="J567" s="1198"/>
      <c r="Q567" s="1151"/>
      <c r="X567" s="843"/>
      <c r="Y567" s="1151"/>
      <c r="AM567" s="434"/>
      <c r="AN567" s="434"/>
      <c r="AO567" s="434"/>
      <c r="AP567" s="434"/>
      <c r="AQ567" s="434"/>
      <c r="AR567" s="434"/>
      <c r="AS567" s="434"/>
      <c r="AT567" s="434"/>
      <c r="AU567" s="434"/>
      <c r="AV567" s="434"/>
      <c r="AW567" s="434"/>
      <c r="AX567" s="434"/>
      <c r="AY567" s="434"/>
      <c r="AZ567" s="434"/>
      <c r="BA567" s="434"/>
      <c r="BB567" s="434"/>
      <c r="BC567" s="434"/>
      <c r="BD567" s="434"/>
      <c r="BE567" s="434"/>
      <c r="BF567" s="434"/>
    </row>
    <row r="568" spans="10:58" s="578" customFormat="1" ht="12.75">
      <c r="J568" s="1198"/>
      <c r="Q568" s="1151"/>
      <c r="X568" s="843"/>
      <c r="Y568" s="1151"/>
      <c r="AM568" s="434"/>
      <c r="AN568" s="434"/>
      <c r="AO568" s="434"/>
      <c r="AP568" s="434"/>
      <c r="AQ568" s="434"/>
      <c r="AR568" s="434"/>
      <c r="AS568" s="434"/>
      <c r="AT568" s="434"/>
      <c r="AU568" s="434"/>
      <c r="AV568" s="434"/>
      <c r="AW568" s="434"/>
      <c r="AX568" s="434"/>
      <c r="AY568" s="434"/>
      <c r="AZ568" s="434"/>
      <c r="BA568" s="434"/>
      <c r="BB568" s="434"/>
      <c r="BC568" s="434"/>
      <c r="BD568" s="434"/>
      <c r="BE568" s="434"/>
      <c r="BF568" s="434"/>
    </row>
    <row r="569" spans="10:58" s="578" customFormat="1" ht="12.75">
      <c r="J569" s="1198"/>
      <c r="Q569" s="1151"/>
      <c r="X569" s="843"/>
      <c r="Y569" s="1151"/>
      <c r="AM569" s="434"/>
      <c r="AN569" s="434"/>
      <c r="AO569" s="434"/>
      <c r="AP569" s="434"/>
      <c r="AQ569" s="434"/>
      <c r="AR569" s="434"/>
      <c r="AS569" s="434"/>
      <c r="AT569" s="434"/>
      <c r="AU569" s="434"/>
      <c r="AV569" s="434"/>
      <c r="AW569" s="434"/>
      <c r="AX569" s="434"/>
      <c r="AY569" s="434"/>
      <c r="AZ569" s="434"/>
      <c r="BA569" s="434"/>
      <c r="BB569" s="434"/>
      <c r="BC569" s="434"/>
      <c r="BD569" s="434"/>
      <c r="BE569" s="434"/>
      <c r="BF569" s="434"/>
    </row>
    <row r="570" spans="10:58" s="578" customFormat="1" ht="12.75">
      <c r="J570" s="1198"/>
      <c r="Q570" s="1151"/>
      <c r="X570" s="843"/>
      <c r="Y570" s="1151"/>
      <c r="AM570" s="434"/>
      <c r="AN570" s="434"/>
      <c r="AO570" s="434"/>
      <c r="AP570" s="434"/>
      <c r="AQ570" s="434"/>
      <c r="AR570" s="434"/>
      <c r="AS570" s="434"/>
      <c r="AT570" s="434"/>
      <c r="AU570" s="434"/>
      <c r="AV570" s="434"/>
      <c r="AW570" s="434"/>
      <c r="AX570" s="434"/>
      <c r="AY570" s="434"/>
      <c r="AZ570" s="434"/>
      <c r="BA570" s="434"/>
      <c r="BB570" s="434"/>
      <c r="BC570" s="434"/>
      <c r="BD570" s="434"/>
      <c r="BE570" s="434"/>
      <c r="BF570" s="434"/>
    </row>
    <row r="571" spans="10:58" s="578" customFormat="1" ht="12.75">
      <c r="J571" s="1198"/>
      <c r="Q571" s="1151"/>
      <c r="X571" s="843"/>
      <c r="Y571" s="1151"/>
      <c r="AM571" s="434"/>
      <c r="AN571" s="434"/>
      <c r="AO571" s="434"/>
      <c r="AP571" s="434"/>
      <c r="AQ571" s="434"/>
      <c r="AR571" s="434"/>
      <c r="AS571" s="434"/>
      <c r="AT571" s="434"/>
      <c r="AU571" s="434"/>
      <c r="AV571" s="434"/>
      <c r="AW571" s="434"/>
      <c r="AX571" s="434"/>
      <c r="AY571" s="434"/>
      <c r="AZ571" s="434"/>
      <c r="BA571" s="434"/>
      <c r="BB571" s="434"/>
      <c r="BC571" s="434"/>
      <c r="BD571" s="434"/>
      <c r="BE571" s="434"/>
      <c r="BF571" s="434"/>
    </row>
    <row r="572" spans="10:58" s="578" customFormat="1" ht="12.75">
      <c r="J572" s="1198"/>
      <c r="Q572" s="1151"/>
      <c r="X572" s="843"/>
      <c r="Y572" s="1151"/>
      <c r="AM572" s="434"/>
      <c r="AN572" s="434"/>
      <c r="AO572" s="434"/>
      <c r="AP572" s="434"/>
      <c r="AQ572" s="434"/>
      <c r="AR572" s="434"/>
      <c r="AS572" s="434"/>
      <c r="AT572" s="434"/>
      <c r="AU572" s="434"/>
      <c r="AV572" s="434"/>
      <c r="AW572" s="434"/>
      <c r="AX572" s="434"/>
      <c r="AY572" s="434"/>
      <c r="AZ572" s="434"/>
      <c r="BA572" s="434"/>
      <c r="BB572" s="434"/>
      <c r="BC572" s="434"/>
      <c r="BD572" s="434"/>
      <c r="BE572" s="434"/>
      <c r="BF572" s="434"/>
    </row>
    <row r="573" spans="10:58" s="578" customFormat="1" ht="12.75">
      <c r="J573" s="1198"/>
      <c r="Q573" s="1151"/>
      <c r="X573" s="843"/>
      <c r="Y573" s="1151"/>
      <c r="AM573" s="434"/>
      <c r="AN573" s="434"/>
      <c r="AO573" s="434"/>
      <c r="AP573" s="434"/>
      <c r="AQ573" s="434"/>
      <c r="AR573" s="434"/>
      <c r="AS573" s="434"/>
      <c r="AT573" s="434"/>
      <c r="AU573" s="434"/>
      <c r="AV573" s="434"/>
      <c r="AW573" s="434"/>
      <c r="AX573" s="434"/>
      <c r="AY573" s="434"/>
      <c r="AZ573" s="434"/>
      <c r="BA573" s="434"/>
      <c r="BB573" s="434"/>
      <c r="BC573" s="434"/>
      <c r="BD573" s="434"/>
      <c r="BE573" s="434"/>
      <c r="BF573" s="434"/>
    </row>
    <row r="574" spans="10:58" s="578" customFormat="1" ht="12.75">
      <c r="J574" s="1198"/>
      <c r="Q574" s="1151"/>
      <c r="X574" s="843"/>
      <c r="Y574" s="1151"/>
      <c r="AM574" s="434"/>
      <c r="AN574" s="434"/>
      <c r="AO574" s="434"/>
      <c r="AP574" s="434"/>
      <c r="AQ574" s="434"/>
      <c r="AR574" s="434"/>
      <c r="AS574" s="434"/>
      <c r="AT574" s="434"/>
      <c r="AU574" s="434"/>
      <c r="AV574" s="434"/>
      <c r="AW574" s="434"/>
      <c r="AX574" s="434"/>
      <c r="AY574" s="434"/>
      <c r="AZ574" s="434"/>
      <c r="BA574" s="434"/>
      <c r="BB574" s="434"/>
      <c r="BC574" s="434"/>
      <c r="BD574" s="434"/>
      <c r="BE574" s="434"/>
      <c r="BF574" s="434"/>
    </row>
    <row r="575" spans="10:58" s="578" customFormat="1" ht="12.75">
      <c r="J575" s="1198"/>
      <c r="Q575" s="1151"/>
      <c r="X575" s="843"/>
      <c r="Y575" s="1151"/>
      <c r="AM575" s="434"/>
      <c r="AN575" s="434"/>
      <c r="AO575" s="434"/>
      <c r="AP575" s="434"/>
      <c r="AQ575" s="434"/>
      <c r="AR575" s="434"/>
      <c r="AS575" s="434"/>
      <c r="AT575" s="434"/>
      <c r="AU575" s="434"/>
      <c r="AV575" s="434"/>
      <c r="AW575" s="434"/>
      <c r="AX575" s="434"/>
      <c r="AY575" s="434"/>
      <c r="AZ575" s="434"/>
      <c r="BA575" s="434"/>
      <c r="BB575" s="434"/>
      <c r="BC575" s="434"/>
      <c r="BD575" s="434"/>
      <c r="BE575" s="434"/>
      <c r="BF575" s="434"/>
    </row>
    <row r="576" spans="10:57" s="578" customFormat="1" ht="12.75">
      <c r="J576" s="1198"/>
      <c r="Q576" s="1151"/>
      <c r="X576" s="843"/>
      <c r="Y576" s="1151"/>
      <c r="AM576" s="434"/>
      <c r="AN576" s="434"/>
      <c r="AO576" s="434"/>
      <c r="AP576" s="434"/>
      <c r="AQ576" s="434"/>
      <c r="AR576" s="434"/>
      <c r="AS576" s="434"/>
      <c r="AT576" s="434"/>
      <c r="AU576" s="434"/>
      <c r="AV576" s="434"/>
      <c r="AW576" s="434"/>
      <c r="AX576" s="434"/>
      <c r="AY576" s="434"/>
      <c r="AZ576" s="434"/>
      <c r="BA576" s="434"/>
      <c r="BB576" s="434"/>
      <c r="BC576" s="434"/>
      <c r="BD576" s="434"/>
      <c r="BE576" s="434"/>
    </row>
    <row r="577" spans="10:58" s="578" customFormat="1" ht="12.75">
      <c r="J577" s="1198"/>
      <c r="Q577" s="1151"/>
      <c r="X577" s="843"/>
      <c r="Y577" s="1151"/>
      <c r="AM577" s="434"/>
      <c r="AN577" s="434"/>
      <c r="AO577" s="434"/>
      <c r="AP577" s="434"/>
      <c r="AQ577" s="434"/>
      <c r="AR577" s="434"/>
      <c r="AS577" s="434"/>
      <c r="AT577" s="434"/>
      <c r="AU577" s="434"/>
      <c r="AV577" s="434"/>
      <c r="AW577" s="434"/>
      <c r="AX577" s="434"/>
      <c r="AY577" s="434"/>
      <c r="AZ577" s="434"/>
      <c r="BA577" s="434"/>
      <c r="BB577" s="434"/>
      <c r="BC577" s="434"/>
      <c r="BD577" s="434"/>
      <c r="BE577" s="434"/>
      <c r="BF577" s="434"/>
    </row>
    <row r="578" spans="10:58" s="578" customFormat="1" ht="12.75">
      <c r="J578" s="1198"/>
      <c r="Q578" s="1151"/>
      <c r="X578" s="843"/>
      <c r="Y578" s="1151"/>
      <c r="AM578" s="434"/>
      <c r="AN578" s="434"/>
      <c r="AO578" s="434"/>
      <c r="AP578" s="434"/>
      <c r="AQ578" s="434"/>
      <c r="AR578" s="434"/>
      <c r="AS578" s="434"/>
      <c r="AT578" s="434"/>
      <c r="AU578" s="434"/>
      <c r="AV578" s="434"/>
      <c r="AW578" s="434"/>
      <c r="AX578" s="434"/>
      <c r="AY578" s="434"/>
      <c r="AZ578" s="434"/>
      <c r="BA578" s="434"/>
      <c r="BB578" s="434"/>
      <c r="BC578" s="434"/>
      <c r="BD578" s="434"/>
      <c r="BE578" s="434"/>
      <c r="BF578" s="434"/>
    </row>
    <row r="579" spans="10:58" s="578" customFormat="1" ht="12.75">
      <c r="J579" s="1198"/>
      <c r="Q579" s="1151"/>
      <c r="X579" s="843"/>
      <c r="Y579" s="1151"/>
      <c r="AM579" s="434"/>
      <c r="AN579" s="434"/>
      <c r="AO579" s="434"/>
      <c r="AP579" s="434"/>
      <c r="AQ579" s="434"/>
      <c r="AR579" s="434"/>
      <c r="AS579" s="434"/>
      <c r="AT579" s="434"/>
      <c r="AU579" s="434"/>
      <c r="AV579" s="434"/>
      <c r="AW579" s="434"/>
      <c r="AX579" s="434"/>
      <c r="AY579" s="434"/>
      <c r="AZ579" s="434"/>
      <c r="BA579" s="434"/>
      <c r="BB579" s="434"/>
      <c r="BC579" s="434"/>
      <c r="BD579" s="434"/>
      <c r="BE579" s="434"/>
      <c r="BF579" s="434"/>
    </row>
    <row r="580" spans="10:58" s="578" customFormat="1" ht="12.75">
      <c r="J580" s="1198"/>
      <c r="Q580" s="1151"/>
      <c r="X580" s="843"/>
      <c r="Y580" s="1151"/>
      <c r="AM580" s="434"/>
      <c r="AN580" s="434"/>
      <c r="AO580" s="434"/>
      <c r="AP580" s="434"/>
      <c r="AQ580" s="434"/>
      <c r="AR580" s="434"/>
      <c r="AS580" s="434"/>
      <c r="AT580" s="434"/>
      <c r="AU580" s="434"/>
      <c r="AV580" s="434"/>
      <c r="AW580" s="434"/>
      <c r="AX580" s="434"/>
      <c r="AY580" s="434"/>
      <c r="AZ580" s="434"/>
      <c r="BA580" s="434"/>
      <c r="BB580" s="434"/>
      <c r="BC580" s="434"/>
      <c r="BD580" s="434"/>
      <c r="BE580" s="434"/>
      <c r="BF580" s="434"/>
    </row>
    <row r="581" spans="10:58" s="578" customFormat="1" ht="12.75">
      <c r="J581" s="1198"/>
      <c r="Q581" s="1151"/>
      <c r="X581" s="843"/>
      <c r="Y581" s="1151"/>
      <c r="AM581" s="434"/>
      <c r="AN581" s="434"/>
      <c r="AO581" s="434"/>
      <c r="AP581" s="434"/>
      <c r="AQ581" s="434"/>
      <c r="AR581" s="434"/>
      <c r="AS581" s="434"/>
      <c r="AT581" s="434"/>
      <c r="AU581" s="434"/>
      <c r="AV581" s="434"/>
      <c r="AW581" s="434"/>
      <c r="AX581" s="434"/>
      <c r="AY581" s="434"/>
      <c r="AZ581" s="434"/>
      <c r="BA581" s="434"/>
      <c r="BB581" s="434"/>
      <c r="BC581" s="434"/>
      <c r="BD581" s="434"/>
      <c r="BE581" s="434"/>
      <c r="BF581" s="434"/>
    </row>
    <row r="582" spans="10:58" s="578" customFormat="1" ht="12.75">
      <c r="J582" s="1198"/>
      <c r="Q582" s="1151"/>
      <c r="X582" s="843"/>
      <c r="Y582" s="1151"/>
      <c r="AM582" s="434"/>
      <c r="AN582" s="434"/>
      <c r="AO582" s="434"/>
      <c r="AP582" s="434"/>
      <c r="AQ582" s="434"/>
      <c r="AR582" s="434"/>
      <c r="AS582" s="434"/>
      <c r="AT582" s="434"/>
      <c r="AU582" s="434"/>
      <c r="AV582" s="434"/>
      <c r="AW582" s="434"/>
      <c r="AX582" s="434"/>
      <c r="AY582" s="434"/>
      <c r="AZ582" s="434"/>
      <c r="BA582" s="434"/>
      <c r="BB582" s="434"/>
      <c r="BC582" s="434"/>
      <c r="BD582" s="434"/>
      <c r="BE582" s="434"/>
      <c r="BF582" s="434"/>
    </row>
    <row r="583" spans="10:58" s="578" customFormat="1" ht="12.75">
      <c r="J583" s="1198"/>
      <c r="Q583" s="1151"/>
      <c r="X583" s="843"/>
      <c r="Y583" s="1151"/>
      <c r="AM583" s="434"/>
      <c r="AN583" s="434"/>
      <c r="AO583" s="434"/>
      <c r="AP583" s="434"/>
      <c r="AQ583" s="434"/>
      <c r="AR583" s="434"/>
      <c r="AS583" s="434"/>
      <c r="AT583" s="434"/>
      <c r="AU583" s="434"/>
      <c r="AV583" s="434"/>
      <c r="AW583" s="434"/>
      <c r="AX583" s="434"/>
      <c r="AY583" s="434"/>
      <c r="AZ583" s="434"/>
      <c r="BA583" s="434"/>
      <c r="BB583" s="434"/>
      <c r="BC583" s="434"/>
      <c r="BD583" s="434"/>
      <c r="BE583" s="434"/>
      <c r="BF583" s="434"/>
    </row>
    <row r="584" spans="10:58" s="578" customFormat="1" ht="12.75">
      <c r="J584" s="1198"/>
      <c r="Q584" s="1151"/>
      <c r="X584" s="843"/>
      <c r="Y584" s="1151"/>
      <c r="AM584" s="434"/>
      <c r="AN584" s="434"/>
      <c r="AO584" s="434"/>
      <c r="AP584" s="434"/>
      <c r="AQ584" s="434"/>
      <c r="AR584" s="434"/>
      <c r="AS584" s="434"/>
      <c r="AT584" s="434"/>
      <c r="AU584" s="434"/>
      <c r="AV584" s="434"/>
      <c r="AW584" s="434"/>
      <c r="AX584" s="434"/>
      <c r="AY584" s="434"/>
      <c r="AZ584" s="434"/>
      <c r="BA584" s="434"/>
      <c r="BB584" s="434"/>
      <c r="BC584" s="434"/>
      <c r="BD584" s="434"/>
      <c r="BE584" s="434"/>
      <c r="BF584" s="434"/>
    </row>
    <row r="585" spans="10:58" s="578" customFormat="1" ht="12.75">
      <c r="J585" s="1198"/>
      <c r="Q585" s="1151"/>
      <c r="X585" s="843"/>
      <c r="Y585" s="1151"/>
      <c r="AM585" s="434"/>
      <c r="AN585" s="434"/>
      <c r="AO585" s="434"/>
      <c r="AP585" s="434"/>
      <c r="AQ585" s="434"/>
      <c r="AR585" s="434"/>
      <c r="AS585" s="434"/>
      <c r="AT585" s="434"/>
      <c r="AU585" s="434"/>
      <c r="AV585" s="434"/>
      <c r="AW585" s="434"/>
      <c r="AX585" s="434"/>
      <c r="AY585" s="434"/>
      <c r="AZ585" s="434"/>
      <c r="BA585" s="434"/>
      <c r="BB585" s="434"/>
      <c r="BC585" s="434"/>
      <c r="BD585" s="434"/>
      <c r="BE585" s="434"/>
      <c r="BF585" s="434"/>
    </row>
    <row r="586" spans="10:58" s="578" customFormat="1" ht="12.75">
      <c r="J586" s="1198"/>
      <c r="Q586" s="1151"/>
      <c r="X586" s="843"/>
      <c r="Y586" s="1151"/>
      <c r="AM586" s="434"/>
      <c r="AN586" s="434"/>
      <c r="AO586" s="434"/>
      <c r="AP586" s="434"/>
      <c r="AQ586" s="434"/>
      <c r="AR586" s="434"/>
      <c r="AS586" s="434"/>
      <c r="AT586" s="434"/>
      <c r="AU586" s="434"/>
      <c r="AV586" s="434"/>
      <c r="AW586" s="434"/>
      <c r="AX586" s="434"/>
      <c r="AY586" s="434"/>
      <c r="AZ586" s="434"/>
      <c r="BA586" s="434"/>
      <c r="BB586" s="434"/>
      <c r="BC586" s="434"/>
      <c r="BD586" s="434"/>
      <c r="BE586" s="434"/>
      <c r="BF586" s="434"/>
    </row>
    <row r="587" spans="10:58" s="578" customFormat="1" ht="12.75">
      <c r="J587" s="1198"/>
      <c r="Q587" s="1151"/>
      <c r="X587" s="843"/>
      <c r="Y587" s="1151"/>
      <c r="AM587" s="434"/>
      <c r="AN587" s="434"/>
      <c r="AO587" s="434"/>
      <c r="AP587" s="434"/>
      <c r="AQ587" s="434"/>
      <c r="AR587" s="434"/>
      <c r="AS587" s="434"/>
      <c r="AT587" s="434"/>
      <c r="AU587" s="434"/>
      <c r="AV587" s="434"/>
      <c r="AW587" s="434"/>
      <c r="AX587" s="434"/>
      <c r="AY587" s="434"/>
      <c r="AZ587" s="434"/>
      <c r="BA587" s="434"/>
      <c r="BB587" s="434"/>
      <c r="BC587" s="434"/>
      <c r="BD587" s="434"/>
      <c r="BE587" s="434"/>
      <c r="BF587" s="434"/>
    </row>
    <row r="588" spans="10:58" s="578" customFormat="1" ht="12.75">
      <c r="J588" s="1198"/>
      <c r="Q588" s="1151"/>
      <c r="X588" s="843"/>
      <c r="Y588" s="1151"/>
      <c r="AM588" s="434"/>
      <c r="AN588" s="434"/>
      <c r="AO588" s="434"/>
      <c r="AP588" s="434"/>
      <c r="AQ588" s="434"/>
      <c r="AR588" s="434"/>
      <c r="AS588" s="434"/>
      <c r="AT588" s="434"/>
      <c r="AU588" s="434"/>
      <c r="AV588" s="434"/>
      <c r="AW588" s="434"/>
      <c r="AX588" s="434"/>
      <c r="AY588" s="434"/>
      <c r="AZ588" s="434"/>
      <c r="BA588" s="434"/>
      <c r="BB588" s="434"/>
      <c r="BC588" s="434"/>
      <c r="BD588" s="434"/>
      <c r="BE588" s="434"/>
      <c r="BF588" s="434"/>
    </row>
    <row r="589" spans="10:58" s="578" customFormat="1" ht="12.75">
      <c r="J589" s="1198"/>
      <c r="Q589" s="1151"/>
      <c r="X589" s="843"/>
      <c r="Y589" s="1151"/>
      <c r="AM589" s="434"/>
      <c r="AN589" s="434"/>
      <c r="AO589" s="434"/>
      <c r="AP589" s="434"/>
      <c r="AQ589" s="434"/>
      <c r="AR589" s="434"/>
      <c r="AS589" s="434"/>
      <c r="AT589" s="434"/>
      <c r="AU589" s="434"/>
      <c r="AV589" s="434"/>
      <c r="AW589" s="434"/>
      <c r="AX589" s="434"/>
      <c r="AY589" s="434"/>
      <c r="AZ589" s="434"/>
      <c r="BA589" s="434"/>
      <c r="BB589" s="434"/>
      <c r="BC589" s="434"/>
      <c r="BD589" s="434"/>
      <c r="BE589" s="434"/>
      <c r="BF589" s="434"/>
    </row>
    <row r="590" spans="10:58" s="578" customFormat="1" ht="12.75">
      <c r="J590" s="1198"/>
      <c r="Q590" s="1151"/>
      <c r="X590" s="843"/>
      <c r="Y590" s="1151"/>
      <c r="AM590" s="434"/>
      <c r="AN590" s="434"/>
      <c r="AO590" s="434"/>
      <c r="AP590" s="434"/>
      <c r="AQ590" s="434"/>
      <c r="AR590" s="434"/>
      <c r="AS590" s="434"/>
      <c r="AT590" s="434"/>
      <c r="AU590" s="434"/>
      <c r="AV590" s="434"/>
      <c r="AW590" s="434"/>
      <c r="AX590" s="434"/>
      <c r="AY590" s="434"/>
      <c r="AZ590" s="434"/>
      <c r="BA590" s="434"/>
      <c r="BB590" s="434"/>
      <c r="BC590" s="434"/>
      <c r="BD590" s="434"/>
      <c r="BE590" s="434"/>
      <c r="BF590" s="434"/>
    </row>
    <row r="591" spans="10:58" s="578" customFormat="1" ht="12.75">
      <c r="J591" s="1198"/>
      <c r="Q591" s="1151"/>
      <c r="X591" s="843"/>
      <c r="Y591" s="1151"/>
      <c r="AM591" s="434"/>
      <c r="AN591" s="434"/>
      <c r="AO591" s="434"/>
      <c r="AP591" s="434"/>
      <c r="AQ591" s="434"/>
      <c r="AR591" s="434"/>
      <c r="AS591" s="434"/>
      <c r="AT591" s="434"/>
      <c r="AU591" s="434"/>
      <c r="AV591" s="434"/>
      <c r="AW591" s="434"/>
      <c r="AX591" s="434"/>
      <c r="AY591" s="434"/>
      <c r="AZ591" s="434"/>
      <c r="BA591" s="434"/>
      <c r="BB591" s="434"/>
      <c r="BC591" s="434"/>
      <c r="BD591" s="434"/>
      <c r="BE591" s="434"/>
      <c r="BF591" s="434"/>
    </row>
    <row r="592" spans="10:58" s="578" customFormat="1" ht="12.75">
      <c r="J592" s="1198"/>
      <c r="Q592" s="1151"/>
      <c r="X592" s="843"/>
      <c r="Y592" s="1151"/>
      <c r="AM592" s="434"/>
      <c r="AN592" s="434"/>
      <c r="AO592" s="434"/>
      <c r="AP592" s="434"/>
      <c r="AQ592" s="434"/>
      <c r="AR592" s="434"/>
      <c r="AS592" s="434"/>
      <c r="AT592" s="434"/>
      <c r="AU592" s="434"/>
      <c r="AV592" s="434"/>
      <c r="AW592" s="434"/>
      <c r="AX592" s="434"/>
      <c r="AY592" s="434"/>
      <c r="AZ592" s="434"/>
      <c r="BA592" s="434"/>
      <c r="BB592" s="434"/>
      <c r="BC592" s="434"/>
      <c r="BD592" s="434"/>
      <c r="BE592" s="434"/>
      <c r="BF592" s="434"/>
    </row>
    <row r="593" spans="10:58" s="578" customFormat="1" ht="12.75">
      <c r="J593" s="1198"/>
      <c r="Q593" s="1151"/>
      <c r="X593" s="843"/>
      <c r="Y593" s="1151"/>
      <c r="AM593" s="434"/>
      <c r="AN593" s="434"/>
      <c r="AO593" s="434"/>
      <c r="AP593" s="434"/>
      <c r="AQ593" s="434"/>
      <c r="AR593" s="434"/>
      <c r="AS593" s="434"/>
      <c r="AT593" s="434"/>
      <c r="AU593" s="434"/>
      <c r="AV593" s="434"/>
      <c r="AW593" s="434"/>
      <c r="AX593" s="434"/>
      <c r="AY593" s="434"/>
      <c r="AZ593" s="434"/>
      <c r="BA593" s="434"/>
      <c r="BB593" s="434"/>
      <c r="BC593" s="434"/>
      <c r="BD593" s="434"/>
      <c r="BE593" s="434"/>
      <c r="BF593" s="434"/>
    </row>
    <row r="594" spans="10:58" s="578" customFormat="1" ht="12.75">
      <c r="J594" s="1198"/>
      <c r="Q594" s="1151"/>
      <c r="X594" s="843"/>
      <c r="Y594" s="1151"/>
      <c r="AM594" s="434"/>
      <c r="AN594" s="434"/>
      <c r="AO594" s="434"/>
      <c r="AP594" s="434"/>
      <c r="AQ594" s="434"/>
      <c r="AR594" s="434"/>
      <c r="AS594" s="434"/>
      <c r="AT594" s="434"/>
      <c r="AU594" s="434"/>
      <c r="AV594" s="434"/>
      <c r="AW594" s="434"/>
      <c r="AX594" s="434"/>
      <c r="AY594" s="434"/>
      <c r="AZ594" s="434"/>
      <c r="BA594" s="434"/>
      <c r="BB594" s="434"/>
      <c r="BC594" s="434"/>
      <c r="BD594" s="434"/>
      <c r="BE594" s="434"/>
      <c r="BF594" s="434"/>
    </row>
    <row r="595" spans="10:58" s="578" customFormat="1" ht="12.75">
      <c r="J595" s="1198"/>
      <c r="Q595" s="1151"/>
      <c r="X595" s="843"/>
      <c r="Y595" s="1151"/>
      <c r="AM595" s="434"/>
      <c r="AN595" s="434"/>
      <c r="AO595" s="434"/>
      <c r="AP595" s="434"/>
      <c r="AQ595" s="434"/>
      <c r="AR595" s="434"/>
      <c r="AS595" s="434"/>
      <c r="AT595" s="434"/>
      <c r="AU595" s="434"/>
      <c r="AV595" s="434"/>
      <c r="AW595" s="434"/>
      <c r="AX595" s="434"/>
      <c r="AY595" s="434"/>
      <c r="AZ595" s="434"/>
      <c r="BA595" s="434"/>
      <c r="BB595" s="434"/>
      <c r="BC595" s="434"/>
      <c r="BD595" s="434"/>
      <c r="BE595" s="434"/>
      <c r="BF595" s="434"/>
    </row>
    <row r="596" spans="10:58" s="578" customFormat="1" ht="12.75">
      <c r="J596" s="1198"/>
      <c r="Q596" s="1151"/>
      <c r="X596" s="843"/>
      <c r="Y596" s="1151"/>
      <c r="AM596" s="434"/>
      <c r="AN596" s="434"/>
      <c r="AO596" s="434"/>
      <c r="AP596" s="434"/>
      <c r="AQ596" s="434"/>
      <c r="AR596" s="434"/>
      <c r="AS596" s="434"/>
      <c r="AT596" s="434"/>
      <c r="AU596" s="434"/>
      <c r="AV596" s="434"/>
      <c r="AW596" s="434"/>
      <c r="AX596" s="434"/>
      <c r="AY596" s="434"/>
      <c r="AZ596" s="434"/>
      <c r="BA596" s="434"/>
      <c r="BB596" s="434"/>
      <c r="BC596" s="434"/>
      <c r="BD596" s="434"/>
      <c r="BE596" s="434"/>
      <c r="BF596" s="434"/>
    </row>
    <row r="597" spans="10:58" s="578" customFormat="1" ht="12.75">
      <c r="J597" s="1198"/>
      <c r="Q597" s="1151"/>
      <c r="X597" s="843"/>
      <c r="Y597" s="1151"/>
      <c r="AM597" s="434"/>
      <c r="AN597" s="434"/>
      <c r="AO597" s="434"/>
      <c r="AP597" s="434"/>
      <c r="AQ597" s="434"/>
      <c r="AR597" s="434"/>
      <c r="AS597" s="434"/>
      <c r="AT597" s="434"/>
      <c r="AU597" s="434"/>
      <c r="AV597" s="434"/>
      <c r="AW597" s="434"/>
      <c r="AX597" s="434"/>
      <c r="AY597" s="434"/>
      <c r="AZ597" s="434"/>
      <c r="BA597" s="434"/>
      <c r="BB597" s="434"/>
      <c r="BC597" s="434"/>
      <c r="BD597" s="434"/>
      <c r="BE597" s="434"/>
      <c r="BF597" s="434"/>
    </row>
    <row r="598" spans="10:58" s="578" customFormat="1" ht="12.75">
      <c r="J598" s="1198"/>
      <c r="Q598" s="1151"/>
      <c r="X598" s="843"/>
      <c r="Y598" s="1151"/>
      <c r="AM598" s="434"/>
      <c r="AN598" s="434"/>
      <c r="AO598" s="434"/>
      <c r="AP598" s="434"/>
      <c r="AQ598" s="434"/>
      <c r="AR598" s="434"/>
      <c r="AS598" s="434"/>
      <c r="AT598" s="434"/>
      <c r="AU598" s="434"/>
      <c r="AV598" s="434"/>
      <c r="AW598" s="434"/>
      <c r="AX598" s="434"/>
      <c r="AY598" s="434"/>
      <c r="AZ598" s="434"/>
      <c r="BA598" s="434"/>
      <c r="BB598" s="434"/>
      <c r="BC598" s="434"/>
      <c r="BD598" s="434"/>
      <c r="BE598" s="434"/>
      <c r="BF598" s="434"/>
    </row>
    <row r="599" spans="10:58" s="578" customFormat="1" ht="12.75">
      <c r="J599" s="1198"/>
      <c r="Q599" s="1151"/>
      <c r="X599" s="843"/>
      <c r="Y599" s="1151"/>
      <c r="AM599" s="434"/>
      <c r="AN599" s="434"/>
      <c r="AO599" s="434"/>
      <c r="AP599" s="434"/>
      <c r="AQ599" s="434"/>
      <c r="AR599" s="434"/>
      <c r="AS599" s="434"/>
      <c r="AT599" s="434"/>
      <c r="AU599" s="434"/>
      <c r="AV599" s="434"/>
      <c r="AW599" s="434"/>
      <c r="AX599" s="434"/>
      <c r="AY599" s="434"/>
      <c r="AZ599" s="434"/>
      <c r="BA599" s="434"/>
      <c r="BB599" s="434"/>
      <c r="BC599" s="434"/>
      <c r="BD599" s="434"/>
      <c r="BE599" s="434"/>
      <c r="BF599" s="434"/>
    </row>
    <row r="600" spans="10:58" s="578" customFormat="1" ht="12.75">
      <c r="J600" s="1198"/>
      <c r="Q600" s="1151"/>
      <c r="X600" s="843"/>
      <c r="Y600" s="1151"/>
      <c r="AM600" s="434"/>
      <c r="AN600" s="434"/>
      <c r="AO600" s="434"/>
      <c r="AP600" s="434"/>
      <c r="AQ600" s="434"/>
      <c r="AR600" s="434"/>
      <c r="AS600" s="434"/>
      <c r="AT600" s="434"/>
      <c r="AU600" s="434"/>
      <c r="AV600" s="434"/>
      <c r="AW600" s="434"/>
      <c r="AX600" s="434"/>
      <c r="AY600" s="434"/>
      <c r="AZ600" s="434"/>
      <c r="BA600" s="434"/>
      <c r="BB600" s="434"/>
      <c r="BC600" s="434"/>
      <c r="BD600" s="434"/>
      <c r="BE600" s="434"/>
      <c r="BF600" s="434"/>
    </row>
    <row r="601" spans="10:58" s="578" customFormat="1" ht="12.75">
      <c r="J601" s="1198"/>
      <c r="Q601" s="1151"/>
      <c r="X601" s="843"/>
      <c r="Y601" s="1151"/>
      <c r="AM601" s="434"/>
      <c r="AN601" s="434"/>
      <c r="AO601" s="434"/>
      <c r="AP601" s="434"/>
      <c r="AQ601" s="434"/>
      <c r="AR601" s="434"/>
      <c r="AS601" s="434"/>
      <c r="AT601" s="434"/>
      <c r="AU601" s="434"/>
      <c r="AV601" s="434"/>
      <c r="AW601" s="434"/>
      <c r="AX601" s="434"/>
      <c r="AY601" s="434"/>
      <c r="AZ601" s="434"/>
      <c r="BA601" s="434"/>
      <c r="BB601" s="434"/>
      <c r="BC601" s="434"/>
      <c r="BD601" s="434"/>
      <c r="BE601" s="434"/>
      <c r="BF601" s="434"/>
    </row>
    <row r="602" spans="10:58" s="578" customFormat="1" ht="12.75">
      <c r="J602" s="1198"/>
      <c r="Q602" s="1151"/>
      <c r="X602" s="843"/>
      <c r="Y602" s="1151"/>
      <c r="AM602" s="434"/>
      <c r="AN602" s="434"/>
      <c r="AO602" s="434"/>
      <c r="AP602" s="434"/>
      <c r="AQ602" s="434"/>
      <c r="AR602" s="434"/>
      <c r="AS602" s="434"/>
      <c r="AT602" s="434"/>
      <c r="AU602" s="434"/>
      <c r="AV602" s="434"/>
      <c r="AW602" s="434"/>
      <c r="AX602" s="434"/>
      <c r="AY602" s="434"/>
      <c r="AZ602" s="434"/>
      <c r="BA602" s="434"/>
      <c r="BB602" s="434"/>
      <c r="BC602" s="434"/>
      <c r="BD602" s="434"/>
      <c r="BE602" s="434"/>
      <c r="BF602" s="434"/>
    </row>
    <row r="603" spans="10:58" s="578" customFormat="1" ht="12.75">
      <c r="J603" s="1198"/>
      <c r="Q603" s="1151"/>
      <c r="X603" s="843"/>
      <c r="Y603" s="1151"/>
      <c r="AM603" s="434"/>
      <c r="AN603" s="434"/>
      <c r="AO603" s="434"/>
      <c r="AP603" s="434"/>
      <c r="AQ603" s="434"/>
      <c r="AR603" s="434"/>
      <c r="AS603" s="434"/>
      <c r="AT603" s="434"/>
      <c r="AU603" s="434"/>
      <c r="AV603" s="434"/>
      <c r="AW603" s="434"/>
      <c r="AX603" s="434"/>
      <c r="AY603" s="434"/>
      <c r="AZ603" s="434"/>
      <c r="BA603" s="434"/>
      <c r="BB603" s="434"/>
      <c r="BC603" s="434"/>
      <c r="BD603" s="434"/>
      <c r="BE603" s="434"/>
      <c r="BF603" s="434"/>
    </row>
    <row r="604" spans="10:58" s="578" customFormat="1" ht="12.75">
      <c r="J604" s="1198"/>
      <c r="Q604" s="1151"/>
      <c r="X604" s="843"/>
      <c r="Y604" s="1151"/>
      <c r="AM604" s="434"/>
      <c r="AN604" s="434"/>
      <c r="AO604" s="434"/>
      <c r="AP604" s="434"/>
      <c r="AQ604" s="434"/>
      <c r="AR604" s="434"/>
      <c r="AS604" s="434"/>
      <c r="AT604" s="434"/>
      <c r="AU604" s="434"/>
      <c r="AV604" s="434"/>
      <c r="AW604" s="434"/>
      <c r="AX604" s="434"/>
      <c r="AY604" s="434"/>
      <c r="AZ604" s="434"/>
      <c r="BA604" s="434"/>
      <c r="BB604" s="434"/>
      <c r="BC604" s="434"/>
      <c r="BD604" s="434"/>
      <c r="BE604" s="434"/>
      <c r="BF604" s="434"/>
    </row>
    <row r="605" spans="10:58" s="578" customFormat="1" ht="12.75">
      <c r="J605" s="1198"/>
      <c r="Q605" s="1151"/>
      <c r="X605" s="843"/>
      <c r="Y605" s="1151"/>
      <c r="AM605" s="434"/>
      <c r="AN605" s="434"/>
      <c r="AO605" s="434"/>
      <c r="AP605" s="434"/>
      <c r="AQ605" s="434"/>
      <c r="AR605" s="434"/>
      <c r="AS605" s="434"/>
      <c r="AT605" s="434"/>
      <c r="AU605" s="434"/>
      <c r="AV605" s="434"/>
      <c r="AW605" s="434"/>
      <c r="AX605" s="434"/>
      <c r="AY605" s="434"/>
      <c r="AZ605" s="434"/>
      <c r="BA605" s="434"/>
      <c r="BB605" s="434"/>
      <c r="BC605" s="434"/>
      <c r="BD605" s="434"/>
      <c r="BE605" s="434"/>
      <c r="BF605" s="434"/>
    </row>
    <row r="606" spans="10:58" s="578" customFormat="1" ht="12.75">
      <c r="J606" s="1198"/>
      <c r="Q606" s="1151"/>
      <c r="X606" s="843"/>
      <c r="Y606" s="1151"/>
      <c r="AM606" s="434"/>
      <c r="AN606" s="434"/>
      <c r="AO606" s="434"/>
      <c r="AP606" s="434"/>
      <c r="AQ606" s="434"/>
      <c r="AR606" s="434"/>
      <c r="AS606" s="434"/>
      <c r="AT606" s="434"/>
      <c r="AU606" s="434"/>
      <c r="AV606" s="434"/>
      <c r="AW606" s="434"/>
      <c r="AX606" s="434"/>
      <c r="AY606" s="434"/>
      <c r="AZ606" s="434"/>
      <c r="BA606" s="434"/>
      <c r="BB606" s="434"/>
      <c r="BC606" s="434"/>
      <c r="BD606" s="434"/>
      <c r="BE606" s="434"/>
      <c r="BF606" s="434"/>
    </row>
    <row r="607" spans="10:58" s="578" customFormat="1" ht="12.75">
      <c r="J607" s="1198"/>
      <c r="Q607" s="1151"/>
      <c r="X607" s="843"/>
      <c r="Y607" s="1151"/>
      <c r="AM607" s="434"/>
      <c r="AN607" s="434"/>
      <c r="AO607" s="434"/>
      <c r="AP607" s="434"/>
      <c r="AQ607" s="434"/>
      <c r="AR607" s="434"/>
      <c r="AS607" s="434"/>
      <c r="AT607" s="434"/>
      <c r="AU607" s="434"/>
      <c r="AV607" s="434"/>
      <c r="AW607" s="434"/>
      <c r="AX607" s="434"/>
      <c r="AY607" s="434"/>
      <c r="AZ607" s="434"/>
      <c r="BA607" s="434"/>
      <c r="BB607" s="434"/>
      <c r="BC607" s="434"/>
      <c r="BD607" s="434"/>
      <c r="BE607" s="434"/>
      <c r="BF607" s="434"/>
    </row>
    <row r="608" spans="10:58" s="578" customFormat="1" ht="12.75">
      <c r="J608" s="1198"/>
      <c r="Q608" s="1151"/>
      <c r="X608" s="843"/>
      <c r="Y608" s="1151"/>
      <c r="AM608" s="434"/>
      <c r="AN608" s="434"/>
      <c r="AO608" s="434"/>
      <c r="AP608" s="434"/>
      <c r="AQ608" s="434"/>
      <c r="AR608" s="434"/>
      <c r="AS608" s="434"/>
      <c r="AT608" s="434"/>
      <c r="AU608" s="434"/>
      <c r="AV608" s="434"/>
      <c r="AW608" s="434"/>
      <c r="AX608" s="434"/>
      <c r="AY608" s="434"/>
      <c r="AZ608" s="434"/>
      <c r="BA608" s="434"/>
      <c r="BB608" s="434"/>
      <c r="BC608" s="434"/>
      <c r="BD608" s="434"/>
      <c r="BE608" s="434"/>
      <c r="BF608" s="434"/>
    </row>
    <row r="609" spans="10:58" s="578" customFormat="1" ht="12.75">
      <c r="J609" s="1198"/>
      <c r="Q609" s="1151"/>
      <c r="X609" s="843"/>
      <c r="Y609" s="1151"/>
      <c r="AM609" s="434"/>
      <c r="AN609" s="434"/>
      <c r="AO609" s="434"/>
      <c r="AP609" s="434"/>
      <c r="AQ609" s="434"/>
      <c r="AR609" s="434"/>
      <c r="AS609" s="434"/>
      <c r="AT609" s="434"/>
      <c r="AU609" s="434"/>
      <c r="AV609" s="434"/>
      <c r="AW609" s="434"/>
      <c r="AX609" s="434"/>
      <c r="AY609" s="434"/>
      <c r="AZ609" s="434"/>
      <c r="BA609" s="434"/>
      <c r="BB609" s="434"/>
      <c r="BC609" s="434"/>
      <c r="BD609" s="434"/>
      <c r="BE609" s="434"/>
      <c r="BF609" s="434"/>
    </row>
    <row r="610" spans="10:58" s="578" customFormat="1" ht="12.75">
      <c r="J610" s="1198"/>
      <c r="Q610" s="1151"/>
      <c r="X610" s="843"/>
      <c r="Y610" s="1151"/>
      <c r="AM610" s="434"/>
      <c r="AN610" s="434"/>
      <c r="AO610" s="434"/>
      <c r="AP610" s="434"/>
      <c r="AQ610" s="434"/>
      <c r="AR610" s="434"/>
      <c r="AS610" s="434"/>
      <c r="AT610" s="434"/>
      <c r="AU610" s="434"/>
      <c r="AV610" s="434"/>
      <c r="AW610" s="434"/>
      <c r="AX610" s="434"/>
      <c r="AY610" s="434"/>
      <c r="AZ610" s="434"/>
      <c r="BA610" s="434"/>
      <c r="BB610" s="434"/>
      <c r="BC610" s="434"/>
      <c r="BD610" s="434"/>
      <c r="BE610" s="434"/>
      <c r="BF610" s="434"/>
    </row>
    <row r="611" spans="10:58" s="578" customFormat="1" ht="12.75">
      <c r="J611" s="1198"/>
      <c r="Q611" s="1151"/>
      <c r="X611" s="843"/>
      <c r="Y611" s="1151"/>
      <c r="AM611" s="434"/>
      <c r="AN611" s="434"/>
      <c r="AO611" s="434"/>
      <c r="AP611" s="434"/>
      <c r="AQ611" s="434"/>
      <c r="AR611" s="434"/>
      <c r="AS611" s="434"/>
      <c r="AT611" s="434"/>
      <c r="AU611" s="434"/>
      <c r="AV611" s="434"/>
      <c r="AW611" s="434"/>
      <c r="AX611" s="434"/>
      <c r="AY611" s="434"/>
      <c r="AZ611" s="434"/>
      <c r="BA611" s="434"/>
      <c r="BB611" s="434"/>
      <c r="BC611" s="434"/>
      <c r="BD611" s="434"/>
      <c r="BE611" s="434"/>
      <c r="BF611" s="434"/>
    </row>
    <row r="612" spans="10:58" s="578" customFormat="1" ht="12.75">
      <c r="J612" s="1198"/>
      <c r="Q612" s="1151"/>
      <c r="X612" s="843"/>
      <c r="Y612" s="1151"/>
      <c r="AM612" s="434"/>
      <c r="AN612" s="434"/>
      <c r="AO612" s="434"/>
      <c r="AP612" s="434"/>
      <c r="AQ612" s="434"/>
      <c r="AR612" s="434"/>
      <c r="AS612" s="434"/>
      <c r="AT612" s="434"/>
      <c r="AU612" s="434"/>
      <c r="AV612" s="434"/>
      <c r="AW612" s="434"/>
      <c r="AX612" s="434"/>
      <c r="AY612" s="434"/>
      <c r="AZ612" s="434"/>
      <c r="BA612" s="434"/>
      <c r="BB612" s="434"/>
      <c r="BC612" s="434"/>
      <c r="BD612" s="434"/>
      <c r="BE612" s="434"/>
      <c r="BF612" s="434"/>
    </row>
    <row r="613" spans="10:58" s="578" customFormat="1" ht="12.75">
      <c r="J613" s="1198"/>
      <c r="Q613" s="1151"/>
      <c r="X613" s="843"/>
      <c r="Y613" s="1151"/>
      <c r="AM613" s="434"/>
      <c r="AN613" s="434"/>
      <c r="AO613" s="434"/>
      <c r="AP613" s="434"/>
      <c r="AQ613" s="434"/>
      <c r="AR613" s="434"/>
      <c r="AS613" s="434"/>
      <c r="AT613" s="434"/>
      <c r="AU613" s="434"/>
      <c r="AV613" s="434"/>
      <c r="AW613" s="434"/>
      <c r="AX613" s="434"/>
      <c r="AY613" s="434"/>
      <c r="AZ613" s="434"/>
      <c r="BA613" s="434"/>
      <c r="BB613" s="434"/>
      <c r="BC613" s="434"/>
      <c r="BD613" s="434"/>
      <c r="BE613" s="434"/>
      <c r="BF613" s="434"/>
    </row>
    <row r="614" spans="10:58" s="578" customFormat="1" ht="12.75">
      <c r="J614" s="1198"/>
      <c r="Q614" s="1151"/>
      <c r="X614" s="843"/>
      <c r="Y614" s="1151"/>
      <c r="AM614" s="434"/>
      <c r="AN614" s="434"/>
      <c r="AO614" s="434"/>
      <c r="AP614" s="434"/>
      <c r="AQ614" s="434"/>
      <c r="AR614" s="434"/>
      <c r="AS614" s="434"/>
      <c r="AT614" s="434"/>
      <c r="AU614" s="434"/>
      <c r="AV614" s="434"/>
      <c r="AW614" s="434"/>
      <c r="AX614" s="434"/>
      <c r="AY614" s="434"/>
      <c r="AZ614" s="434"/>
      <c r="BA614" s="434"/>
      <c r="BB614" s="434"/>
      <c r="BC614" s="434"/>
      <c r="BD614" s="434"/>
      <c r="BE614" s="434"/>
      <c r="BF614" s="434"/>
    </row>
    <row r="615" spans="10:58" s="578" customFormat="1" ht="12.75">
      <c r="J615" s="1198"/>
      <c r="Q615" s="1151"/>
      <c r="X615" s="843"/>
      <c r="Y615" s="1151"/>
      <c r="AM615" s="434"/>
      <c r="AN615" s="434"/>
      <c r="AO615" s="434"/>
      <c r="AP615" s="434"/>
      <c r="AQ615" s="434"/>
      <c r="AR615" s="434"/>
      <c r="AS615" s="434"/>
      <c r="AT615" s="434"/>
      <c r="AU615" s="434"/>
      <c r="AV615" s="434"/>
      <c r="AW615" s="434"/>
      <c r="AX615" s="434"/>
      <c r="AY615" s="434"/>
      <c r="AZ615" s="434"/>
      <c r="BA615" s="434"/>
      <c r="BB615" s="434"/>
      <c r="BC615" s="434"/>
      <c r="BD615" s="434"/>
      <c r="BE615" s="434"/>
      <c r="BF615" s="434"/>
    </row>
    <row r="616" spans="10:58" s="578" customFormat="1" ht="12.75">
      <c r="J616" s="1198"/>
      <c r="Q616" s="1151"/>
      <c r="X616" s="843"/>
      <c r="Y616" s="1151"/>
      <c r="AM616" s="434"/>
      <c r="AN616" s="434"/>
      <c r="AO616" s="434"/>
      <c r="AP616" s="434"/>
      <c r="AQ616" s="434"/>
      <c r="AR616" s="434"/>
      <c r="AS616" s="434"/>
      <c r="AT616" s="434"/>
      <c r="AU616" s="434"/>
      <c r="AV616" s="434"/>
      <c r="AW616" s="434"/>
      <c r="AX616" s="434"/>
      <c r="AY616" s="434"/>
      <c r="AZ616" s="434"/>
      <c r="BA616" s="434"/>
      <c r="BB616" s="434"/>
      <c r="BC616" s="434"/>
      <c r="BD616" s="434"/>
      <c r="BE616" s="434"/>
      <c r="BF616" s="434"/>
    </row>
    <row r="617" spans="10:58" s="578" customFormat="1" ht="12.75">
      <c r="J617" s="1198"/>
      <c r="Q617" s="1151"/>
      <c r="X617" s="843"/>
      <c r="Y617" s="1151"/>
      <c r="AM617" s="434"/>
      <c r="AN617" s="434"/>
      <c r="AO617" s="434"/>
      <c r="AP617" s="434"/>
      <c r="AQ617" s="434"/>
      <c r="AR617" s="434"/>
      <c r="AS617" s="434"/>
      <c r="AT617" s="434"/>
      <c r="AU617" s="434"/>
      <c r="AV617" s="434"/>
      <c r="AW617" s="434"/>
      <c r="AX617" s="434"/>
      <c r="AY617" s="434"/>
      <c r="AZ617" s="434"/>
      <c r="BA617" s="434"/>
      <c r="BB617" s="434"/>
      <c r="BC617" s="434"/>
      <c r="BD617" s="434"/>
      <c r="BE617" s="434"/>
      <c r="BF617" s="434"/>
    </row>
    <row r="618" spans="10:58" s="578" customFormat="1" ht="12.75">
      <c r="J618" s="1198"/>
      <c r="Q618" s="1151"/>
      <c r="X618" s="843"/>
      <c r="Y618" s="1151"/>
      <c r="AM618" s="434"/>
      <c r="AN618" s="434"/>
      <c r="AO618" s="434"/>
      <c r="AP618" s="434"/>
      <c r="AQ618" s="434"/>
      <c r="AR618" s="434"/>
      <c r="AS618" s="434"/>
      <c r="AT618" s="434"/>
      <c r="AU618" s="434"/>
      <c r="AV618" s="434"/>
      <c r="AW618" s="434"/>
      <c r="AX618" s="434"/>
      <c r="AY618" s="434"/>
      <c r="AZ618" s="434"/>
      <c r="BA618" s="434"/>
      <c r="BB618" s="434"/>
      <c r="BC618" s="434"/>
      <c r="BD618" s="434"/>
      <c r="BE618" s="434"/>
      <c r="BF618" s="434"/>
    </row>
    <row r="619" spans="10:58" s="578" customFormat="1" ht="12.75">
      <c r="J619" s="1198"/>
      <c r="Q619" s="1151"/>
      <c r="X619" s="843"/>
      <c r="Y619" s="1151"/>
      <c r="AM619" s="434"/>
      <c r="AN619" s="434"/>
      <c r="AO619" s="434"/>
      <c r="AP619" s="434"/>
      <c r="AQ619" s="434"/>
      <c r="AR619" s="434"/>
      <c r="AS619" s="434"/>
      <c r="AT619" s="434"/>
      <c r="AU619" s="434"/>
      <c r="AV619" s="434"/>
      <c r="AW619" s="434"/>
      <c r="AX619" s="434"/>
      <c r="AY619" s="434"/>
      <c r="AZ619" s="434"/>
      <c r="BA619" s="434"/>
      <c r="BB619" s="434"/>
      <c r="BC619" s="434"/>
      <c r="BD619" s="434"/>
      <c r="BE619" s="434"/>
      <c r="BF619" s="434"/>
    </row>
    <row r="620" spans="10:58" s="578" customFormat="1" ht="12.75">
      <c r="J620" s="1198"/>
      <c r="Q620" s="1151"/>
      <c r="X620" s="843"/>
      <c r="Y620" s="1151"/>
      <c r="AM620" s="434"/>
      <c r="AN620" s="434"/>
      <c r="AO620" s="434"/>
      <c r="AP620" s="434"/>
      <c r="AQ620" s="434"/>
      <c r="AR620" s="434"/>
      <c r="AS620" s="434"/>
      <c r="AT620" s="434"/>
      <c r="AU620" s="434"/>
      <c r="AV620" s="434"/>
      <c r="AW620" s="434"/>
      <c r="AX620" s="434"/>
      <c r="AY620" s="434"/>
      <c r="AZ620" s="434"/>
      <c r="BA620" s="434"/>
      <c r="BB620" s="434"/>
      <c r="BC620" s="434"/>
      <c r="BD620" s="434"/>
      <c r="BE620" s="434"/>
      <c r="BF620" s="434"/>
    </row>
    <row r="621" spans="10:58" s="578" customFormat="1" ht="12.75">
      <c r="J621" s="1198"/>
      <c r="Q621" s="1151"/>
      <c r="X621" s="843"/>
      <c r="Y621" s="1151"/>
      <c r="AM621" s="434"/>
      <c r="AN621" s="434"/>
      <c r="AO621" s="434"/>
      <c r="AP621" s="434"/>
      <c r="AQ621" s="434"/>
      <c r="AR621" s="434"/>
      <c r="AS621" s="434"/>
      <c r="AT621" s="434"/>
      <c r="AU621" s="434"/>
      <c r="AV621" s="434"/>
      <c r="AW621" s="434"/>
      <c r="AX621" s="434"/>
      <c r="AY621" s="434"/>
      <c r="AZ621" s="434"/>
      <c r="BA621" s="434"/>
      <c r="BB621" s="434"/>
      <c r="BC621" s="434"/>
      <c r="BD621" s="434"/>
      <c r="BE621" s="434"/>
      <c r="BF621" s="434"/>
    </row>
    <row r="622" spans="10:58" s="578" customFormat="1" ht="12.75">
      <c r="J622" s="1198"/>
      <c r="Q622" s="1151"/>
      <c r="X622" s="843"/>
      <c r="Y622" s="1151"/>
      <c r="AM622" s="434"/>
      <c r="AN622" s="434"/>
      <c r="AO622" s="434"/>
      <c r="AP622" s="434"/>
      <c r="AQ622" s="434"/>
      <c r="AR622" s="434"/>
      <c r="AS622" s="434"/>
      <c r="AT622" s="434"/>
      <c r="AU622" s="434"/>
      <c r="AV622" s="434"/>
      <c r="AW622" s="434"/>
      <c r="AX622" s="434"/>
      <c r="AY622" s="434"/>
      <c r="AZ622" s="434"/>
      <c r="BA622" s="434"/>
      <c r="BB622" s="434"/>
      <c r="BC622" s="434"/>
      <c r="BD622" s="434"/>
      <c r="BE622" s="434"/>
      <c r="BF622" s="434"/>
    </row>
    <row r="623" spans="10:58" s="578" customFormat="1" ht="12.75">
      <c r="J623" s="1198"/>
      <c r="Q623" s="1151"/>
      <c r="X623" s="843"/>
      <c r="Y623" s="1151"/>
      <c r="AM623" s="434"/>
      <c r="AN623" s="434"/>
      <c r="AO623" s="434"/>
      <c r="AP623" s="434"/>
      <c r="AQ623" s="434"/>
      <c r="AR623" s="434"/>
      <c r="AS623" s="434"/>
      <c r="AT623" s="434"/>
      <c r="AU623" s="434"/>
      <c r="AV623" s="434"/>
      <c r="AW623" s="434"/>
      <c r="AX623" s="434"/>
      <c r="AY623" s="434"/>
      <c r="AZ623" s="434"/>
      <c r="BA623" s="434"/>
      <c r="BB623" s="434"/>
      <c r="BC623" s="434"/>
      <c r="BD623" s="434"/>
      <c r="BE623" s="434"/>
      <c r="BF623" s="434"/>
    </row>
    <row r="624" spans="10:58" s="578" customFormat="1" ht="12.75">
      <c r="J624" s="1198"/>
      <c r="Q624" s="1151"/>
      <c r="X624" s="843"/>
      <c r="Y624" s="1151"/>
      <c r="AM624" s="434"/>
      <c r="AN624" s="434"/>
      <c r="AO624" s="434"/>
      <c r="AP624" s="434"/>
      <c r="AQ624" s="434"/>
      <c r="AR624" s="434"/>
      <c r="AS624" s="434"/>
      <c r="AT624" s="434"/>
      <c r="AU624" s="434"/>
      <c r="AV624" s="434"/>
      <c r="AW624" s="434"/>
      <c r="AX624" s="434"/>
      <c r="AY624" s="434"/>
      <c r="AZ624" s="434"/>
      <c r="BA624" s="434"/>
      <c r="BB624" s="434"/>
      <c r="BC624" s="434"/>
      <c r="BD624" s="434"/>
      <c r="BE624" s="434"/>
      <c r="BF624" s="434"/>
    </row>
    <row r="625" spans="10:58" s="578" customFormat="1" ht="12.75">
      <c r="J625" s="1198"/>
      <c r="Q625" s="1151"/>
      <c r="X625" s="843"/>
      <c r="Y625" s="1151"/>
      <c r="AM625" s="434"/>
      <c r="AN625" s="434"/>
      <c r="AO625" s="434"/>
      <c r="AP625" s="434"/>
      <c r="AQ625" s="434"/>
      <c r="AR625" s="434"/>
      <c r="AS625" s="434"/>
      <c r="AT625" s="434"/>
      <c r="AU625" s="434"/>
      <c r="AV625" s="434"/>
      <c r="AW625" s="434"/>
      <c r="AX625" s="434"/>
      <c r="AY625" s="434"/>
      <c r="AZ625" s="434"/>
      <c r="BA625" s="434"/>
      <c r="BB625" s="434"/>
      <c r="BC625" s="434"/>
      <c r="BD625" s="434"/>
      <c r="BE625" s="434"/>
      <c r="BF625" s="434"/>
    </row>
    <row r="626" spans="10:58" s="578" customFormat="1" ht="12.75">
      <c r="J626" s="1198"/>
      <c r="Q626" s="1151"/>
      <c r="X626" s="843"/>
      <c r="Y626" s="1151"/>
      <c r="AM626" s="434"/>
      <c r="AN626" s="434"/>
      <c r="AO626" s="434"/>
      <c r="AP626" s="434"/>
      <c r="AQ626" s="434"/>
      <c r="AR626" s="434"/>
      <c r="AS626" s="434"/>
      <c r="AT626" s="434"/>
      <c r="AU626" s="434"/>
      <c r="AV626" s="434"/>
      <c r="AW626" s="434"/>
      <c r="AX626" s="434"/>
      <c r="AY626" s="434"/>
      <c r="AZ626" s="434"/>
      <c r="BA626" s="434"/>
      <c r="BB626" s="434"/>
      <c r="BC626" s="434"/>
      <c r="BD626" s="434"/>
      <c r="BE626" s="434"/>
      <c r="BF626" s="434"/>
    </row>
    <row r="627" spans="10:58" s="578" customFormat="1" ht="12.75">
      <c r="J627" s="1198"/>
      <c r="Q627" s="1151"/>
      <c r="X627" s="843"/>
      <c r="Y627" s="1151"/>
      <c r="AM627" s="434"/>
      <c r="AN627" s="434"/>
      <c r="AO627" s="434"/>
      <c r="AP627" s="434"/>
      <c r="AQ627" s="434"/>
      <c r="AR627" s="434"/>
      <c r="AS627" s="434"/>
      <c r="AT627" s="434"/>
      <c r="AU627" s="434"/>
      <c r="AV627" s="434"/>
      <c r="AW627" s="434"/>
      <c r="AX627" s="434"/>
      <c r="AY627" s="434"/>
      <c r="AZ627" s="434"/>
      <c r="BA627" s="434"/>
      <c r="BB627" s="434"/>
      <c r="BC627" s="434"/>
      <c r="BD627" s="434"/>
      <c r="BE627" s="434"/>
      <c r="BF627" s="434"/>
    </row>
    <row r="628" spans="10:58" s="578" customFormat="1" ht="12.75">
      <c r="J628" s="1198"/>
      <c r="Q628" s="1151"/>
      <c r="X628" s="843"/>
      <c r="Y628" s="1151"/>
      <c r="AM628" s="434"/>
      <c r="AN628" s="434"/>
      <c r="AO628" s="434"/>
      <c r="AP628" s="434"/>
      <c r="AQ628" s="434"/>
      <c r="AR628" s="434"/>
      <c r="AS628" s="434"/>
      <c r="AT628" s="434"/>
      <c r="AU628" s="434"/>
      <c r="AV628" s="434"/>
      <c r="AW628" s="434"/>
      <c r="AX628" s="434"/>
      <c r="AY628" s="434"/>
      <c r="AZ628" s="434"/>
      <c r="BA628" s="434"/>
      <c r="BB628" s="434"/>
      <c r="BC628" s="434"/>
      <c r="BD628" s="434"/>
      <c r="BE628" s="434"/>
      <c r="BF628" s="434"/>
    </row>
    <row r="629" spans="10:58" s="578" customFormat="1" ht="12.75">
      <c r="J629" s="1198"/>
      <c r="Q629" s="1151"/>
      <c r="X629" s="843"/>
      <c r="Y629" s="1151"/>
      <c r="AM629" s="434"/>
      <c r="AN629" s="434"/>
      <c r="AO629" s="434"/>
      <c r="AP629" s="434"/>
      <c r="AQ629" s="434"/>
      <c r="AR629" s="434"/>
      <c r="AS629" s="434"/>
      <c r="AT629" s="434"/>
      <c r="AU629" s="434"/>
      <c r="AV629" s="434"/>
      <c r="AW629" s="434"/>
      <c r="AX629" s="434"/>
      <c r="AY629" s="434"/>
      <c r="AZ629" s="434"/>
      <c r="BA629" s="434"/>
      <c r="BB629" s="434"/>
      <c r="BC629" s="434"/>
      <c r="BD629" s="434"/>
      <c r="BE629" s="434"/>
      <c r="BF629" s="434"/>
    </row>
    <row r="630" spans="10:58" s="578" customFormat="1" ht="12.75">
      <c r="J630" s="1198"/>
      <c r="Q630" s="1151"/>
      <c r="X630" s="843"/>
      <c r="Y630" s="1151"/>
      <c r="AM630" s="434"/>
      <c r="AN630" s="434"/>
      <c r="AO630" s="434"/>
      <c r="AP630" s="434"/>
      <c r="AQ630" s="434"/>
      <c r="AR630" s="434"/>
      <c r="AS630" s="434"/>
      <c r="AT630" s="434"/>
      <c r="AU630" s="434"/>
      <c r="AV630" s="434"/>
      <c r="AW630" s="434"/>
      <c r="AX630" s="434"/>
      <c r="AY630" s="434"/>
      <c r="AZ630" s="434"/>
      <c r="BA630" s="434"/>
      <c r="BB630" s="434"/>
      <c r="BC630" s="434"/>
      <c r="BD630" s="434"/>
      <c r="BE630" s="434"/>
      <c r="BF630" s="434"/>
    </row>
    <row r="631" spans="10:58" s="578" customFormat="1" ht="12.75">
      <c r="J631" s="1198"/>
      <c r="Q631" s="1151"/>
      <c r="X631" s="843"/>
      <c r="Y631" s="1151"/>
      <c r="AM631" s="434"/>
      <c r="AN631" s="434"/>
      <c r="AO631" s="434"/>
      <c r="AP631" s="434"/>
      <c r="AQ631" s="434"/>
      <c r="AR631" s="434"/>
      <c r="AS631" s="434"/>
      <c r="AT631" s="434"/>
      <c r="AU631" s="434"/>
      <c r="AV631" s="434"/>
      <c r="AW631" s="434"/>
      <c r="AX631" s="434"/>
      <c r="AY631" s="434"/>
      <c r="AZ631" s="434"/>
      <c r="BA631" s="434"/>
      <c r="BB631" s="434"/>
      <c r="BC631" s="434"/>
      <c r="BD631" s="434"/>
      <c r="BE631" s="434"/>
      <c r="BF631" s="434"/>
    </row>
    <row r="632" spans="10:58" s="578" customFormat="1" ht="12.75">
      <c r="J632" s="1198"/>
      <c r="Q632" s="1151"/>
      <c r="X632" s="843"/>
      <c r="Y632" s="1151"/>
      <c r="AM632" s="434"/>
      <c r="AN632" s="434"/>
      <c r="AO632" s="434"/>
      <c r="AP632" s="434"/>
      <c r="AQ632" s="434"/>
      <c r="AR632" s="434"/>
      <c r="AS632" s="434"/>
      <c r="AT632" s="434"/>
      <c r="AU632" s="434"/>
      <c r="AV632" s="434"/>
      <c r="AW632" s="434"/>
      <c r="AX632" s="434"/>
      <c r="AY632" s="434"/>
      <c r="AZ632" s="434"/>
      <c r="BA632" s="434"/>
      <c r="BB632" s="434"/>
      <c r="BC632" s="434"/>
      <c r="BD632" s="434"/>
      <c r="BE632" s="434"/>
      <c r="BF632" s="434"/>
    </row>
    <row r="633" spans="10:58" s="578" customFormat="1" ht="12.75">
      <c r="J633" s="1198"/>
      <c r="Q633" s="1151"/>
      <c r="X633" s="843"/>
      <c r="Y633" s="1151"/>
      <c r="AM633" s="434"/>
      <c r="AN633" s="434"/>
      <c r="AO633" s="434"/>
      <c r="AP633" s="434"/>
      <c r="AQ633" s="434"/>
      <c r="AR633" s="434"/>
      <c r="AS633" s="434"/>
      <c r="AT633" s="434"/>
      <c r="AU633" s="434"/>
      <c r="AV633" s="434"/>
      <c r="AW633" s="434"/>
      <c r="AX633" s="434"/>
      <c r="AY633" s="434"/>
      <c r="AZ633" s="434"/>
      <c r="BA633" s="434"/>
      <c r="BB633" s="434"/>
      <c r="BC633" s="434"/>
      <c r="BD633" s="434"/>
      <c r="BE633" s="434"/>
      <c r="BF633" s="434"/>
    </row>
    <row r="634" spans="10:58" s="578" customFormat="1" ht="12.75">
      <c r="J634" s="1198"/>
      <c r="Q634" s="1151"/>
      <c r="X634" s="843"/>
      <c r="Y634" s="1151"/>
      <c r="AM634" s="434"/>
      <c r="AN634" s="434"/>
      <c r="AO634" s="434"/>
      <c r="AP634" s="434"/>
      <c r="AQ634" s="434"/>
      <c r="AR634" s="434"/>
      <c r="AS634" s="434"/>
      <c r="AT634" s="434"/>
      <c r="AU634" s="434"/>
      <c r="AV634" s="434"/>
      <c r="AW634" s="434"/>
      <c r="AX634" s="434"/>
      <c r="AY634" s="434"/>
      <c r="AZ634" s="434"/>
      <c r="BA634" s="434"/>
      <c r="BB634" s="434"/>
      <c r="BC634" s="434"/>
      <c r="BD634" s="434"/>
      <c r="BE634" s="434"/>
      <c r="BF634" s="434"/>
    </row>
    <row r="635" spans="10:58" s="578" customFormat="1" ht="12.75">
      <c r="J635" s="1198"/>
      <c r="Q635" s="1151"/>
      <c r="X635" s="843"/>
      <c r="Y635" s="1151"/>
      <c r="AM635" s="434"/>
      <c r="AN635" s="434"/>
      <c r="AO635" s="434"/>
      <c r="AP635" s="434"/>
      <c r="AQ635" s="434"/>
      <c r="AR635" s="434"/>
      <c r="AS635" s="434"/>
      <c r="AT635" s="434"/>
      <c r="AU635" s="434"/>
      <c r="AV635" s="434"/>
      <c r="AW635" s="434"/>
      <c r="AX635" s="434"/>
      <c r="AY635" s="434"/>
      <c r="AZ635" s="434"/>
      <c r="BA635" s="434"/>
      <c r="BB635" s="434"/>
      <c r="BC635" s="434"/>
      <c r="BD635" s="434"/>
      <c r="BE635" s="434"/>
      <c r="BF635" s="434"/>
    </row>
    <row r="636" spans="10:58" s="578" customFormat="1" ht="12.75">
      <c r="J636" s="1198"/>
      <c r="Q636" s="1151"/>
      <c r="X636" s="843"/>
      <c r="Y636" s="1151"/>
      <c r="AM636" s="434"/>
      <c r="AN636" s="434"/>
      <c r="AO636" s="434"/>
      <c r="AP636" s="434"/>
      <c r="AQ636" s="434"/>
      <c r="AR636" s="434"/>
      <c r="AS636" s="434"/>
      <c r="AT636" s="434"/>
      <c r="AU636" s="434"/>
      <c r="AV636" s="434"/>
      <c r="AW636" s="434"/>
      <c r="AX636" s="434"/>
      <c r="AY636" s="434"/>
      <c r="AZ636" s="434"/>
      <c r="BA636" s="434"/>
      <c r="BB636" s="434"/>
      <c r="BC636" s="434"/>
      <c r="BD636" s="434"/>
      <c r="BE636" s="434"/>
      <c r="BF636" s="434"/>
    </row>
    <row r="637" spans="10:58" s="578" customFormat="1" ht="12.75">
      <c r="J637" s="1198"/>
      <c r="Q637" s="1151"/>
      <c r="X637" s="843"/>
      <c r="Y637" s="1151"/>
      <c r="AM637" s="434"/>
      <c r="AN637" s="434"/>
      <c r="AO637" s="434"/>
      <c r="AP637" s="434"/>
      <c r="AQ637" s="434"/>
      <c r="AR637" s="434"/>
      <c r="AS637" s="434"/>
      <c r="AT637" s="434"/>
      <c r="AU637" s="434"/>
      <c r="AV637" s="434"/>
      <c r="AW637" s="434"/>
      <c r="AX637" s="434"/>
      <c r="AY637" s="434"/>
      <c r="AZ637" s="434"/>
      <c r="BA637" s="434"/>
      <c r="BB637" s="434"/>
      <c r="BC637" s="434"/>
      <c r="BD637" s="434"/>
      <c r="BE637" s="434"/>
      <c r="BF637" s="434"/>
    </row>
    <row r="638" spans="10:58" s="578" customFormat="1" ht="12.75">
      <c r="J638" s="1198"/>
      <c r="Q638" s="1151"/>
      <c r="X638" s="843"/>
      <c r="Y638" s="1151"/>
      <c r="AM638" s="434"/>
      <c r="AN638" s="434"/>
      <c r="AO638" s="434"/>
      <c r="AP638" s="434"/>
      <c r="AQ638" s="434"/>
      <c r="AR638" s="434"/>
      <c r="AS638" s="434"/>
      <c r="AT638" s="434"/>
      <c r="AU638" s="434"/>
      <c r="AV638" s="434"/>
      <c r="AW638" s="434"/>
      <c r="AX638" s="434"/>
      <c r="AY638" s="434"/>
      <c r="AZ638" s="434"/>
      <c r="BA638" s="434"/>
      <c r="BB638" s="434"/>
      <c r="BC638" s="434"/>
      <c r="BD638" s="434"/>
      <c r="BE638" s="434"/>
      <c r="BF638" s="434"/>
    </row>
    <row r="639" spans="10:58" s="578" customFormat="1" ht="12.75">
      <c r="J639" s="1198"/>
      <c r="Q639" s="1151"/>
      <c r="X639" s="843"/>
      <c r="Y639" s="1151"/>
      <c r="AM639" s="434"/>
      <c r="AN639" s="434"/>
      <c r="AO639" s="434"/>
      <c r="AP639" s="434"/>
      <c r="AQ639" s="434"/>
      <c r="AR639" s="434"/>
      <c r="AS639" s="434"/>
      <c r="AT639" s="434"/>
      <c r="AU639" s="434"/>
      <c r="AV639" s="434"/>
      <c r="AW639" s="434"/>
      <c r="AX639" s="434"/>
      <c r="AY639" s="434"/>
      <c r="AZ639" s="434"/>
      <c r="BA639" s="434"/>
      <c r="BB639" s="434"/>
      <c r="BC639" s="434"/>
      <c r="BD639" s="434"/>
      <c r="BE639" s="434"/>
      <c r="BF639" s="434"/>
    </row>
    <row r="640" spans="10:58" s="578" customFormat="1" ht="12.75">
      <c r="J640" s="1198"/>
      <c r="Q640" s="1151"/>
      <c r="X640" s="843"/>
      <c r="Y640" s="1151"/>
      <c r="AM640" s="434"/>
      <c r="AN640" s="434"/>
      <c r="AO640" s="434"/>
      <c r="AP640" s="434"/>
      <c r="AQ640" s="434"/>
      <c r="AR640" s="434"/>
      <c r="AS640" s="434"/>
      <c r="AT640" s="434"/>
      <c r="AU640" s="434"/>
      <c r="AV640" s="434"/>
      <c r="AW640" s="434"/>
      <c r="AX640" s="434"/>
      <c r="AY640" s="434"/>
      <c r="AZ640" s="434"/>
      <c r="BA640" s="434"/>
      <c r="BB640" s="434"/>
      <c r="BC640" s="434"/>
      <c r="BD640" s="434"/>
      <c r="BE640" s="434"/>
      <c r="BF640" s="434"/>
    </row>
    <row r="641" spans="10:58" s="578" customFormat="1" ht="12.75">
      <c r="J641" s="1198"/>
      <c r="Q641" s="1151"/>
      <c r="X641" s="843"/>
      <c r="Y641" s="1151"/>
      <c r="AM641" s="434"/>
      <c r="AN641" s="434"/>
      <c r="AO641" s="434"/>
      <c r="AP641" s="434"/>
      <c r="AQ641" s="434"/>
      <c r="AR641" s="434"/>
      <c r="AS641" s="434"/>
      <c r="AT641" s="434"/>
      <c r="AU641" s="434"/>
      <c r="AV641" s="434"/>
      <c r="AW641" s="434"/>
      <c r="AX641" s="434"/>
      <c r="AY641" s="434"/>
      <c r="AZ641" s="434"/>
      <c r="BA641" s="434"/>
      <c r="BB641" s="434"/>
      <c r="BC641" s="434"/>
      <c r="BD641" s="434"/>
      <c r="BE641" s="434"/>
      <c r="BF641" s="434"/>
    </row>
    <row r="642" spans="10:58" s="578" customFormat="1" ht="12.75">
      <c r="J642" s="1198"/>
      <c r="Q642" s="1151"/>
      <c r="X642" s="843"/>
      <c r="Y642" s="1151"/>
      <c r="AM642" s="434"/>
      <c r="AN642" s="434"/>
      <c r="AO642" s="434"/>
      <c r="AP642" s="434"/>
      <c r="AQ642" s="434"/>
      <c r="AR642" s="434"/>
      <c r="AS642" s="434"/>
      <c r="AT642" s="434"/>
      <c r="AU642" s="434"/>
      <c r="AV642" s="434"/>
      <c r="AW642" s="434"/>
      <c r="AX642" s="434"/>
      <c r="AY642" s="434"/>
      <c r="AZ642" s="434"/>
      <c r="BA642" s="434"/>
      <c r="BB642" s="434"/>
      <c r="BC642" s="434"/>
      <c r="BD642" s="434"/>
      <c r="BE642" s="434"/>
      <c r="BF642" s="434"/>
    </row>
    <row r="643" spans="10:58" s="578" customFormat="1" ht="12.75">
      <c r="J643" s="1198"/>
      <c r="Q643" s="1151"/>
      <c r="X643" s="843"/>
      <c r="Y643" s="1151"/>
      <c r="AM643" s="434"/>
      <c r="AN643" s="434"/>
      <c r="AO643" s="434"/>
      <c r="AP643" s="434"/>
      <c r="AQ643" s="434"/>
      <c r="AR643" s="434"/>
      <c r="AS643" s="434"/>
      <c r="AT643" s="434"/>
      <c r="AU643" s="434"/>
      <c r="AV643" s="434"/>
      <c r="AW643" s="434"/>
      <c r="AX643" s="434"/>
      <c r="AY643" s="434"/>
      <c r="AZ643" s="434"/>
      <c r="BA643" s="434"/>
      <c r="BB643" s="434"/>
      <c r="BC643" s="434"/>
      <c r="BD643" s="434"/>
      <c r="BE643" s="434"/>
      <c r="BF643" s="434"/>
    </row>
    <row r="644" spans="10:58" s="578" customFormat="1" ht="12.75">
      <c r="J644" s="1198"/>
      <c r="Q644" s="1151"/>
      <c r="X644" s="843"/>
      <c r="Y644" s="1151"/>
      <c r="AM644" s="434"/>
      <c r="AN644" s="434"/>
      <c r="AO644" s="434"/>
      <c r="AP644" s="434"/>
      <c r="AQ644" s="434"/>
      <c r="AR644" s="434"/>
      <c r="AS644" s="434"/>
      <c r="AT644" s="434"/>
      <c r="AU644" s="434"/>
      <c r="AV644" s="434"/>
      <c r="AW644" s="434"/>
      <c r="AX644" s="434"/>
      <c r="AY644" s="434"/>
      <c r="AZ644" s="434"/>
      <c r="BA644" s="434"/>
      <c r="BB644" s="434"/>
      <c r="BC644" s="434"/>
      <c r="BD644" s="434"/>
      <c r="BE644" s="434"/>
      <c r="BF644" s="434"/>
    </row>
    <row r="645" spans="10:58" s="578" customFormat="1" ht="12.75">
      <c r="J645" s="1198"/>
      <c r="Q645" s="1151"/>
      <c r="X645" s="843"/>
      <c r="Y645" s="1151"/>
      <c r="AM645" s="434"/>
      <c r="AN645" s="434"/>
      <c r="AO645" s="434"/>
      <c r="AP645" s="434"/>
      <c r="AQ645" s="434"/>
      <c r="AR645" s="434"/>
      <c r="AS645" s="434"/>
      <c r="AT645" s="434"/>
      <c r="AU645" s="434"/>
      <c r="AV645" s="434"/>
      <c r="AW645" s="434"/>
      <c r="AX645" s="434"/>
      <c r="AY645" s="434"/>
      <c r="AZ645" s="434"/>
      <c r="BA645" s="434"/>
      <c r="BB645" s="434"/>
      <c r="BC645" s="434"/>
      <c r="BD645" s="434"/>
      <c r="BE645" s="434"/>
      <c r="BF645" s="434"/>
    </row>
    <row r="646" spans="10:58" s="578" customFormat="1" ht="12.75">
      <c r="J646" s="1198"/>
      <c r="Q646" s="1151"/>
      <c r="X646" s="843"/>
      <c r="Y646" s="1151"/>
      <c r="AM646" s="434"/>
      <c r="AN646" s="434"/>
      <c r="AO646" s="434"/>
      <c r="AP646" s="434"/>
      <c r="AQ646" s="434"/>
      <c r="AR646" s="434"/>
      <c r="AS646" s="434"/>
      <c r="AT646" s="434"/>
      <c r="AU646" s="434"/>
      <c r="AV646" s="434"/>
      <c r="AW646" s="434"/>
      <c r="AX646" s="434"/>
      <c r="AY646" s="434"/>
      <c r="AZ646" s="434"/>
      <c r="BA646" s="434"/>
      <c r="BB646" s="434"/>
      <c r="BC646" s="434"/>
      <c r="BD646" s="434"/>
      <c r="BE646" s="434"/>
      <c r="BF646" s="434"/>
    </row>
    <row r="647" spans="10:58" s="578" customFormat="1" ht="12.75">
      <c r="J647" s="1198"/>
      <c r="Q647" s="1151"/>
      <c r="X647" s="843"/>
      <c r="Y647" s="1151"/>
      <c r="AM647" s="434"/>
      <c r="AN647" s="434"/>
      <c r="AO647" s="434"/>
      <c r="AP647" s="434"/>
      <c r="AQ647" s="434"/>
      <c r="AR647" s="434"/>
      <c r="AS647" s="434"/>
      <c r="AT647" s="434"/>
      <c r="AU647" s="434"/>
      <c r="AV647" s="434"/>
      <c r="AW647" s="434"/>
      <c r="AX647" s="434"/>
      <c r="AY647" s="434"/>
      <c r="AZ647" s="434"/>
      <c r="BA647" s="434"/>
      <c r="BB647" s="434"/>
      <c r="BC647" s="434"/>
      <c r="BD647" s="434"/>
      <c r="BE647" s="434"/>
      <c r="BF647" s="434"/>
    </row>
    <row r="648" spans="10:58" s="578" customFormat="1" ht="12.75">
      <c r="J648" s="1198"/>
      <c r="Q648" s="1151"/>
      <c r="X648" s="843"/>
      <c r="Y648" s="1151"/>
      <c r="AM648" s="434"/>
      <c r="AN648" s="434"/>
      <c r="AO648" s="434"/>
      <c r="AP648" s="434"/>
      <c r="AQ648" s="434"/>
      <c r="AR648" s="434"/>
      <c r="AS648" s="434"/>
      <c r="AT648" s="434"/>
      <c r="AU648" s="434"/>
      <c r="AV648" s="434"/>
      <c r="AW648" s="434"/>
      <c r="AX648" s="434"/>
      <c r="AY648" s="434"/>
      <c r="AZ648" s="434"/>
      <c r="BA648" s="434"/>
      <c r="BB648" s="434"/>
      <c r="BC648" s="434"/>
      <c r="BD648" s="434"/>
      <c r="BE648" s="434"/>
      <c r="BF648" s="434"/>
    </row>
    <row r="649" spans="10:58" s="578" customFormat="1" ht="12.75">
      <c r="J649" s="1198"/>
      <c r="Q649" s="1151"/>
      <c r="X649" s="843"/>
      <c r="Y649" s="1151"/>
      <c r="AM649" s="434"/>
      <c r="AN649" s="434"/>
      <c r="AO649" s="434"/>
      <c r="AP649" s="434"/>
      <c r="AQ649" s="434"/>
      <c r="AR649" s="434"/>
      <c r="AS649" s="434"/>
      <c r="AT649" s="434"/>
      <c r="AU649" s="434"/>
      <c r="AV649" s="434"/>
      <c r="AW649" s="434"/>
      <c r="AX649" s="434"/>
      <c r="AY649" s="434"/>
      <c r="AZ649" s="434"/>
      <c r="BA649" s="434"/>
      <c r="BB649" s="434"/>
      <c r="BC649" s="434"/>
      <c r="BD649" s="434"/>
      <c r="BE649" s="434"/>
      <c r="BF649" s="434"/>
    </row>
    <row r="650" spans="10:58" s="578" customFormat="1" ht="12.75">
      <c r="J650" s="1198"/>
      <c r="Q650" s="1151"/>
      <c r="X650" s="843"/>
      <c r="Y650" s="1151"/>
      <c r="AM650" s="434"/>
      <c r="AN650" s="434"/>
      <c r="AO650" s="434"/>
      <c r="AP650" s="434"/>
      <c r="AQ650" s="434"/>
      <c r="AR650" s="434"/>
      <c r="AS650" s="434"/>
      <c r="AT650" s="434"/>
      <c r="AU650" s="434"/>
      <c r="AV650" s="434"/>
      <c r="AW650" s="434"/>
      <c r="AX650" s="434"/>
      <c r="AY650" s="434"/>
      <c r="AZ650" s="434"/>
      <c r="BA650" s="434"/>
      <c r="BB650" s="434"/>
      <c r="BC650" s="434"/>
      <c r="BD650" s="434"/>
      <c r="BE650" s="434"/>
      <c r="BF650" s="434"/>
    </row>
    <row r="651" spans="10:58" s="578" customFormat="1" ht="12.75">
      <c r="J651" s="1198"/>
      <c r="Q651" s="1151"/>
      <c r="X651" s="843"/>
      <c r="Y651" s="1151"/>
      <c r="AM651" s="434"/>
      <c r="AN651" s="434"/>
      <c r="AO651" s="434"/>
      <c r="AP651" s="434"/>
      <c r="AQ651" s="434"/>
      <c r="AR651" s="434"/>
      <c r="AS651" s="434"/>
      <c r="AT651" s="434"/>
      <c r="AU651" s="434"/>
      <c r="AV651" s="434"/>
      <c r="AW651" s="434"/>
      <c r="AX651" s="434"/>
      <c r="AY651" s="434"/>
      <c r="AZ651" s="434"/>
      <c r="BA651" s="434"/>
      <c r="BB651" s="434"/>
      <c r="BC651" s="434"/>
      <c r="BD651" s="434"/>
      <c r="BE651" s="434"/>
      <c r="BF651" s="434"/>
    </row>
    <row r="652" spans="10:58" s="578" customFormat="1" ht="12.75">
      <c r="J652" s="1198"/>
      <c r="Q652" s="1151"/>
      <c r="X652" s="843"/>
      <c r="Y652" s="1151"/>
      <c r="AM652" s="434"/>
      <c r="AN652" s="434"/>
      <c r="AO652" s="434"/>
      <c r="AP652" s="434"/>
      <c r="AQ652" s="434"/>
      <c r="AR652" s="434"/>
      <c r="AS652" s="434"/>
      <c r="AT652" s="434"/>
      <c r="AU652" s="434"/>
      <c r="AV652" s="434"/>
      <c r="AW652" s="434"/>
      <c r="AX652" s="434"/>
      <c r="AY652" s="434"/>
      <c r="AZ652" s="434"/>
      <c r="BA652" s="434"/>
      <c r="BB652" s="434"/>
      <c r="BC652" s="434"/>
      <c r="BD652" s="434"/>
      <c r="BE652" s="434"/>
      <c r="BF652" s="434"/>
    </row>
    <row r="653" spans="10:58" s="578" customFormat="1" ht="12.75">
      <c r="J653" s="1198"/>
      <c r="Q653" s="1151"/>
      <c r="X653" s="843"/>
      <c r="Y653" s="1151"/>
      <c r="AM653" s="434"/>
      <c r="AN653" s="434"/>
      <c r="AO653" s="434"/>
      <c r="AP653" s="434"/>
      <c r="AQ653" s="434"/>
      <c r="AR653" s="434"/>
      <c r="AS653" s="434"/>
      <c r="AT653" s="434"/>
      <c r="AU653" s="434"/>
      <c r="AV653" s="434"/>
      <c r="AW653" s="434"/>
      <c r="AX653" s="434"/>
      <c r="AY653" s="434"/>
      <c r="AZ653" s="434"/>
      <c r="BA653" s="434"/>
      <c r="BB653" s="434"/>
      <c r="BC653" s="434"/>
      <c r="BD653" s="434"/>
      <c r="BE653" s="434"/>
      <c r="BF653" s="434"/>
    </row>
    <row r="654" spans="10:58" s="578" customFormat="1" ht="12.75">
      <c r="J654" s="1198"/>
      <c r="Q654" s="1151"/>
      <c r="X654" s="843"/>
      <c r="Y654" s="1151"/>
      <c r="AM654" s="434"/>
      <c r="AN654" s="434"/>
      <c r="AO654" s="434"/>
      <c r="AP654" s="434"/>
      <c r="AQ654" s="434"/>
      <c r="AR654" s="434"/>
      <c r="AS654" s="434"/>
      <c r="AT654" s="434"/>
      <c r="AU654" s="434"/>
      <c r="AV654" s="434"/>
      <c r="AW654" s="434"/>
      <c r="AX654" s="434"/>
      <c r="AY654" s="434"/>
      <c r="AZ654" s="434"/>
      <c r="BA654" s="434"/>
      <c r="BB654" s="434"/>
      <c r="BC654" s="434"/>
      <c r="BD654" s="434"/>
      <c r="BE654" s="434"/>
      <c r="BF654" s="434"/>
    </row>
    <row r="655" spans="10:58" s="578" customFormat="1" ht="12.75">
      <c r="J655" s="1198"/>
      <c r="Q655" s="1151"/>
      <c r="X655" s="843"/>
      <c r="Y655" s="1151"/>
      <c r="AM655" s="434"/>
      <c r="AN655" s="434"/>
      <c r="AO655" s="434"/>
      <c r="AP655" s="434"/>
      <c r="AQ655" s="434"/>
      <c r="AR655" s="434"/>
      <c r="AS655" s="434"/>
      <c r="AT655" s="434"/>
      <c r="AU655" s="434"/>
      <c r="AV655" s="434"/>
      <c r="AW655" s="434"/>
      <c r="AX655" s="434"/>
      <c r="AY655" s="434"/>
      <c r="AZ655" s="434"/>
      <c r="BA655" s="434"/>
      <c r="BB655" s="434"/>
      <c r="BC655" s="434"/>
      <c r="BD655" s="434"/>
      <c r="BE655" s="434"/>
      <c r="BF655" s="434"/>
    </row>
    <row r="656" spans="10:58" s="578" customFormat="1" ht="12.75">
      <c r="J656" s="1198"/>
      <c r="Q656" s="1151"/>
      <c r="X656" s="843"/>
      <c r="Y656" s="1151"/>
      <c r="AM656" s="434"/>
      <c r="AN656" s="434"/>
      <c r="AO656" s="434"/>
      <c r="AP656" s="434"/>
      <c r="AQ656" s="434"/>
      <c r="AR656" s="434"/>
      <c r="AS656" s="434"/>
      <c r="AT656" s="434"/>
      <c r="AU656" s="434"/>
      <c r="AV656" s="434"/>
      <c r="AW656" s="434"/>
      <c r="AX656" s="434"/>
      <c r="AY656" s="434"/>
      <c r="AZ656" s="434"/>
      <c r="BA656" s="434"/>
      <c r="BB656" s="434"/>
      <c r="BC656" s="434"/>
      <c r="BD656" s="434"/>
      <c r="BE656" s="434"/>
      <c r="BF656" s="434"/>
    </row>
    <row r="657" spans="10:58" s="578" customFormat="1" ht="12.75">
      <c r="J657" s="1198"/>
      <c r="Q657" s="1151"/>
      <c r="X657" s="843"/>
      <c r="Y657" s="1151"/>
      <c r="AM657" s="434"/>
      <c r="AN657" s="434"/>
      <c r="AO657" s="434"/>
      <c r="AP657" s="434"/>
      <c r="AQ657" s="434"/>
      <c r="AR657" s="434"/>
      <c r="AS657" s="434"/>
      <c r="AT657" s="434"/>
      <c r="AU657" s="434"/>
      <c r="AV657" s="434"/>
      <c r="AW657" s="434"/>
      <c r="AX657" s="434"/>
      <c r="AY657" s="434"/>
      <c r="AZ657" s="434"/>
      <c r="BA657" s="434"/>
      <c r="BB657" s="434"/>
      <c r="BC657" s="434"/>
      <c r="BD657" s="434"/>
      <c r="BE657" s="434"/>
      <c r="BF657" s="434"/>
    </row>
    <row r="658" spans="10:58" s="578" customFormat="1" ht="12.75">
      <c r="J658" s="1198"/>
      <c r="Q658" s="1151"/>
      <c r="X658" s="843"/>
      <c r="Y658" s="1151"/>
      <c r="AM658" s="434"/>
      <c r="AN658" s="434"/>
      <c r="AO658" s="434"/>
      <c r="AP658" s="434"/>
      <c r="AQ658" s="434"/>
      <c r="AR658" s="434"/>
      <c r="AS658" s="434"/>
      <c r="AT658" s="434"/>
      <c r="AU658" s="434"/>
      <c r="AV658" s="434"/>
      <c r="AW658" s="434"/>
      <c r="AX658" s="434"/>
      <c r="AY658" s="434"/>
      <c r="AZ658" s="434"/>
      <c r="BA658" s="434"/>
      <c r="BB658" s="434"/>
      <c r="BC658" s="434"/>
      <c r="BD658" s="434"/>
      <c r="BE658" s="434"/>
      <c r="BF658" s="434"/>
    </row>
    <row r="659" spans="10:58" s="578" customFormat="1" ht="12.75">
      <c r="J659" s="1198"/>
      <c r="Q659" s="1151"/>
      <c r="X659" s="843"/>
      <c r="Y659" s="1151"/>
      <c r="AM659" s="434"/>
      <c r="AN659" s="434"/>
      <c r="AO659" s="434"/>
      <c r="AP659" s="434"/>
      <c r="AQ659" s="434"/>
      <c r="AR659" s="434"/>
      <c r="AS659" s="434"/>
      <c r="AT659" s="434"/>
      <c r="AU659" s="434"/>
      <c r="AV659" s="434"/>
      <c r="AW659" s="434"/>
      <c r="AX659" s="434"/>
      <c r="AY659" s="434"/>
      <c r="AZ659" s="434"/>
      <c r="BA659" s="434"/>
      <c r="BB659" s="434"/>
      <c r="BC659" s="434"/>
      <c r="BD659" s="434"/>
      <c r="BE659" s="434"/>
      <c r="BF659" s="434"/>
    </row>
    <row r="660" spans="10:58" s="578" customFormat="1" ht="12.75">
      <c r="J660" s="1198"/>
      <c r="Q660" s="1151"/>
      <c r="X660" s="843"/>
      <c r="Y660" s="1151"/>
      <c r="AM660" s="434"/>
      <c r="AN660" s="434"/>
      <c r="AO660" s="434"/>
      <c r="AP660" s="434"/>
      <c r="AQ660" s="434"/>
      <c r="AR660" s="434"/>
      <c r="AS660" s="434"/>
      <c r="AT660" s="434"/>
      <c r="AU660" s="434"/>
      <c r="AV660" s="434"/>
      <c r="AW660" s="434"/>
      <c r="AX660" s="434"/>
      <c r="AY660" s="434"/>
      <c r="AZ660" s="434"/>
      <c r="BA660" s="434"/>
      <c r="BB660" s="434"/>
      <c r="BC660" s="434"/>
      <c r="BD660" s="434"/>
      <c r="BE660" s="434"/>
      <c r="BF660" s="434"/>
    </row>
    <row r="661" spans="10:58" s="578" customFormat="1" ht="12.75">
      <c r="J661" s="1198"/>
      <c r="Q661" s="1151"/>
      <c r="X661" s="843"/>
      <c r="Y661" s="1151"/>
      <c r="AM661" s="434"/>
      <c r="AN661" s="434"/>
      <c r="AO661" s="434"/>
      <c r="AP661" s="434"/>
      <c r="AQ661" s="434"/>
      <c r="AR661" s="434"/>
      <c r="AS661" s="434"/>
      <c r="AT661" s="434"/>
      <c r="AU661" s="434"/>
      <c r="AV661" s="434"/>
      <c r="AW661" s="434"/>
      <c r="AX661" s="434"/>
      <c r="AY661" s="434"/>
      <c r="AZ661" s="434"/>
      <c r="BA661" s="434"/>
      <c r="BB661" s="434"/>
      <c r="BC661" s="434"/>
      <c r="BD661" s="434"/>
      <c r="BE661" s="434"/>
      <c r="BF661" s="434"/>
    </row>
    <row r="662" spans="10:58" s="578" customFormat="1" ht="12.75">
      <c r="J662" s="1198"/>
      <c r="Q662" s="1151"/>
      <c r="X662" s="843"/>
      <c r="Y662" s="1151"/>
      <c r="AM662" s="434"/>
      <c r="AN662" s="434"/>
      <c r="AO662" s="434"/>
      <c r="AP662" s="434"/>
      <c r="AQ662" s="434"/>
      <c r="AR662" s="434"/>
      <c r="AS662" s="434"/>
      <c r="AT662" s="434"/>
      <c r="AU662" s="434"/>
      <c r="AV662" s="434"/>
      <c r="AW662" s="434"/>
      <c r="AX662" s="434"/>
      <c r="AY662" s="434"/>
      <c r="AZ662" s="434"/>
      <c r="BA662" s="434"/>
      <c r="BB662" s="434"/>
      <c r="BC662" s="434"/>
      <c r="BD662" s="434"/>
      <c r="BE662" s="434"/>
      <c r="BF662" s="434"/>
    </row>
    <row r="663" spans="10:58" s="578" customFormat="1" ht="12.75">
      <c r="J663" s="1198"/>
      <c r="Q663" s="1151"/>
      <c r="X663" s="843"/>
      <c r="Y663" s="1151"/>
      <c r="AM663" s="434"/>
      <c r="AN663" s="434"/>
      <c r="AO663" s="434"/>
      <c r="AP663" s="434"/>
      <c r="AQ663" s="434"/>
      <c r="AR663" s="434"/>
      <c r="AS663" s="434"/>
      <c r="AT663" s="434"/>
      <c r="AU663" s="434"/>
      <c r="AV663" s="434"/>
      <c r="AW663" s="434"/>
      <c r="AX663" s="434"/>
      <c r="AY663" s="434"/>
      <c r="AZ663" s="434"/>
      <c r="BA663" s="434"/>
      <c r="BB663" s="434"/>
      <c r="BC663" s="434"/>
      <c r="BD663" s="434"/>
      <c r="BE663" s="434"/>
      <c r="BF663" s="434"/>
    </row>
    <row r="664" spans="10:58" s="578" customFormat="1" ht="12.75">
      <c r="J664" s="1198"/>
      <c r="Q664" s="1151"/>
      <c r="X664" s="843"/>
      <c r="Y664" s="1151"/>
      <c r="AM664" s="434"/>
      <c r="AN664" s="434"/>
      <c r="AO664" s="434"/>
      <c r="AP664" s="434"/>
      <c r="AQ664" s="434"/>
      <c r="AR664" s="434"/>
      <c r="AS664" s="434"/>
      <c r="AT664" s="434"/>
      <c r="AU664" s="434"/>
      <c r="AV664" s="434"/>
      <c r="AW664" s="434"/>
      <c r="AX664" s="434"/>
      <c r="AY664" s="434"/>
      <c r="AZ664" s="434"/>
      <c r="BA664" s="434"/>
      <c r="BB664" s="434"/>
      <c r="BC664" s="434"/>
      <c r="BD664" s="434"/>
      <c r="BE664" s="434"/>
      <c r="BF664" s="434"/>
    </row>
    <row r="665" spans="10:58" s="578" customFormat="1" ht="12.75">
      <c r="J665" s="1198"/>
      <c r="Q665" s="1151"/>
      <c r="X665" s="843"/>
      <c r="Y665" s="1151"/>
      <c r="AM665" s="434"/>
      <c r="AN665" s="434"/>
      <c r="AO665" s="434"/>
      <c r="AP665" s="434"/>
      <c r="AQ665" s="434"/>
      <c r="AR665" s="434"/>
      <c r="AS665" s="434"/>
      <c r="AT665" s="434"/>
      <c r="AU665" s="434"/>
      <c r="AV665" s="434"/>
      <c r="AW665" s="434"/>
      <c r="AX665" s="434"/>
      <c r="AY665" s="434"/>
      <c r="AZ665" s="434"/>
      <c r="BA665" s="434"/>
      <c r="BB665" s="434"/>
      <c r="BC665" s="434"/>
      <c r="BD665" s="434"/>
      <c r="BE665" s="434"/>
      <c r="BF665" s="434"/>
    </row>
    <row r="666" spans="10:58" s="578" customFormat="1" ht="12.75">
      <c r="J666" s="1198"/>
      <c r="Q666" s="1151"/>
      <c r="X666" s="843"/>
      <c r="Y666" s="1151"/>
      <c r="AM666" s="434"/>
      <c r="AN666" s="434"/>
      <c r="AO666" s="434"/>
      <c r="AP666" s="434"/>
      <c r="AQ666" s="434"/>
      <c r="AR666" s="434"/>
      <c r="AS666" s="434"/>
      <c r="AT666" s="434"/>
      <c r="AU666" s="434"/>
      <c r="AV666" s="434"/>
      <c r="AW666" s="434"/>
      <c r="AX666" s="434"/>
      <c r="AY666" s="434"/>
      <c r="AZ666" s="434"/>
      <c r="BA666" s="434"/>
      <c r="BB666" s="434"/>
      <c r="BC666" s="434"/>
      <c r="BD666" s="434"/>
      <c r="BE666" s="434"/>
      <c r="BF666" s="434"/>
    </row>
    <row r="667" spans="10:58" s="578" customFormat="1" ht="12.75">
      <c r="J667" s="1198"/>
      <c r="Q667" s="1151"/>
      <c r="X667" s="843"/>
      <c r="Y667" s="1151"/>
      <c r="AM667" s="434"/>
      <c r="AN667" s="434"/>
      <c r="AO667" s="434"/>
      <c r="AP667" s="434"/>
      <c r="AQ667" s="434"/>
      <c r="AR667" s="434"/>
      <c r="AS667" s="434"/>
      <c r="AT667" s="434"/>
      <c r="AU667" s="434"/>
      <c r="AV667" s="434"/>
      <c r="AW667" s="434"/>
      <c r="AX667" s="434"/>
      <c r="AY667" s="434"/>
      <c r="AZ667" s="434"/>
      <c r="BA667" s="434"/>
      <c r="BB667" s="434"/>
      <c r="BC667" s="434"/>
      <c r="BD667" s="434"/>
      <c r="BE667" s="434"/>
      <c r="BF667" s="434"/>
    </row>
    <row r="668" spans="10:58" s="578" customFormat="1" ht="12.75">
      <c r="J668" s="1198"/>
      <c r="Q668" s="1151"/>
      <c r="X668" s="843"/>
      <c r="Y668" s="1151"/>
      <c r="AM668" s="434"/>
      <c r="AN668" s="434"/>
      <c r="AO668" s="434"/>
      <c r="AP668" s="434"/>
      <c r="AQ668" s="434"/>
      <c r="AR668" s="434"/>
      <c r="AS668" s="434"/>
      <c r="AT668" s="434"/>
      <c r="AU668" s="434"/>
      <c r="AV668" s="434"/>
      <c r="AW668" s="434"/>
      <c r="AX668" s="434"/>
      <c r="AY668" s="434"/>
      <c r="AZ668" s="434"/>
      <c r="BA668" s="434"/>
      <c r="BB668" s="434"/>
      <c r="BC668" s="434"/>
      <c r="BD668" s="434"/>
      <c r="BE668" s="434"/>
      <c r="BF668" s="434"/>
    </row>
    <row r="669" spans="10:58" s="578" customFormat="1" ht="12.75">
      <c r="J669" s="1198"/>
      <c r="Q669" s="1151"/>
      <c r="X669" s="843"/>
      <c r="Y669" s="1151"/>
      <c r="AM669" s="434"/>
      <c r="AN669" s="434"/>
      <c r="AO669" s="434"/>
      <c r="AP669" s="434"/>
      <c r="AQ669" s="434"/>
      <c r="AR669" s="434"/>
      <c r="AS669" s="434"/>
      <c r="AT669" s="434"/>
      <c r="AU669" s="434"/>
      <c r="AV669" s="434"/>
      <c r="AW669" s="434"/>
      <c r="AX669" s="434"/>
      <c r="AY669" s="434"/>
      <c r="AZ669" s="434"/>
      <c r="BA669" s="434"/>
      <c r="BB669" s="434"/>
      <c r="BC669" s="434"/>
      <c r="BD669" s="434"/>
      <c r="BE669" s="434"/>
      <c r="BF669" s="434"/>
    </row>
    <row r="670" spans="10:58" s="578" customFormat="1" ht="12.75">
      <c r="J670" s="1198"/>
      <c r="Q670" s="1151"/>
      <c r="X670" s="843"/>
      <c r="Y670" s="1151"/>
      <c r="AM670" s="434"/>
      <c r="AN670" s="434"/>
      <c r="AO670" s="434"/>
      <c r="AP670" s="434"/>
      <c r="AQ670" s="434"/>
      <c r="AR670" s="434"/>
      <c r="AS670" s="434"/>
      <c r="AT670" s="434"/>
      <c r="AU670" s="434"/>
      <c r="AV670" s="434"/>
      <c r="AW670" s="434"/>
      <c r="AX670" s="434"/>
      <c r="AY670" s="434"/>
      <c r="AZ670" s="434"/>
      <c r="BA670" s="434"/>
      <c r="BB670" s="434"/>
      <c r="BC670" s="434"/>
      <c r="BD670" s="434"/>
      <c r="BE670" s="434"/>
      <c r="BF670" s="434"/>
    </row>
    <row r="671" spans="10:58" s="578" customFormat="1" ht="12.75">
      <c r="J671" s="1198"/>
      <c r="Q671" s="1151"/>
      <c r="X671" s="843"/>
      <c r="Y671" s="1151"/>
      <c r="AM671" s="434"/>
      <c r="AN671" s="434"/>
      <c r="AO671" s="434"/>
      <c r="AP671" s="434"/>
      <c r="AQ671" s="434"/>
      <c r="AR671" s="434"/>
      <c r="AS671" s="434"/>
      <c r="AT671" s="434"/>
      <c r="AU671" s="434"/>
      <c r="AV671" s="434"/>
      <c r="AW671" s="434"/>
      <c r="AX671" s="434"/>
      <c r="AY671" s="434"/>
      <c r="AZ671" s="434"/>
      <c r="BA671" s="434"/>
      <c r="BB671" s="434"/>
      <c r="BC671" s="434"/>
      <c r="BD671" s="434"/>
      <c r="BE671" s="434"/>
      <c r="BF671" s="434"/>
    </row>
    <row r="672" spans="10:58" s="578" customFormat="1" ht="12.75">
      <c r="J672" s="1198"/>
      <c r="Q672" s="1151"/>
      <c r="X672" s="843"/>
      <c r="Y672" s="1151"/>
      <c r="AM672" s="434"/>
      <c r="AN672" s="434"/>
      <c r="AO672" s="434"/>
      <c r="AP672" s="434"/>
      <c r="AQ672" s="434"/>
      <c r="AR672" s="434"/>
      <c r="AS672" s="434"/>
      <c r="AT672" s="434"/>
      <c r="AU672" s="434"/>
      <c r="AV672" s="434"/>
      <c r="AW672" s="434"/>
      <c r="AX672" s="434"/>
      <c r="AY672" s="434"/>
      <c r="AZ672" s="434"/>
      <c r="BA672" s="434"/>
      <c r="BB672" s="434"/>
      <c r="BC672" s="434"/>
      <c r="BD672" s="434"/>
      <c r="BE672" s="434"/>
      <c r="BF672" s="434"/>
    </row>
    <row r="673" spans="10:58" s="578" customFormat="1" ht="12.75">
      <c r="J673" s="1198"/>
      <c r="Q673" s="1151"/>
      <c r="X673" s="843"/>
      <c r="Y673" s="1151"/>
      <c r="AM673" s="434"/>
      <c r="AN673" s="434"/>
      <c r="AO673" s="434"/>
      <c r="AP673" s="434"/>
      <c r="AQ673" s="434"/>
      <c r="AR673" s="434"/>
      <c r="AS673" s="434"/>
      <c r="AT673" s="434"/>
      <c r="AU673" s="434"/>
      <c r="AV673" s="434"/>
      <c r="AW673" s="434"/>
      <c r="AX673" s="434"/>
      <c r="AY673" s="434"/>
      <c r="AZ673" s="434"/>
      <c r="BA673" s="434"/>
      <c r="BB673" s="434"/>
      <c r="BC673" s="434"/>
      <c r="BD673" s="434"/>
      <c r="BE673" s="434"/>
      <c r="BF673" s="434"/>
    </row>
    <row r="674" spans="10:58" s="578" customFormat="1" ht="12.75">
      <c r="J674" s="1198"/>
      <c r="Q674" s="1151"/>
      <c r="X674" s="843"/>
      <c r="Y674" s="1151"/>
      <c r="AM674" s="434"/>
      <c r="AN674" s="434"/>
      <c r="AO674" s="434"/>
      <c r="AP674" s="434"/>
      <c r="AQ674" s="434"/>
      <c r="AR674" s="434"/>
      <c r="AS674" s="434"/>
      <c r="AT674" s="434"/>
      <c r="AU674" s="434"/>
      <c r="AV674" s="434"/>
      <c r="AW674" s="434"/>
      <c r="AX674" s="434"/>
      <c r="AY674" s="434"/>
      <c r="AZ674" s="434"/>
      <c r="BA674" s="434"/>
      <c r="BB674" s="434"/>
      <c r="BC674" s="434"/>
      <c r="BD674" s="434"/>
      <c r="BE674" s="434"/>
      <c r="BF674" s="434"/>
    </row>
    <row r="675" spans="10:58" s="578" customFormat="1" ht="12.75">
      <c r="J675" s="1198"/>
      <c r="Q675" s="1151"/>
      <c r="X675" s="843"/>
      <c r="Y675" s="1151"/>
      <c r="AM675" s="434"/>
      <c r="AN675" s="434"/>
      <c r="AO675" s="434"/>
      <c r="AP675" s="434"/>
      <c r="AQ675" s="434"/>
      <c r="AR675" s="434"/>
      <c r="AS675" s="434"/>
      <c r="AT675" s="434"/>
      <c r="AU675" s="434"/>
      <c r="AV675" s="434"/>
      <c r="AW675" s="434"/>
      <c r="AX675" s="434"/>
      <c r="AY675" s="434"/>
      <c r="AZ675" s="434"/>
      <c r="BA675" s="434"/>
      <c r="BB675" s="434"/>
      <c r="BC675" s="434"/>
      <c r="BD675" s="434"/>
      <c r="BE675" s="434"/>
      <c r="BF675" s="434"/>
    </row>
    <row r="676" spans="10:58" s="578" customFormat="1" ht="12.75">
      <c r="J676" s="1198"/>
      <c r="Q676" s="1151"/>
      <c r="X676" s="843"/>
      <c r="Y676" s="1151"/>
      <c r="AM676" s="434"/>
      <c r="AN676" s="434"/>
      <c r="AO676" s="434"/>
      <c r="AP676" s="434"/>
      <c r="AQ676" s="434"/>
      <c r="AR676" s="434"/>
      <c r="AS676" s="434"/>
      <c r="AT676" s="434"/>
      <c r="AU676" s="434"/>
      <c r="AV676" s="434"/>
      <c r="AW676" s="434"/>
      <c r="AX676" s="434"/>
      <c r="AY676" s="434"/>
      <c r="AZ676" s="434"/>
      <c r="BA676" s="434"/>
      <c r="BB676" s="434"/>
      <c r="BC676" s="434"/>
      <c r="BD676" s="434"/>
      <c r="BE676" s="434"/>
      <c r="BF676" s="434"/>
    </row>
    <row r="677" spans="10:58" s="578" customFormat="1" ht="12.75">
      <c r="J677" s="1198"/>
      <c r="Q677" s="1151"/>
      <c r="X677" s="843"/>
      <c r="Y677" s="1151"/>
      <c r="AM677" s="434"/>
      <c r="AN677" s="434"/>
      <c r="AO677" s="434"/>
      <c r="AP677" s="434"/>
      <c r="AQ677" s="434"/>
      <c r="AR677" s="434"/>
      <c r="AS677" s="434"/>
      <c r="AT677" s="434"/>
      <c r="AU677" s="434"/>
      <c r="AV677" s="434"/>
      <c r="AW677" s="434"/>
      <c r="AX677" s="434"/>
      <c r="AY677" s="434"/>
      <c r="AZ677" s="434"/>
      <c r="BA677" s="434"/>
      <c r="BB677" s="434"/>
      <c r="BC677" s="434"/>
      <c r="BD677" s="434"/>
      <c r="BE677" s="434"/>
      <c r="BF677" s="434"/>
    </row>
    <row r="678" spans="10:58" s="578" customFormat="1" ht="12.75">
      <c r="J678" s="1198"/>
      <c r="Q678" s="1151"/>
      <c r="X678" s="843"/>
      <c r="Y678" s="1151"/>
      <c r="AM678" s="434"/>
      <c r="AN678" s="434"/>
      <c r="AO678" s="434"/>
      <c r="AP678" s="434"/>
      <c r="AQ678" s="434"/>
      <c r="AR678" s="434"/>
      <c r="AS678" s="434"/>
      <c r="AT678" s="434"/>
      <c r="AU678" s="434"/>
      <c r="AV678" s="434"/>
      <c r="AW678" s="434"/>
      <c r="AX678" s="434"/>
      <c r="AY678" s="434"/>
      <c r="AZ678" s="434"/>
      <c r="BA678" s="434"/>
      <c r="BB678" s="434"/>
      <c r="BC678" s="434"/>
      <c r="BD678" s="434"/>
      <c r="BE678" s="434"/>
      <c r="BF678" s="434"/>
    </row>
    <row r="679" spans="10:58" s="578" customFormat="1" ht="12.75">
      <c r="J679" s="1198"/>
      <c r="Q679" s="1151"/>
      <c r="X679" s="843"/>
      <c r="Y679" s="1151"/>
      <c r="AM679" s="434"/>
      <c r="AN679" s="434"/>
      <c r="AO679" s="434"/>
      <c r="AP679" s="434"/>
      <c r="AQ679" s="434"/>
      <c r="AR679" s="434"/>
      <c r="AS679" s="434"/>
      <c r="AT679" s="434"/>
      <c r="AU679" s="434"/>
      <c r="AV679" s="434"/>
      <c r="AW679" s="434"/>
      <c r="AX679" s="434"/>
      <c r="AY679" s="434"/>
      <c r="AZ679" s="434"/>
      <c r="BA679" s="434"/>
      <c r="BB679" s="434"/>
      <c r="BC679" s="434"/>
      <c r="BD679" s="434"/>
      <c r="BE679" s="434"/>
      <c r="BF679" s="434"/>
    </row>
    <row r="680" spans="10:58" s="578" customFormat="1" ht="12.75">
      <c r="J680" s="1198"/>
      <c r="Q680" s="1151"/>
      <c r="X680" s="843"/>
      <c r="Y680" s="1151"/>
      <c r="AM680" s="434"/>
      <c r="AN680" s="434"/>
      <c r="AO680" s="434"/>
      <c r="AP680" s="434"/>
      <c r="AQ680" s="434"/>
      <c r="AR680" s="434"/>
      <c r="AS680" s="434"/>
      <c r="AT680" s="434"/>
      <c r="AU680" s="434"/>
      <c r="AV680" s="434"/>
      <c r="AW680" s="434"/>
      <c r="AX680" s="434"/>
      <c r="AY680" s="434"/>
      <c r="AZ680" s="434"/>
      <c r="BA680" s="434"/>
      <c r="BB680" s="434"/>
      <c r="BC680" s="434"/>
      <c r="BD680" s="434"/>
      <c r="BE680" s="434"/>
      <c r="BF680" s="434"/>
    </row>
    <row r="681" spans="10:58" s="578" customFormat="1" ht="12.75">
      <c r="J681" s="1198"/>
      <c r="Q681" s="1151"/>
      <c r="X681" s="843"/>
      <c r="Y681" s="1151"/>
      <c r="AM681" s="434"/>
      <c r="AN681" s="434"/>
      <c r="AO681" s="434"/>
      <c r="AP681" s="434"/>
      <c r="AQ681" s="434"/>
      <c r="AR681" s="434"/>
      <c r="AS681" s="434"/>
      <c r="AT681" s="434"/>
      <c r="AU681" s="434"/>
      <c r="AV681" s="434"/>
      <c r="AW681" s="434"/>
      <c r="AX681" s="434"/>
      <c r="AY681" s="434"/>
      <c r="AZ681" s="434"/>
      <c r="BA681" s="434"/>
      <c r="BB681" s="434"/>
      <c r="BC681" s="434"/>
      <c r="BD681" s="434"/>
      <c r="BE681" s="434"/>
      <c r="BF681" s="434"/>
    </row>
    <row r="682" spans="10:58" s="578" customFormat="1" ht="12.75">
      <c r="J682" s="1198"/>
      <c r="Q682" s="1151"/>
      <c r="X682" s="843"/>
      <c r="Y682" s="1151"/>
      <c r="AM682" s="434"/>
      <c r="AN682" s="434"/>
      <c r="AO682" s="434"/>
      <c r="AP682" s="434"/>
      <c r="AQ682" s="434"/>
      <c r="AR682" s="434"/>
      <c r="AS682" s="434"/>
      <c r="AT682" s="434"/>
      <c r="AU682" s="434"/>
      <c r="AV682" s="434"/>
      <c r="AW682" s="434"/>
      <c r="AX682" s="434"/>
      <c r="AY682" s="434"/>
      <c r="AZ682" s="434"/>
      <c r="BA682" s="434"/>
      <c r="BB682" s="434"/>
      <c r="BC682" s="434"/>
      <c r="BD682" s="434"/>
      <c r="BE682" s="434"/>
      <c r="BF682" s="434"/>
    </row>
    <row r="683" spans="4:22" ht="12.75">
      <c r="D683" s="578"/>
      <c r="E683" s="578"/>
      <c r="F683" s="578"/>
      <c r="G683" s="578"/>
      <c r="H683" s="578"/>
      <c r="I683" s="578"/>
      <c r="J683" s="1198"/>
      <c r="K683" s="578"/>
      <c r="L683" s="578"/>
      <c r="M683" s="578"/>
      <c r="N683" s="578"/>
      <c r="O683" s="578"/>
      <c r="P683" s="578"/>
      <c r="Q683" s="1151"/>
      <c r="R683" s="578"/>
      <c r="S683" s="578"/>
      <c r="T683" s="578"/>
      <c r="U683" s="578"/>
      <c r="V683" s="578"/>
    </row>
    <row r="684" spans="4:22" ht="12.75">
      <c r="D684" s="578"/>
      <c r="E684" s="578"/>
      <c r="F684" s="578"/>
      <c r="G684" s="578"/>
      <c r="H684" s="578"/>
      <c r="I684" s="578"/>
      <c r="J684" s="1198"/>
      <c r="K684" s="578"/>
      <c r="L684" s="578"/>
      <c r="M684" s="578"/>
      <c r="N684" s="578"/>
      <c r="O684" s="578"/>
      <c r="P684" s="578"/>
      <c r="Q684" s="1151"/>
      <c r="R684" s="578"/>
      <c r="S684" s="578"/>
      <c r="T684" s="578"/>
      <c r="U684" s="578"/>
      <c r="V684" s="578"/>
    </row>
    <row r="685" spans="4:22" ht="12.75">
      <c r="D685" s="578"/>
      <c r="E685" s="578"/>
      <c r="F685" s="578"/>
      <c r="G685" s="578"/>
      <c r="H685" s="578"/>
      <c r="I685" s="578"/>
      <c r="J685" s="1198"/>
      <c r="K685" s="578"/>
      <c r="L685" s="578"/>
      <c r="M685" s="578"/>
      <c r="N685" s="578"/>
      <c r="O685" s="578"/>
      <c r="P685" s="578"/>
      <c r="Q685" s="1151"/>
      <c r="R685" s="578"/>
      <c r="S685" s="578"/>
      <c r="T685" s="578"/>
      <c r="U685" s="578"/>
      <c r="V685" s="578"/>
    </row>
    <row r="686" spans="4:22" ht="12.75">
      <c r="D686" s="578"/>
      <c r="E686" s="578"/>
      <c r="F686" s="578"/>
      <c r="G686" s="578"/>
      <c r="H686" s="578"/>
      <c r="I686" s="578"/>
      <c r="J686" s="1198"/>
      <c r="K686" s="578"/>
      <c r="L686" s="578"/>
      <c r="M686" s="578"/>
      <c r="N686" s="578"/>
      <c r="O686" s="578"/>
      <c r="P686" s="578"/>
      <c r="Q686" s="1151"/>
      <c r="R686" s="578"/>
      <c r="S686" s="578"/>
      <c r="T686" s="578"/>
      <c r="U686" s="578"/>
      <c r="V686" s="578"/>
    </row>
    <row r="687" spans="4:22" ht="12.75">
      <c r="D687" s="578"/>
      <c r="E687" s="578"/>
      <c r="F687" s="578"/>
      <c r="G687" s="578"/>
      <c r="H687" s="578"/>
      <c r="I687" s="578"/>
      <c r="J687" s="1198"/>
      <c r="K687" s="578"/>
      <c r="L687" s="578"/>
      <c r="M687" s="578"/>
      <c r="N687" s="578"/>
      <c r="O687" s="578"/>
      <c r="P687" s="578"/>
      <c r="Q687" s="1151"/>
      <c r="R687" s="578"/>
      <c r="S687" s="578"/>
      <c r="T687" s="578"/>
      <c r="U687" s="578"/>
      <c r="V687" s="578"/>
    </row>
    <row r="688" spans="4:22" ht="12.75">
      <c r="D688" s="578"/>
      <c r="E688" s="578"/>
      <c r="F688" s="578"/>
      <c r="G688" s="578"/>
      <c r="H688" s="578"/>
      <c r="I688" s="578"/>
      <c r="J688" s="1198"/>
      <c r="K688" s="578"/>
      <c r="L688" s="578"/>
      <c r="M688" s="578"/>
      <c r="N688" s="578"/>
      <c r="O688" s="578"/>
      <c r="P688" s="578"/>
      <c r="Q688" s="1151"/>
      <c r="R688" s="578"/>
      <c r="S688" s="578"/>
      <c r="T688" s="578"/>
      <c r="U688" s="578"/>
      <c r="V688" s="578"/>
    </row>
    <row r="689" spans="4:22" ht="12.75">
      <c r="D689" s="578"/>
      <c r="E689" s="578"/>
      <c r="F689" s="578"/>
      <c r="G689" s="578"/>
      <c r="H689" s="578"/>
      <c r="I689" s="578"/>
      <c r="J689" s="1198"/>
      <c r="K689" s="578"/>
      <c r="L689" s="578"/>
      <c r="M689" s="578"/>
      <c r="N689" s="578"/>
      <c r="O689" s="578"/>
      <c r="P689" s="578"/>
      <c r="Q689" s="1151"/>
      <c r="R689" s="578"/>
      <c r="S689" s="578"/>
      <c r="T689" s="578"/>
      <c r="U689" s="578"/>
      <c r="V689" s="578"/>
    </row>
    <row r="690" spans="4:22" ht="12.75">
      <c r="D690" s="578"/>
      <c r="E690" s="578"/>
      <c r="F690" s="578"/>
      <c r="G690" s="578"/>
      <c r="H690" s="578"/>
      <c r="I690" s="578"/>
      <c r="J690" s="1198"/>
      <c r="K690" s="578"/>
      <c r="L690" s="578"/>
      <c r="M690" s="578"/>
      <c r="N690" s="578"/>
      <c r="O690" s="578"/>
      <c r="P690" s="578"/>
      <c r="Q690" s="1151"/>
      <c r="R690" s="578"/>
      <c r="S690" s="578"/>
      <c r="T690" s="578"/>
      <c r="U690" s="578"/>
      <c r="V690" s="578"/>
    </row>
    <row r="691" spans="4:22" ht="12.75">
      <c r="D691" s="578"/>
      <c r="E691" s="578"/>
      <c r="F691" s="578"/>
      <c r="G691" s="578"/>
      <c r="H691" s="578"/>
      <c r="I691" s="578"/>
      <c r="J691" s="1198"/>
      <c r="K691" s="578"/>
      <c r="L691" s="578"/>
      <c r="M691" s="578"/>
      <c r="N691" s="578"/>
      <c r="O691" s="578"/>
      <c r="P691" s="578"/>
      <c r="Q691" s="1151"/>
      <c r="R691" s="578"/>
      <c r="S691" s="578"/>
      <c r="T691" s="578"/>
      <c r="U691" s="578"/>
      <c r="V691" s="578"/>
    </row>
    <row r="692" spans="4:22" ht="12.75">
      <c r="D692" s="578"/>
      <c r="E692" s="578"/>
      <c r="F692" s="578"/>
      <c r="G692" s="578"/>
      <c r="H692" s="578"/>
      <c r="I692" s="578"/>
      <c r="J692" s="1198"/>
      <c r="K692" s="578"/>
      <c r="L692" s="578"/>
      <c r="M692" s="578"/>
      <c r="N692" s="578"/>
      <c r="O692" s="578"/>
      <c r="P692" s="578"/>
      <c r="Q692" s="1151"/>
      <c r="R692" s="578"/>
      <c r="S692" s="578"/>
      <c r="T692" s="578"/>
      <c r="U692" s="578"/>
      <c r="V692" s="578"/>
    </row>
    <row r="693" spans="4:22" ht="12.75">
      <c r="D693" s="578"/>
      <c r="E693" s="578"/>
      <c r="F693" s="578"/>
      <c r="G693" s="578"/>
      <c r="H693" s="578"/>
      <c r="I693" s="578"/>
      <c r="J693" s="1198"/>
      <c r="K693" s="578"/>
      <c r="L693" s="578"/>
      <c r="M693" s="578"/>
      <c r="N693" s="578"/>
      <c r="O693" s="578"/>
      <c r="P693" s="578"/>
      <c r="Q693" s="1151"/>
      <c r="R693" s="578"/>
      <c r="S693" s="578"/>
      <c r="T693" s="578"/>
      <c r="U693" s="578"/>
      <c r="V693" s="578"/>
    </row>
    <row r="694" spans="4:22" ht="12.75">
      <c r="D694" s="578"/>
      <c r="E694" s="578"/>
      <c r="F694" s="578"/>
      <c r="G694" s="578"/>
      <c r="H694" s="578"/>
      <c r="I694" s="578"/>
      <c r="J694" s="1198"/>
      <c r="K694" s="578"/>
      <c r="L694" s="578"/>
      <c r="M694" s="578"/>
      <c r="N694" s="578"/>
      <c r="O694" s="578"/>
      <c r="P694" s="578"/>
      <c r="Q694" s="1151"/>
      <c r="R694" s="578"/>
      <c r="S694" s="578"/>
      <c r="T694" s="578"/>
      <c r="U694" s="578"/>
      <c r="V694" s="578"/>
    </row>
    <row r="695" spans="4:22" ht="12.75">
      <c r="D695" s="578"/>
      <c r="E695" s="578"/>
      <c r="F695" s="578"/>
      <c r="G695" s="578"/>
      <c r="H695" s="578"/>
      <c r="I695" s="578"/>
      <c r="J695" s="1198"/>
      <c r="K695" s="578"/>
      <c r="L695" s="578"/>
      <c r="M695" s="578"/>
      <c r="N695" s="578"/>
      <c r="O695" s="578"/>
      <c r="P695" s="578"/>
      <c r="Q695" s="1151"/>
      <c r="R695" s="578"/>
      <c r="S695" s="578"/>
      <c r="T695" s="578"/>
      <c r="U695" s="578"/>
      <c r="V695" s="578"/>
    </row>
    <row r="696" spans="4:22" ht="12.75">
      <c r="D696" s="578"/>
      <c r="E696" s="578"/>
      <c r="F696" s="578"/>
      <c r="G696" s="578"/>
      <c r="H696" s="578"/>
      <c r="I696" s="578"/>
      <c r="J696" s="1198"/>
      <c r="K696" s="578"/>
      <c r="L696" s="578"/>
      <c r="M696" s="578"/>
      <c r="N696" s="578"/>
      <c r="O696" s="578"/>
      <c r="P696" s="578"/>
      <c r="Q696" s="1151"/>
      <c r="R696" s="578"/>
      <c r="S696" s="578"/>
      <c r="T696" s="578"/>
      <c r="U696" s="578"/>
      <c r="V696" s="578"/>
    </row>
    <row r="697" spans="4:22" ht="12.75">
      <c r="D697" s="578"/>
      <c r="E697" s="578"/>
      <c r="F697" s="578"/>
      <c r="G697" s="578"/>
      <c r="H697" s="578"/>
      <c r="I697" s="578"/>
      <c r="J697" s="1198"/>
      <c r="K697" s="578"/>
      <c r="L697" s="578"/>
      <c r="M697" s="578"/>
      <c r="N697" s="578"/>
      <c r="O697" s="578"/>
      <c r="P697" s="578"/>
      <c r="Q697" s="1151"/>
      <c r="R697" s="578"/>
      <c r="S697" s="578"/>
      <c r="T697" s="578"/>
      <c r="U697" s="578"/>
      <c r="V697" s="578"/>
    </row>
    <row r="698" spans="4:22" ht="12.75">
      <c r="D698" s="578"/>
      <c r="E698" s="578"/>
      <c r="F698" s="578"/>
      <c r="G698" s="578"/>
      <c r="H698" s="578"/>
      <c r="I698" s="578"/>
      <c r="J698" s="1198"/>
      <c r="K698" s="578"/>
      <c r="L698" s="578"/>
      <c r="M698" s="578"/>
      <c r="N698" s="578"/>
      <c r="O698" s="578"/>
      <c r="P698" s="578"/>
      <c r="Q698" s="1151"/>
      <c r="R698" s="578"/>
      <c r="S698" s="578"/>
      <c r="T698" s="578"/>
      <c r="U698" s="578"/>
      <c r="V698" s="578"/>
    </row>
    <row r="699" spans="4:22" ht="12.75">
      <c r="D699" s="578"/>
      <c r="E699" s="578"/>
      <c r="F699" s="578"/>
      <c r="G699" s="578"/>
      <c r="H699" s="578"/>
      <c r="I699" s="578"/>
      <c r="J699" s="1198"/>
      <c r="K699" s="578"/>
      <c r="L699" s="578"/>
      <c r="M699" s="578"/>
      <c r="N699" s="578"/>
      <c r="O699" s="578"/>
      <c r="P699" s="578"/>
      <c r="Q699" s="1151"/>
      <c r="R699" s="578"/>
      <c r="S699" s="578"/>
      <c r="T699" s="578"/>
      <c r="U699" s="578"/>
      <c r="V699" s="578"/>
    </row>
    <row r="700" spans="4:22" ht="12.75">
      <c r="D700" s="578"/>
      <c r="E700" s="578"/>
      <c r="F700" s="578"/>
      <c r="G700" s="578"/>
      <c r="H700" s="578"/>
      <c r="I700" s="578"/>
      <c r="J700" s="1198"/>
      <c r="K700" s="578"/>
      <c r="L700" s="578"/>
      <c r="M700" s="578"/>
      <c r="N700" s="578"/>
      <c r="O700" s="578"/>
      <c r="P700" s="578"/>
      <c r="Q700" s="1151"/>
      <c r="R700" s="578"/>
      <c r="S700" s="578"/>
      <c r="T700" s="578"/>
      <c r="U700" s="578"/>
      <c r="V700" s="578"/>
    </row>
    <row r="701" spans="4:22" ht="12.75">
      <c r="D701" s="578"/>
      <c r="E701" s="578"/>
      <c r="F701" s="578"/>
      <c r="G701" s="578"/>
      <c r="H701" s="578"/>
      <c r="I701" s="578"/>
      <c r="J701" s="1198"/>
      <c r="K701" s="578"/>
      <c r="L701" s="578"/>
      <c r="M701" s="578"/>
      <c r="N701" s="578"/>
      <c r="O701" s="578"/>
      <c r="P701" s="578"/>
      <c r="Q701" s="1151"/>
      <c r="R701" s="578"/>
      <c r="S701" s="578"/>
      <c r="T701" s="578"/>
      <c r="U701" s="578"/>
      <c r="V701" s="578"/>
    </row>
    <row r="702" spans="4:22" ht="12.75">
      <c r="D702" s="578"/>
      <c r="E702" s="578"/>
      <c r="F702" s="578"/>
      <c r="G702" s="578"/>
      <c r="H702" s="578"/>
      <c r="I702" s="578"/>
      <c r="J702" s="1198"/>
      <c r="K702" s="578"/>
      <c r="L702" s="578"/>
      <c r="M702" s="578"/>
      <c r="N702" s="578"/>
      <c r="O702" s="578"/>
      <c r="P702" s="578"/>
      <c r="Q702" s="1151"/>
      <c r="R702" s="578"/>
      <c r="S702" s="578"/>
      <c r="T702" s="578"/>
      <c r="U702" s="578"/>
      <c r="V702" s="578"/>
    </row>
    <row r="703" spans="4:22" ht="12.75">
      <c r="D703" s="578"/>
      <c r="E703" s="578"/>
      <c r="F703" s="578"/>
      <c r="G703" s="578"/>
      <c r="H703" s="578"/>
      <c r="I703" s="578"/>
      <c r="J703" s="1198"/>
      <c r="K703" s="578"/>
      <c r="L703" s="578"/>
      <c r="M703" s="578"/>
      <c r="N703" s="578"/>
      <c r="O703" s="578"/>
      <c r="P703" s="578"/>
      <c r="Q703" s="1151"/>
      <c r="R703" s="578"/>
      <c r="S703" s="578"/>
      <c r="T703" s="578"/>
      <c r="U703" s="578"/>
      <c r="V703" s="578"/>
    </row>
    <row r="704" spans="4:22" ht="12.75">
      <c r="D704" s="578"/>
      <c r="E704" s="578"/>
      <c r="F704" s="578"/>
      <c r="G704" s="578"/>
      <c r="H704" s="578"/>
      <c r="I704" s="578"/>
      <c r="J704" s="1198"/>
      <c r="K704" s="578"/>
      <c r="L704" s="578"/>
      <c r="M704" s="578"/>
      <c r="N704" s="578"/>
      <c r="O704" s="578"/>
      <c r="P704" s="578"/>
      <c r="Q704" s="1151"/>
      <c r="R704" s="578"/>
      <c r="S704" s="578"/>
      <c r="T704" s="578"/>
      <c r="U704" s="578"/>
      <c r="V704" s="578"/>
    </row>
    <row r="705" spans="4:22" ht="12.75">
      <c r="D705" s="578"/>
      <c r="E705" s="578"/>
      <c r="F705" s="578"/>
      <c r="G705" s="578"/>
      <c r="H705" s="578"/>
      <c r="I705" s="578"/>
      <c r="J705" s="1198"/>
      <c r="K705" s="578"/>
      <c r="L705" s="578"/>
      <c r="M705" s="578"/>
      <c r="N705" s="578"/>
      <c r="O705" s="578"/>
      <c r="P705" s="578"/>
      <c r="Q705" s="1151"/>
      <c r="R705" s="578"/>
      <c r="S705" s="578"/>
      <c r="T705" s="578"/>
      <c r="U705" s="578"/>
      <c r="V705" s="578"/>
    </row>
    <row r="706" spans="4:22" ht="12.75">
      <c r="D706" s="578"/>
      <c r="E706" s="578"/>
      <c r="F706" s="578"/>
      <c r="G706" s="578"/>
      <c r="H706" s="578"/>
      <c r="I706" s="578"/>
      <c r="J706" s="1198"/>
      <c r="K706" s="578"/>
      <c r="L706" s="578"/>
      <c r="M706" s="578"/>
      <c r="N706" s="578"/>
      <c r="O706" s="578"/>
      <c r="P706" s="578"/>
      <c r="Q706" s="1151"/>
      <c r="R706" s="578"/>
      <c r="S706" s="578"/>
      <c r="T706" s="578"/>
      <c r="U706" s="578"/>
      <c r="V706" s="578"/>
    </row>
    <row r="707" spans="4:22" ht="12.75">
      <c r="D707" s="578"/>
      <c r="E707" s="578"/>
      <c r="F707" s="578"/>
      <c r="G707" s="578"/>
      <c r="H707" s="578"/>
      <c r="I707" s="578"/>
      <c r="J707" s="1198"/>
      <c r="K707" s="578"/>
      <c r="L707" s="578"/>
      <c r="M707" s="578"/>
      <c r="N707" s="578"/>
      <c r="O707" s="578"/>
      <c r="P707" s="578"/>
      <c r="Q707" s="1151"/>
      <c r="R707" s="578"/>
      <c r="S707" s="578"/>
      <c r="T707" s="578"/>
      <c r="U707" s="578"/>
      <c r="V707" s="578"/>
    </row>
    <row r="708" spans="4:22" ht="12.75">
      <c r="D708" s="578"/>
      <c r="E708" s="578"/>
      <c r="F708" s="578"/>
      <c r="G708" s="578"/>
      <c r="H708" s="578"/>
      <c r="I708" s="578"/>
      <c r="J708" s="1198"/>
      <c r="K708" s="578"/>
      <c r="L708" s="578"/>
      <c r="M708" s="578"/>
      <c r="N708" s="578"/>
      <c r="O708" s="578"/>
      <c r="P708" s="578"/>
      <c r="Q708" s="1151"/>
      <c r="R708" s="578"/>
      <c r="S708" s="578"/>
      <c r="T708" s="578"/>
      <c r="U708" s="578"/>
      <c r="V708" s="578"/>
    </row>
    <row r="709" spans="4:22" ht="12.75">
      <c r="D709" s="578"/>
      <c r="E709" s="578"/>
      <c r="F709" s="578"/>
      <c r="G709" s="578"/>
      <c r="H709" s="578"/>
      <c r="I709" s="578"/>
      <c r="J709" s="1198"/>
      <c r="K709" s="578"/>
      <c r="L709" s="578"/>
      <c r="M709" s="578"/>
      <c r="N709" s="578"/>
      <c r="O709" s="578"/>
      <c r="P709" s="578"/>
      <c r="Q709" s="1151"/>
      <c r="R709" s="578"/>
      <c r="S709" s="578"/>
      <c r="T709" s="578"/>
      <c r="U709" s="578"/>
      <c r="V709" s="578"/>
    </row>
    <row r="710" spans="4:22" ht="12.75">
      <c r="D710" s="578"/>
      <c r="E710" s="578"/>
      <c r="F710" s="578"/>
      <c r="G710" s="578"/>
      <c r="H710" s="578"/>
      <c r="I710" s="578"/>
      <c r="J710" s="1198"/>
      <c r="K710" s="578"/>
      <c r="L710" s="578"/>
      <c r="M710" s="578"/>
      <c r="N710" s="578"/>
      <c r="O710" s="578"/>
      <c r="P710" s="578"/>
      <c r="Q710" s="1151"/>
      <c r="R710" s="578"/>
      <c r="S710" s="578"/>
      <c r="T710" s="578"/>
      <c r="U710" s="578"/>
      <c r="V710" s="578"/>
    </row>
    <row r="711" spans="4:22" ht="12.75">
      <c r="D711" s="578"/>
      <c r="E711" s="578"/>
      <c r="F711" s="578"/>
      <c r="G711" s="578"/>
      <c r="H711" s="578"/>
      <c r="I711" s="578"/>
      <c r="J711" s="1198"/>
      <c r="K711" s="578"/>
      <c r="L711" s="578"/>
      <c r="M711" s="578"/>
      <c r="N711" s="578"/>
      <c r="O711" s="578"/>
      <c r="P711" s="578"/>
      <c r="Q711" s="1151"/>
      <c r="R711" s="578"/>
      <c r="S711" s="578"/>
      <c r="T711" s="578"/>
      <c r="U711" s="578"/>
      <c r="V711" s="578"/>
    </row>
    <row r="712" spans="4:22" ht="12.75">
      <c r="D712" s="578"/>
      <c r="E712" s="578"/>
      <c r="F712" s="578"/>
      <c r="G712" s="578"/>
      <c r="H712" s="578"/>
      <c r="I712" s="578"/>
      <c r="J712" s="1198"/>
      <c r="K712" s="578"/>
      <c r="L712" s="578"/>
      <c r="M712" s="578"/>
      <c r="N712" s="578"/>
      <c r="O712" s="578"/>
      <c r="P712" s="578"/>
      <c r="Q712" s="1151"/>
      <c r="R712" s="578"/>
      <c r="S712" s="578"/>
      <c r="T712" s="578"/>
      <c r="U712" s="578"/>
      <c r="V712" s="578"/>
    </row>
    <row r="713" spans="4:22" ht="12.75">
      <c r="D713" s="578"/>
      <c r="E713" s="578"/>
      <c r="F713" s="578"/>
      <c r="G713" s="578"/>
      <c r="H713" s="578"/>
      <c r="I713" s="578"/>
      <c r="J713" s="1198"/>
      <c r="K713" s="578"/>
      <c r="L713" s="578"/>
      <c r="M713" s="578"/>
      <c r="N713" s="578"/>
      <c r="O713" s="578"/>
      <c r="P713" s="578"/>
      <c r="Q713" s="1151"/>
      <c r="R713" s="578"/>
      <c r="S713" s="578"/>
      <c r="T713" s="578"/>
      <c r="U713" s="578"/>
      <c r="V713" s="578"/>
    </row>
    <row r="714" spans="4:22" ht="12.75">
      <c r="D714" s="578"/>
      <c r="E714" s="578"/>
      <c r="F714" s="578"/>
      <c r="G714" s="578"/>
      <c r="H714" s="578"/>
      <c r="I714" s="578"/>
      <c r="J714" s="1198"/>
      <c r="K714" s="578"/>
      <c r="L714" s="578"/>
      <c r="M714" s="578"/>
      <c r="N714" s="578"/>
      <c r="O714" s="578"/>
      <c r="P714" s="578"/>
      <c r="Q714" s="1151"/>
      <c r="R714" s="578"/>
      <c r="S714" s="578"/>
      <c r="T714" s="578"/>
      <c r="U714" s="578"/>
      <c r="V714" s="578"/>
    </row>
    <row r="715" spans="4:22" ht="12.75">
      <c r="D715" s="578"/>
      <c r="E715" s="578"/>
      <c r="F715" s="578"/>
      <c r="G715" s="578"/>
      <c r="H715" s="578"/>
      <c r="I715" s="578"/>
      <c r="J715" s="1198"/>
      <c r="K715" s="578"/>
      <c r="L715" s="578"/>
      <c r="M715" s="578"/>
      <c r="N715" s="578"/>
      <c r="O715" s="578"/>
      <c r="P715" s="578"/>
      <c r="Q715" s="1151"/>
      <c r="R715" s="578"/>
      <c r="S715" s="578"/>
      <c r="T715" s="578"/>
      <c r="U715" s="578"/>
      <c r="V715" s="578"/>
    </row>
    <row r="716" spans="4:22" ht="12.75">
      <c r="D716" s="578"/>
      <c r="E716" s="578"/>
      <c r="F716" s="578"/>
      <c r="G716" s="578"/>
      <c r="H716" s="578"/>
      <c r="I716" s="578"/>
      <c r="J716" s="1198"/>
      <c r="K716" s="578"/>
      <c r="L716" s="578"/>
      <c r="M716" s="578"/>
      <c r="N716" s="578"/>
      <c r="O716" s="578"/>
      <c r="P716" s="578"/>
      <c r="Q716" s="1151"/>
      <c r="R716" s="578"/>
      <c r="S716" s="578"/>
      <c r="T716" s="578"/>
      <c r="U716" s="578"/>
      <c r="V716" s="578"/>
    </row>
    <row r="717" spans="4:22" ht="12.75">
      <c r="D717" s="578"/>
      <c r="E717" s="578"/>
      <c r="F717" s="578"/>
      <c r="G717" s="578"/>
      <c r="H717" s="578"/>
      <c r="I717" s="578"/>
      <c r="J717" s="1198"/>
      <c r="K717" s="578"/>
      <c r="L717" s="578"/>
      <c r="M717" s="578"/>
      <c r="N717" s="578"/>
      <c r="O717" s="578"/>
      <c r="P717" s="578"/>
      <c r="Q717" s="1151"/>
      <c r="R717" s="578"/>
      <c r="S717" s="578"/>
      <c r="T717" s="578"/>
      <c r="U717" s="578"/>
      <c r="V717" s="578"/>
    </row>
    <row r="718" spans="4:22" ht="12.75">
      <c r="D718" s="578"/>
      <c r="E718" s="578"/>
      <c r="F718" s="578"/>
      <c r="G718" s="578"/>
      <c r="H718" s="578"/>
      <c r="I718" s="578"/>
      <c r="J718" s="1198"/>
      <c r="K718" s="578"/>
      <c r="L718" s="578"/>
      <c r="M718" s="578"/>
      <c r="N718" s="578"/>
      <c r="O718" s="578"/>
      <c r="P718" s="578"/>
      <c r="Q718" s="1151"/>
      <c r="R718" s="578"/>
      <c r="S718" s="578"/>
      <c r="T718" s="578"/>
      <c r="U718" s="578"/>
      <c r="V718" s="578"/>
    </row>
    <row r="719" spans="4:22" ht="12.75">
      <c r="D719" s="578"/>
      <c r="E719" s="578"/>
      <c r="F719" s="578"/>
      <c r="G719" s="578"/>
      <c r="H719" s="578"/>
      <c r="I719" s="578"/>
      <c r="J719" s="1198"/>
      <c r="K719" s="578"/>
      <c r="L719" s="578"/>
      <c r="M719" s="578"/>
      <c r="N719" s="578"/>
      <c r="O719" s="578"/>
      <c r="P719" s="578"/>
      <c r="Q719" s="1151"/>
      <c r="R719" s="578"/>
      <c r="S719" s="578"/>
      <c r="T719" s="578"/>
      <c r="U719" s="578"/>
      <c r="V719" s="578"/>
    </row>
    <row r="720" spans="4:22" ht="12.75">
      <c r="D720" s="578"/>
      <c r="E720" s="578"/>
      <c r="F720" s="578"/>
      <c r="G720" s="578"/>
      <c r="H720" s="578"/>
      <c r="I720" s="578"/>
      <c r="J720" s="1198"/>
      <c r="K720" s="578"/>
      <c r="L720" s="578"/>
      <c r="M720" s="578"/>
      <c r="N720" s="578"/>
      <c r="O720" s="578"/>
      <c r="P720" s="578"/>
      <c r="Q720" s="1151"/>
      <c r="R720" s="578"/>
      <c r="S720" s="578"/>
      <c r="T720" s="578"/>
      <c r="U720" s="578"/>
      <c r="V720" s="578"/>
    </row>
    <row r="721" spans="4:22" ht="12.75">
      <c r="D721" s="578"/>
      <c r="E721" s="578"/>
      <c r="F721" s="578"/>
      <c r="G721" s="578"/>
      <c r="H721" s="578"/>
      <c r="I721" s="578"/>
      <c r="J721" s="1198"/>
      <c r="K721" s="578"/>
      <c r="L721" s="578"/>
      <c r="M721" s="578"/>
      <c r="N721" s="578"/>
      <c r="O721" s="578"/>
      <c r="P721" s="578"/>
      <c r="Q721" s="1151"/>
      <c r="R721" s="578"/>
      <c r="S721" s="578"/>
      <c r="T721" s="578"/>
      <c r="U721" s="578"/>
      <c r="V721" s="578"/>
    </row>
    <row r="722" spans="4:22" ht="12.75">
      <c r="D722" s="578"/>
      <c r="E722" s="578"/>
      <c r="F722" s="578"/>
      <c r="G722" s="578"/>
      <c r="H722" s="578"/>
      <c r="I722" s="578"/>
      <c r="J722" s="1198"/>
      <c r="K722" s="578"/>
      <c r="L722" s="578"/>
      <c r="M722" s="578"/>
      <c r="N722" s="578"/>
      <c r="O722" s="578"/>
      <c r="P722" s="578"/>
      <c r="Q722" s="1151"/>
      <c r="R722" s="578"/>
      <c r="S722" s="578"/>
      <c r="T722" s="578"/>
      <c r="U722" s="578"/>
      <c r="V722" s="578"/>
    </row>
    <row r="723" spans="4:22" ht="12.75">
      <c r="D723" s="578"/>
      <c r="E723" s="578"/>
      <c r="F723" s="578"/>
      <c r="G723" s="578"/>
      <c r="H723" s="578"/>
      <c r="I723" s="578"/>
      <c r="J723" s="1198"/>
      <c r="K723" s="578"/>
      <c r="L723" s="578"/>
      <c r="M723" s="578"/>
      <c r="N723" s="578"/>
      <c r="O723" s="578"/>
      <c r="P723" s="578"/>
      <c r="Q723" s="1151"/>
      <c r="R723" s="578"/>
      <c r="S723" s="578"/>
      <c r="T723" s="578"/>
      <c r="U723" s="578"/>
      <c r="V723" s="578"/>
    </row>
    <row r="724" spans="4:22" ht="12.75">
      <c r="D724" s="578"/>
      <c r="E724" s="578"/>
      <c r="F724" s="578"/>
      <c r="G724" s="578"/>
      <c r="H724" s="578"/>
      <c r="I724" s="578"/>
      <c r="J724" s="1198"/>
      <c r="K724" s="578"/>
      <c r="L724" s="578"/>
      <c r="M724" s="578"/>
      <c r="N724" s="578"/>
      <c r="O724" s="578"/>
      <c r="P724" s="578"/>
      <c r="Q724" s="1151"/>
      <c r="R724" s="578"/>
      <c r="S724" s="578"/>
      <c r="T724" s="578"/>
      <c r="U724" s="578"/>
      <c r="V724" s="578"/>
    </row>
    <row r="725" spans="4:22" ht="12.75">
      <c r="D725" s="578"/>
      <c r="E725" s="578"/>
      <c r="F725" s="578"/>
      <c r="G725" s="578"/>
      <c r="H725" s="578"/>
      <c r="I725" s="578"/>
      <c r="J725" s="1198"/>
      <c r="K725" s="578"/>
      <c r="L725" s="578"/>
      <c r="M725" s="578"/>
      <c r="N725" s="578"/>
      <c r="O725" s="578"/>
      <c r="P725" s="578"/>
      <c r="Q725" s="1151"/>
      <c r="R725" s="578"/>
      <c r="S725" s="578"/>
      <c r="T725" s="578"/>
      <c r="U725" s="578"/>
      <c r="V725" s="578"/>
    </row>
    <row r="726" spans="4:22" ht="12.75">
      <c r="D726" s="578"/>
      <c r="E726" s="578"/>
      <c r="F726" s="578"/>
      <c r="G726" s="578"/>
      <c r="H726" s="578"/>
      <c r="I726" s="578"/>
      <c r="J726" s="1198"/>
      <c r="K726" s="578"/>
      <c r="L726" s="578"/>
      <c r="M726" s="578"/>
      <c r="N726" s="578"/>
      <c r="O726" s="578"/>
      <c r="P726" s="578"/>
      <c r="Q726" s="1151"/>
      <c r="R726" s="578"/>
      <c r="S726" s="578"/>
      <c r="T726" s="578"/>
      <c r="U726" s="578"/>
      <c r="V726" s="578"/>
    </row>
    <row r="727" spans="4:22" ht="12.75">
      <c r="D727" s="578"/>
      <c r="E727" s="578"/>
      <c r="F727" s="578"/>
      <c r="G727" s="578"/>
      <c r="H727" s="578"/>
      <c r="I727" s="578"/>
      <c r="J727" s="1198"/>
      <c r="K727" s="578"/>
      <c r="L727" s="578"/>
      <c r="M727" s="578"/>
      <c r="N727" s="578"/>
      <c r="O727" s="578"/>
      <c r="P727" s="578"/>
      <c r="Q727" s="1151"/>
      <c r="R727" s="578"/>
      <c r="S727" s="578"/>
      <c r="T727" s="578"/>
      <c r="U727" s="578"/>
      <c r="V727" s="578"/>
    </row>
    <row r="728" spans="4:22" ht="12.75">
      <c r="D728" s="578"/>
      <c r="E728" s="578"/>
      <c r="F728" s="578"/>
      <c r="G728" s="578"/>
      <c r="H728" s="578"/>
      <c r="I728" s="578"/>
      <c r="J728" s="1198"/>
      <c r="K728" s="578"/>
      <c r="L728" s="578"/>
      <c r="M728" s="578"/>
      <c r="N728" s="578"/>
      <c r="O728" s="578"/>
      <c r="P728" s="578"/>
      <c r="Q728" s="1151"/>
      <c r="R728" s="578"/>
      <c r="S728" s="578"/>
      <c r="T728" s="578"/>
      <c r="U728" s="578"/>
      <c r="V728" s="578"/>
    </row>
    <row r="729" spans="4:22" ht="12.75">
      <c r="D729" s="578"/>
      <c r="E729" s="578"/>
      <c r="F729" s="578"/>
      <c r="G729" s="578"/>
      <c r="H729" s="578"/>
      <c r="I729" s="578"/>
      <c r="J729" s="1198"/>
      <c r="K729" s="578"/>
      <c r="L729" s="578"/>
      <c r="M729" s="578"/>
      <c r="N729" s="578"/>
      <c r="O729" s="578"/>
      <c r="P729" s="578"/>
      <c r="Q729" s="1151"/>
      <c r="R729" s="578"/>
      <c r="S729" s="578"/>
      <c r="T729" s="578"/>
      <c r="U729" s="578"/>
      <c r="V729" s="578"/>
    </row>
    <row r="730" spans="4:22" ht="12.75">
      <c r="D730" s="578"/>
      <c r="E730" s="578"/>
      <c r="F730" s="578"/>
      <c r="G730" s="578"/>
      <c r="H730" s="578"/>
      <c r="I730" s="578"/>
      <c r="J730" s="1198"/>
      <c r="K730" s="578"/>
      <c r="L730" s="578"/>
      <c r="M730" s="578"/>
      <c r="N730" s="578"/>
      <c r="O730" s="578"/>
      <c r="P730" s="578"/>
      <c r="Q730" s="1151"/>
      <c r="R730" s="578"/>
      <c r="S730" s="578"/>
      <c r="T730" s="578"/>
      <c r="U730" s="578"/>
      <c r="V730" s="578"/>
    </row>
    <row r="731" spans="4:22" ht="12.75">
      <c r="D731" s="578"/>
      <c r="E731" s="578"/>
      <c r="F731" s="578"/>
      <c r="G731" s="578"/>
      <c r="H731" s="578"/>
      <c r="I731" s="578"/>
      <c r="J731" s="1198"/>
      <c r="K731" s="578"/>
      <c r="L731" s="578"/>
      <c r="M731" s="578"/>
      <c r="N731" s="578"/>
      <c r="O731" s="578"/>
      <c r="P731" s="578"/>
      <c r="Q731" s="1151"/>
      <c r="R731" s="578"/>
      <c r="S731" s="578"/>
      <c r="T731" s="578"/>
      <c r="U731" s="578"/>
      <c r="V731" s="578"/>
    </row>
    <row r="732" spans="4:22" ht="12.75">
      <c r="D732" s="578"/>
      <c r="E732" s="578"/>
      <c r="F732" s="578"/>
      <c r="G732" s="578"/>
      <c r="H732" s="578"/>
      <c r="I732" s="578"/>
      <c r="J732" s="1198"/>
      <c r="K732" s="578"/>
      <c r="L732" s="578"/>
      <c r="M732" s="578"/>
      <c r="N732" s="578"/>
      <c r="O732" s="578"/>
      <c r="P732" s="578"/>
      <c r="Q732" s="1151"/>
      <c r="R732" s="578"/>
      <c r="S732" s="578"/>
      <c r="T732" s="578"/>
      <c r="U732" s="578"/>
      <c r="V732" s="578"/>
    </row>
    <row r="733" spans="4:22" ht="12.75">
      <c r="D733" s="578"/>
      <c r="E733" s="578"/>
      <c r="F733" s="578"/>
      <c r="G733" s="578"/>
      <c r="H733" s="578"/>
      <c r="I733" s="578"/>
      <c r="J733" s="1198"/>
      <c r="K733" s="578"/>
      <c r="L733" s="578"/>
      <c r="M733" s="578"/>
      <c r="N733" s="578"/>
      <c r="O733" s="578"/>
      <c r="P733" s="578"/>
      <c r="Q733" s="1151"/>
      <c r="R733" s="578"/>
      <c r="S733" s="578"/>
      <c r="T733" s="578"/>
      <c r="U733" s="578"/>
      <c r="V733" s="578"/>
    </row>
    <row r="734" spans="4:22" ht="12.75">
      <c r="D734" s="578"/>
      <c r="E734" s="578"/>
      <c r="F734" s="578"/>
      <c r="G734" s="578"/>
      <c r="H734" s="578"/>
      <c r="I734" s="578"/>
      <c r="J734" s="1198"/>
      <c r="K734" s="578"/>
      <c r="L734" s="578"/>
      <c r="M734" s="578"/>
      <c r="N734" s="578"/>
      <c r="O734" s="578"/>
      <c r="P734" s="578"/>
      <c r="Q734" s="1151"/>
      <c r="R734" s="578"/>
      <c r="S734" s="578"/>
      <c r="T734" s="578"/>
      <c r="U734" s="578"/>
      <c r="V734" s="578"/>
    </row>
    <row r="735" spans="4:22" ht="12.75">
      <c r="D735" s="578"/>
      <c r="E735" s="578"/>
      <c r="F735" s="578"/>
      <c r="G735" s="578"/>
      <c r="H735" s="578"/>
      <c r="I735" s="578"/>
      <c r="J735" s="1198"/>
      <c r="K735" s="578"/>
      <c r="L735" s="578"/>
      <c r="M735" s="578"/>
      <c r="N735" s="578"/>
      <c r="O735" s="578"/>
      <c r="P735" s="578"/>
      <c r="Q735" s="1151"/>
      <c r="R735" s="578"/>
      <c r="S735" s="578"/>
      <c r="T735" s="578"/>
      <c r="U735" s="578"/>
      <c r="V735" s="578"/>
    </row>
    <row r="736" spans="4:22" ht="12.75">
      <c r="D736" s="578"/>
      <c r="E736" s="578"/>
      <c r="F736" s="578"/>
      <c r="G736" s="578"/>
      <c r="H736" s="578"/>
      <c r="I736" s="578"/>
      <c r="J736" s="1198"/>
      <c r="K736" s="578"/>
      <c r="L736" s="578"/>
      <c r="M736" s="578"/>
      <c r="N736" s="578"/>
      <c r="O736" s="578"/>
      <c r="P736" s="578"/>
      <c r="Q736" s="1151"/>
      <c r="R736" s="578"/>
      <c r="S736" s="578"/>
      <c r="T736" s="578"/>
      <c r="U736" s="578"/>
      <c r="V736" s="578"/>
    </row>
    <row r="737" spans="4:22" ht="12.75">
      <c r="D737" s="578"/>
      <c r="E737" s="578"/>
      <c r="F737" s="578"/>
      <c r="G737" s="578"/>
      <c r="H737" s="578"/>
      <c r="I737" s="578"/>
      <c r="J737" s="1198"/>
      <c r="K737" s="578"/>
      <c r="L737" s="578"/>
      <c r="M737" s="578"/>
      <c r="N737" s="578"/>
      <c r="O737" s="578"/>
      <c r="P737" s="578"/>
      <c r="Q737" s="1151"/>
      <c r="R737" s="578"/>
      <c r="S737" s="578"/>
      <c r="T737" s="578"/>
      <c r="U737" s="578"/>
      <c r="V737" s="578"/>
    </row>
    <row r="738" spans="4:22" ht="12.75">
      <c r="D738" s="578"/>
      <c r="E738" s="578"/>
      <c r="F738" s="578"/>
      <c r="G738" s="578"/>
      <c r="H738" s="578"/>
      <c r="I738" s="578"/>
      <c r="J738" s="1198"/>
      <c r="K738" s="578"/>
      <c r="L738" s="578"/>
      <c r="M738" s="578"/>
      <c r="N738" s="578"/>
      <c r="O738" s="578"/>
      <c r="P738" s="578"/>
      <c r="Q738" s="1151"/>
      <c r="R738" s="578"/>
      <c r="S738" s="578"/>
      <c r="T738" s="578"/>
      <c r="U738" s="578"/>
      <c r="V738" s="578"/>
    </row>
    <row r="739" spans="4:22" ht="12.75">
      <c r="D739" s="578"/>
      <c r="E739" s="578"/>
      <c r="F739" s="578"/>
      <c r="G739" s="578"/>
      <c r="H739" s="578"/>
      <c r="I739" s="578"/>
      <c r="J739" s="1198"/>
      <c r="K739" s="578"/>
      <c r="L739" s="578"/>
      <c r="M739" s="578"/>
      <c r="N739" s="578"/>
      <c r="O739" s="578"/>
      <c r="P739" s="578"/>
      <c r="Q739" s="1151"/>
      <c r="R739" s="578"/>
      <c r="S739" s="578"/>
      <c r="T739" s="578"/>
      <c r="U739" s="578"/>
      <c r="V739" s="578"/>
    </row>
    <row r="740" spans="4:22" ht="12.75">
      <c r="D740" s="578"/>
      <c r="E740" s="578"/>
      <c r="F740" s="578"/>
      <c r="G740" s="578"/>
      <c r="H740" s="578"/>
      <c r="I740" s="578"/>
      <c r="J740" s="1198"/>
      <c r="K740" s="578"/>
      <c r="L740" s="578"/>
      <c r="M740" s="578"/>
      <c r="N740" s="578"/>
      <c r="O740" s="578"/>
      <c r="P740" s="578"/>
      <c r="Q740" s="1151"/>
      <c r="R740" s="578"/>
      <c r="S740" s="578"/>
      <c r="T740" s="578"/>
      <c r="U740" s="578"/>
      <c r="V740" s="578"/>
    </row>
    <row r="741" spans="4:22" ht="12.75">
      <c r="D741" s="578"/>
      <c r="E741" s="578"/>
      <c r="F741" s="578"/>
      <c r="G741" s="578"/>
      <c r="H741" s="578"/>
      <c r="I741" s="578"/>
      <c r="J741" s="1198"/>
      <c r="K741" s="578"/>
      <c r="L741" s="578"/>
      <c r="M741" s="578"/>
      <c r="N741" s="578"/>
      <c r="O741" s="578"/>
      <c r="P741" s="578"/>
      <c r="Q741" s="1151"/>
      <c r="R741" s="578"/>
      <c r="S741" s="578"/>
      <c r="T741" s="578"/>
      <c r="U741" s="578"/>
      <c r="V741" s="578"/>
    </row>
    <row r="742" spans="4:22" ht="12.75">
      <c r="D742" s="578"/>
      <c r="E742" s="578"/>
      <c r="F742" s="578"/>
      <c r="G742" s="578"/>
      <c r="H742" s="578"/>
      <c r="I742" s="578"/>
      <c r="J742" s="1198"/>
      <c r="K742" s="578"/>
      <c r="L742" s="578"/>
      <c r="M742" s="578"/>
      <c r="N742" s="578"/>
      <c r="O742" s="578"/>
      <c r="P742" s="578"/>
      <c r="Q742" s="1151"/>
      <c r="R742" s="578"/>
      <c r="S742" s="578"/>
      <c r="T742" s="578"/>
      <c r="U742" s="578"/>
      <c r="V742" s="578"/>
    </row>
    <row r="743" spans="4:22" ht="12.75">
      <c r="D743" s="578"/>
      <c r="E743" s="578"/>
      <c r="F743" s="578"/>
      <c r="G743" s="578"/>
      <c r="H743" s="578"/>
      <c r="I743" s="578"/>
      <c r="J743" s="1198"/>
      <c r="K743" s="578"/>
      <c r="L743" s="578"/>
      <c r="M743" s="578"/>
      <c r="N743" s="578"/>
      <c r="O743" s="578"/>
      <c r="P743" s="578"/>
      <c r="Q743" s="1151"/>
      <c r="R743" s="578"/>
      <c r="S743" s="578"/>
      <c r="T743" s="578"/>
      <c r="U743" s="578"/>
      <c r="V743" s="578"/>
    </row>
    <row r="744" spans="4:22" ht="12.75">
      <c r="D744" s="578"/>
      <c r="E744" s="578"/>
      <c r="F744" s="578"/>
      <c r="G744" s="578"/>
      <c r="H744" s="578"/>
      <c r="I744" s="578"/>
      <c r="J744" s="1198"/>
      <c r="K744" s="578"/>
      <c r="L744" s="578"/>
      <c r="M744" s="578"/>
      <c r="N744" s="578"/>
      <c r="O744" s="578"/>
      <c r="P744" s="578"/>
      <c r="Q744" s="1151"/>
      <c r="R744" s="578"/>
      <c r="S744" s="578"/>
      <c r="T744" s="578"/>
      <c r="U744" s="578"/>
      <c r="V744" s="578"/>
    </row>
    <row r="745" spans="4:22" ht="12.75">
      <c r="D745" s="578"/>
      <c r="E745" s="578"/>
      <c r="F745" s="578"/>
      <c r="G745" s="578"/>
      <c r="H745" s="578"/>
      <c r="I745" s="578"/>
      <c r="J745" s="1198"/>
      <c r="K745" s="578"/>
      <c r="L745" s="578"/>
      <c r="M745" s="578"/>
      <c r="N745" s="578"/>
      <c r="O745" s="578"/>
      <c r="P745" s="578"/>
      <c r="Q745" s="1151"/>
      <c r="R745" s="578"/>
      <c r="S745" s="578"/>
      <c r="T745" s="578"/>
      <c r="U745" s="578"/>
      <c r="V745" s="578"/>
    </row>
    <row r="746" spans="4:22" ht="12.75">
      <c r="D746" s="578"/>
      <c r="E746" s="578"/>
      <c r="F746" s="578"/>
      <c r="G746" s="578"/>
      <c r="H746" s="578"/>
      <c r="I746" s="578"/>
      <c r="J746" s="1198"/>
      <c r="K746" s="578"/>
      <c r="L746" s="578"/>
      <c r="M746" s="578"/>
      <c r="N746" s="578"/>
      <c r="O746" s="578"/>
      <c r="P746" s="578"/>
      <c r="Q746" s="1151"/>
      <c r="R746" s="578"/>
      <c r="S746" s="578"/>
      <c r="T746" s="578"/>
      <c r="U746" s="578"/>
      <c r="V746" s="578"/>
    </row>
    <row r="747" spans="4:22" ht="12.75">
      <c r="D747" s="578"/>
      <c r="E747" s="578"/>
      <c r="F747" s="578"/>
      <c r="G747" s="578"/>
      <c r="H747" s="578"/>
      <c r="I747" s="578"/>
      <c r="J747" s="1198"/>
      <c r="K747" s="578"/>
      <c r="L747" s="578"/>
      <c r="M747" s="578"/>
      <c r="N747" s="578"/>
      <c r="O747" s="578"/>
      <c r="P747" s="578"/>
      <c r="Q747" s="1151"/>
      <c r="R747" s="578"/>
      <c r="S747" s="578"/>
      <c r="T747" s="578"/>
      <c r="U747" s="578"/>
      <c r="V747" s="578"/>
    </row>
    <row r="748" spans="4:22" ht="12.75">
      <c r="D748" s="578"/>
      <c r="E748" s="578"/>
      <c r="F748" s="578"/>
      <c r="G748" s="578"/>
      <c r="H748" s="578"/>
      <c r="I748" s="578"/>
      <c r="J748" s="1198"/>
      <c r="K748" s="578"/>
      <c r="L748" s="578"/>
      <c r="M748" s="578"/>
      <c r="N748" s="578"/>
      <c r="O748" s="578"/>
      <c r="P748" s="578"/>
      <c r="Q748" s="1151"/>
      <c r="R748" s="578"/>
      <c r="S748" s="578"/>
      <c r="T748" s="578"/>
      <c r="U748" s="578"/>
      <c r="V748" s="578"/>
    </row>
    <row r="749" spans="4:22" ht="12.75">
      <c r="D749" s="578"/>
      <c r="E749" s="578"/>
      <c r="F749" s="578"/>
      <c r="G749" s="578"/>
      <c r="H749" s="578"/>
      <c r="I749" s="578"/>
      <c r="J749" s="1198"/>
      <c r="K749" s="578"/>
      <c r="L749" s="578"/>
      <c r="M749" s="578"/>
      <c r="N749" s="578"/>
      <c r="O749" s="578"/>
      <c r="P749" s="578"/>
      <c r="Q749" s="1151"/>
      <c r="R749" s="578"/>
      <c r="S749" s="578"/>
      <c r="T749" s="578"/>
      <c r="U749" s="578"/>
      <c r="V749" s="578"/>
    </row>
    <row r="750" spans="4:22" ht="12.75">
      <c r="D750" s="578"/>
      <c r="E750" s="578"/>
      <c r="F750" s="578"/>
      <c r="G750" s="578"/>
      <c r="H750" s="578"/>
      <c r="I750" s="578"/>
      <c r="J750" s="1198"/>
      <c r="K750" s="578"/>
      <c r="L750" s="578"/>
      <c r="M750" s="578"/>
      <c r="N750" s="578"/>
      <c r="O750" s="578"/>
      <c r="P750" s="578"/>
      <c r="Q750" s="1151"/>
      <c r="R750" s="578"/>
      <c r="S750" s="578"/>
      <c r="T750" s="578"/>
      <c r="U750" s="578"/>
      <c r="V750" s="578"/>
    </row>
    <row r="751" spans="4:22" ht="12.75">
      <c r="D751" s="578"/>
      <c r="E751" s="578"/>
      <c r="F751" s="578"/>
      <c r="G751" s="578"/>
      <c r="H751" s="578"/>
      <c r="I751" s="578"/>
      <c r="J751" s="1198"/>
      <c r="K751" s="578"/>
      <c r="L751" s="578"/>
      <c r="M751" s="578"/>
      <c r="N751" s="578"/>
      <c r="O751" s="578"/>
      <c r="P751" s="578"/>
      <c r="Q751" s="1151"/>
      <c r="R751" s="578"/>
      <c r="S751" s="578"/>
      <c r="T751" s="578"/>
      <c r="U751" s="578"/>
      <c r="V751" s="578"/>
    </row>
    <row r="752" spans="4:22" ht="12.75">
      <c r="D752" s="578"/>
      <c r="E752" s="578"/>
      <c r="F752" s="578"/>
      <c r="G752" s="578"/>
      <c r="H752" s="578"/>
      <c r="I752" s="578"/>
      <c r="J752" s="1198"/>
      <c r="K752" s="578"/>
      <c r="L752" s="578"/>
      <c r="M752" s="578"/>
      <c r="N752" s="578"/>
      <c r="O752" s="578"/>
      <c r="P752" s="578"/>
      <c r="Q752" s="1151"/>
      <c r="R752" s="578"/>
      <c r="S752" s="578"/>
      <c r="T752" s="578"/>
      <c r="U752" s="578"/>
      <c r="V752" s="578"/>
    </row>
    <row r="753" spans="4:22" ht="12.75">
      <c r="D753" s="578"/>
      <c r="E753" s="578"/>
      <c r="F753" s="578"/>
      <c r="G753" s="578"/>
      <c r="H753" s="578"/>
      <c r="I753" s="578"/>
      <c r="J753" s="1198"/>
      <c r="K753" s="578"/>
      <c r="L753" s="578"/>
      <c r="M753" s="578"/>
      <c r="N753" s="578"/>
      <c r="O753" s="578"/>
      <c r="P753" s="578"/>
      <c r="Q753" s="1151"/>
      <c r="R753" s="578"/>
      <c r="S753" s="578"/>
      <c r="T753" s="578"/>
      <c r="U753" s="578"/>
      <c r="V753" s="578"/>
    </row>
    <row r="754" spans="4:22" ht="12.75">
      <c r="D754" s="578"/>
      <c r="E754" s="578"/>
      <c r="F754" s="578"/>
      <c r="G754" s="578"/>
      <c r="H754" s="578"/>
      <c r="I754" s="578"/>
      <c r="J754" s="1198"/>
      <c r="K754" s="578"/>
      <c r="L754" s="578"/>
      <c r="M754" s="578"/>
      <c r="N754" s="578"/>
      <c r="O754" s="578"/>
      <c r="P754" s="578"/>
      <c r="Q754" s="1151"/>
      <c r="R754" s="578"/>
      <c r="S754" s="578"/>
      <c r="T754" s="578"/>
      <c r="U754" s="578"/>
      <c r="V754" s="578"/>
    </row>
    <row r="755" spans="4:22" ht="12.75">
      <c r="D755" s="578"/>
      <c r="E755" s="578"/>
      <c r="F755" s="578"/>
      <c r="G755" s="578"/>
      <c r="H755" s="578"/>
      <c r="I755" s="578"/>
      <c r="J755" s="1198"/>
      <c r="K755" s="578"/>
      <c r="L755" s="578"/>
      <c r="M755" s="578"/>
      <c r="N755" s="578"/>
      <c r="O755" s="578"/>
      <c r="P755" s="578"/>
      <c r="Q755" s="1151"/>
      <c r="R755" s="578"/>
      <c r="S755" s="578"/>
      <c r="T755" s="578"/>
      <c r="U755" s="578"/>
      <c r="V755" s="578"/>
    </row>
    <row r="756" spans="4:22" ht="12.75">
      <c r="D756" s="578"/>
      <c r="E756" s="578"/>
      <c r="F756" s="578"/>
      <c r="G756" s="578"/>
      <c r="H756" s="578"/>
      <c r="I756" s="578"/>
      <c r="J756" s="1198"/>
      <c r="K756" s="578"/>
      <c r="L756" s="578"/>
      <c r="M756" s="578"/>
      <c r="N756" s="578"/>
      <c r="O756" s="578"/>
      <c r="P756" s="578"/>
      <c r="Q756" s="1151"/>
      <c r="R756" s="578"/>
      <c r="S756" s="578"/>
      <c r="T756" s="578"/>
      <c r="U756" s="578"/>
      <c r="V756" s="578"/>
    </row>
    <row r="757" spans="4:22" ht="12.75">
      <c r="D757" s="578"/>
      <c r="E757" s="578"/>
      <c r="F757" s="578"/>
      <c r="G757" s="578"/>
      <c r="H757" s="578"/>
      <c r="I757" s="578"/>
      <c r="J757" s="1198"/>
      <c r="K757" s="578"/>
      <c r="L757" s="578"/>
      <c r="M757" s="578"/>
      <c r="N757" s="578"/>
      <c r="O757" s="578"/>
      <c r="P757" s="578"/>
      <c r="Q757" s="1151"/>
      <c r="R757" s="578"/>
      <c r="S757" s="578"/>
      <c r="T757" s="578"/>
      <c r="U757" s="578"/>
      <c r="V757" s="578"/>
    </row>
    <row r="758" spans="4:22" ht="12.75">
      <c r="D758" s="578"/>
      <c r="E758" s="578"/>
      <c r="F758" s="578"/>
      <c r="G758" s="578"/>
      <c r="H758" s="578"/>
      <c r="I758" s="578"/>
      <c r="J758" s="1198"/>
      <c r="K758" s="578"/>
      <c r="L758" s="578"/>
      <c r="M758" s="578"/>
      <c r="N758" s="578"/>
      <c r="O758" s="578"/>
      <c r="P758" s="578"/>
      <c r="Q758" s="1151"/>
      <c r="R758" s="578"/>
      <c r="S758" s="578"/>
      <c r="T758" s="578"/>
      <c r="U758" s="578"/>
      <c r="V758" s="578"/>
    </row>
    <row r="759" spans="4:22" ht="12.75">
      <c r="D759" s="578"/>
      <c r="E759" s="578"/>
      <c r="F759" s="578"/>
      <c r="G759" s="578"/>
      <c r="H759" s="578"/>
      <c r="I759" s="578"/>
      <c r="J759" s="1198"/>
      <c r="K759" s="578"/>
      <c r="L759" s="578"/>
      <c r="M759" s="578"/>
      <c r="N759" s="578"/>
      <c r="O759" s="578"/>
      <c r="P759" s="578"/>
      <c r="Q759" s="1151"/>
      <c r="R759" s="578"/>
      <c r="S759" s="578"/>
      <c r="T759" s="578"/>
      <c r="U759" s="578"/>
      <c r="V759" s="578"/>
    </row>
    <row r="760" spans="4:22" ht="12.75">
      <c r="D760" s="578"/>
      <c r="E760" s="578"/>
      <c r="F760" s="578"/>
      <c r="G760" s="578"/>
      <c r="H760" s="578"/>
      <c r="I760" s="578"/>
      <c r="J760" s="1198"/>
      <c r="K760" s="578"/>
      <c r="L760" s="578"/>
      <c r="M760" s="578"/>
      <c r="N760" s="578"/>
      <c r="O760" s="578"/>
      <c r="P760" s="578"/>
      <c r="Q760" s="1151"/>
      <c r="R760" s="578"/>
      <c r="S760" s="578"/>
      <c r="T760" s="578"/>
      <c r="U760" s="578"/>
      <c r="V760" s="578"/>
    </row>
    <row r="761" spans="4:22" ht="12.75">
      <c r="D761" s="578"/>
      <c r="E761" s="578"/>
      <c r="F761" s="578"/>
      <c r="G761" s="578"/>
      <c r="H761" s="578"/>
      <c r="I761" s="578"/>
      <c r="J761" s="1198"/>
      <c r="K761" s="578"/>
      <c r="L761" s="578"/>
      <c r="M761" s="578"/>
      <c r="N761" s="578"/>
      <c r="O761" s="578"/>
      <c r="P761" s="578"/>
      <c r="Q761" s="1151"/>
      <c r="R761" s="578"/>
      <c r="S761" s="578"/>
      <c r="T761" s="578"/>
      <c r="U761" s="578"/>
      <c r="V761" s="578"/>
    </row>
    <row r="762" spans="4:22" ht="12.75">
      <c r="D762" s="578"/>
      <c r="E762" s="578"/>
      <c r="F762" s="578"/>
      <c r="G762" s="578"/>
      <c r="H762" s="578"/>
      <c r="I762" s="578"/>
      <c r="J762" s="1198"/>
      <c r="K762" s="578"/>
      <c r="L762" s="578"/>
      <c r="M762" s="578"/>
      <c r="N762" s="578"/>
      <c r="O762" s="578"/>
      <c r="P762" s="578"/>
      <c r="Q762" s="1151"/>
      <c r="R762" s="578"/>
      <c r="S762" s="578"/>
      <c r="T762" s="578"/>
      <c r="U762" s="578"/>
      <c r="V762" s="578"/>
    </row>
    <row r="763" spans="4:22" ht="12.75">
      <c r="D763" s="578"/>
      <c r="E763" s="578"/>
      <c r="F763" s="578"/>
      <c r="G763" s="578"/>
      <c r="H763" s="578"/>
      <c r="I763" s="578"/>
      <c r="J763" s="1198"/>
      <c r="K763" s="578"/>
      <c r="L763" s="578"/>
      <c r="M763" s="578"/>
      <c r="N763" s="578"/>
      <c r="O763" s="578"/>
      <c r="P763" s="578"/>
      <c r="Q763" s="1151"/>
      <c r="R763" s="578"/>
      <c r="S763" s="578"/>
      <c r="T763" s="578"/>
      <c r="U763" s="578"/>
      <c r="V763" s="578"/>
    </row>
    <row r="764" spans="4:22" ht="12.75">
      <c r="D764" s="578"/>
      <c r="E764" s="578"/>
      <c r="F764" s="578"/>
      <c r="G764" s="578"/>
      <c r="H764" s="578"/>
      <c r="I764" s="578"/>
      <c r="J764" s="1198"/>
      <c r="K764" s="578"/>
      <c r="L764" s="578"/>
      <c r="M764" s="578"/>
      <c r="N764" s="578"/>
      <c r="O764" s="578"/>
      <c r="P764" s="578"/>
      <c r="Q764" s="1151"/>
      <c r="R764" s="578"/>
      <c r="S764" s="578"/>
      <c r="T764" s="578"/>
      <c r="U764" s="578"/>
      <c r="V764" s="578"/>
    </row>
    <row r="765" spans="4:22" ht="12.75">
      <c r="D765" s="578"/>
      <c r="E765" s="578"/>
      <c r="F765" s="578"/>
      <c r="G765" s="578"/>
      <c r="H765" s="578"/>
      <c r="I765" s="578"/>
      <c r="J765" s="1198"/>
      <c r="K765" s="578"/>
      <c r="L765" s="578"/>
      <c r="M765" s="578"/>
      <c r="N765" s="578"/>
      <c r="O765" s="578"/>
      <c r="P765" s="578"/>
      <c r="Q765" s="1151"/>
      <c r="R765" s="578"/>
      <c r="S765" s="578"/>
      <c r="T765" s="578"/>
      <c r="U765" s="578"/>
      <c r="V765" s="578"/>
    </row>
    <row r="766" spans="4:22" ht="12.75">
      <c r="D766" s="578"/>
      <c r="E766" s="578"/>
      <c r="F766" s="578"/>
      <c r="G766" s="578"/>
      <c r="H766" s="578"/>
      <c r="I766" s="578"/>
      <c r="J766" s="1198"/>
      <c r="K766" s="578"/>
      <c r="L766" s="578"/>
      <c r="M766" s="578"/>
      <c r="N766" s="578"/>
      <c r="O766" s="578"/>
      <c r="P766" s="578"/>
      <c r="Q766" s="1151"/>
      <c r="R766" s="578"/>
      <c r="S766" s="578"/>
      <c r="T766" s="578"/>
      <c r="U766" s="578"/>
      <c r="V766" s="578"/>
    </row>
    <row r="767" spans="4:22" ht="12.75">
      <c r="D767" s="578"/>
      <c r="E767" s="578"/>
      <c r="F767" s="578"/>
      <c r="G767" s="578"/>
      <c r="H767" s="578"/>
      <c r="I767" s="578"/>
      <c r="J767" s="1198"/>
      <c r="K767" s="578"/>
      <c r="L767" s="578"/>
      <c r="M767" s="578"/>
      <c r="N767" s="578"/>
      <c r="O767" s="578"/>
      <c r="P767" s="578"/>
      <c r="Q767" s="1151"/>
      <c r="R767" s="578"/>
      <c r="S767" s="578"/>
      <c r="T767" s="578"/>
      <c r="U767" s="578"/>
      <c r="V767" s="578"/>
    </row>
    <row r="768" spans="4:22" ht="12.75">
      <c r="D768" s="578"/>
      <c r="E768" s="578"/>
      <c r="F768" s="578"/>
      <c r="G768" s="578"/>
      <c r="H768" s="578"/>
      <c r="I768" s="578"/>
      <c r="J768" s="1198"/>
      <c r="K768" s="578"/>
      <c r="L768" s="578"/>
      <c r="M768" s="578"/>
      <c r="N768" s="578"/>
      <c r="O768" s="578"/>
      <c r="P768" s="578"/>
      <c r="Q768" s="1151"/>
      <c r="R768" s="578"/>
      <c r="S768" s="578"/>
      <c r="T768" s="578"/>
      <c r="U768" s="578"/>
      <c r="V768" s="578"/>
    </row>
    <row r="769" spans="4:22" ht="12.75">
      <c r="D769" s="578"/>
      <c r="E769" s="578"/>
      <c r="F769" s="578"/>
      <c r="G769" s="578"/>
      <c r="H769" s="578"/>
      <c r="I769" s="578"/>
      <c r="J769" s="1198"/>
      <c r="K769" s="578"/>
      <c r="L769" s="578"/>
      <c r="M769" s="578"/>
      <c r="N769" s="578"/>
      <c r="O769" s="578"/>
      <c r="P769" s="578"/>
      <c r="Q769" s="1151"/>
      <c r="R769" s="578"/>
      <c r="S769" s="578"/>
      <c r="T769" s="578"/>
      <c r="U769" s="578"/>
      <c r="V769" s="578"/>
    </row>
    <row r="770" spans="4:22" ht="12.75">
      <c r="D770" s="578"/>
      <c r="E770" s="578"/>
      <c r="F770" s="578"/>
      <c r="G770" s="578"/>
      <c r="H770" s="578"/>
      <c r="I770" s="578"/>
      <c r="J770" s="1198"/>
      <c r="K770" s="578"/>
      <c r="L770" s="578"/>
      <c r="M770" s="578"/>
      <c r="N770" s="578"/>
      <c r="O770" s="578"/>
      <c r="P770" s="578"/>
      <c r="Q770" s="1151"/>
      <c r="R770" s="578"/>
      <c r="S770" s="578"/>
      <c r="T770" s="578"/>
      <c r="U770" s="578"/>
      <c r="V770" s="578"/>
    </row>
    <row r="771" spans="4:22" ht="12.75">
      <c r="D771" s="578"/>
      <c r="E771" s="578"/>
      <c r="F771" s="578"/>
      <c r="G771" s="578"/>
      <c r="H771" s="578"/>
      <c r="I771" s="578"/>
      <c r="J771" s="1198"/>
      <c r="K771" s="578"/>
      <c r="L771" s="578"/>
      <c r="M771" s="578"/>
      <c r="N771" s="578"/>
      <c r="O771" s="578"/>
      <c r="P771" s="578"/>
      <c r="Q771" s="1151"/>
      <c r="R771" s="578"/>
      <c r="S771" s="578"/>
      <c r="T771" s="578"/>
      <c r="U771" s="578"/>
      <c r="V771" s="578"/>
    </row>
    <row r="772" spans="4:22" ht="12.75">
      <c r="D772" s="578"/>
      <c r="E772" s="578"/>
      <c r="F772" s="578"/>
      <c r="G772" s="578"/>
      <c r="H772" s="578"/>
      <c r="I772" s="578"/>
      <c r="J772" s="1198"/>
      <c r="K772" s="578"/>
      <c r="L772" s="578"/>
      <c r="M772" s="578"/>
      <c r="N772" s="578"/>
      <c r="O772" s="578"/>
      <c r="P772" s="578"/>
      <c r="Q772" s="1151"/>
      <c r="R772" s="578"/>
      <c r="S772" s="578"/>
      <c r="T772" s="578"/>
      <c r="U772" s="578"/>
      <c r="V772" s="578"/>
    </row>
    <row r="773" spans="4:22" ht="12.75">
      <c r="D773" s="578"/>
      <c r="E773" s="578"/>
      <c r="F773" s="578"/>
      <c r="G773" s="578"/>
      <c r="H773" s="578"/>
      <c r="I773" s="578"/>
      <c r="J773" s="1198"/>
      <c r="K773" s="578"/>
      <c r="L773" s="578"/>
      <c r="M773" s="578"/>
      <c r="N773" s="578"/>
      <c r="O773" s="578"/>
      <c r="P773" s="578"/>
      <c r="Q773" s="1151"/>
      <c r="R773" s="578"/>
      <c r="S773" s="578"/>
      <c r="T773" s="578"/>
      <c r="U773" s="578"/>
      <c r="V773" s="578"/>
    </row>
    <row r="774" spans="4:22" ht="12.75">
      <c r="D774" s="578"/>
      <c r="E774" s="578"/>
      <c r="F774" s="578"/>
      <c r="G774" s="578"/>
      <c r="H774" s="578"/>
      <c r="I774" s="578"/>
      <c r="J774" s="1198"/>
      <c r="K774" s="578"/>
      <c r="L774" s="578"/>
      <c r="M774" s="578"/>
      <c r="N774" s="578"/>
      <c r="O774" s="578"/>
      <c r="P774" s="578"/>
      <c r="Q774" s="1151"/>
      <c r="R774" s="578"/>
      <c r="S774" s="578"/>
      <c r="T774" s="578"/>
      <c r="U774" s="578"/>
      <c r="V774" s="578"/>
    </row>
    <row r="775" spans="4:22" ht="12.75">
      <c r="D775" s="578"/>
      <c r="E775" s="578"/>
      <c r="F775" s="578"/>
      <c r="G775" s="578"/>
      <c r="H775" s="578"/>
      <c r="I775" s="578"/>
      <c r="J775" s="1198"/>
      <c r="K775" s="578"/>
      <c r="L775" s="578"/>
      <c r="M775" s="578"/>
      <c r="N775" s="578"/>
      <c r="O775" s="578"/>
      <c r="P775" s="578"/>
      <c r="Q775" s="1151"/>
      <c r="R775" s="578"/>
      <c r="S775" s="578"/>
      <c r="T775" s="578"/>
      <c r="U775" s="578"/>
      <c r="V775" s="578"/>
    </row>
    <row r="776" spans="4:22" ht="12.75">
      <c r="D776" s="578"/>
      <c r="E776" s="578"/>
      <c r="F776" s="578"/>
      <c r="G776" s="578"/>
      <c r="H776" s="578"/>
      <c r="I776" s="578"/>
      <c r="J776" s="1198"/>
      <c r="K776" s="578"/>
      <c r="L776" s="578"/>
      <c r="M776" s="578"/>
      <c r="N776" s="578"/>
      <c r="O776" s="578"/>
      <c r="P776" s="578"/>
      <c r="Q776" s="1151"/>
      <c r="R776" s="578"/>
      <c r="S776" s="578"/>
      <c r="T776" s="578"/>
      <c r="U776" s="578"/>
      <c r="V776" s="578"/>
    </row>
    <row r="777" spans="4:22" ht="12.75">
      <c r="D777" s="578"/>
      <c r="E777" s="578"/>
      <c r="F777" s="578"/>
      <c r="G777" s="578"/>
      <c r="H777" s="578"/>
      <c r="I777" s="578"/>
      <c r="J777" s="1198"/>
      <c r="K777" s="578"/>
      <c r="L777" s="578"/>
      <c r="M777" s="578"/>
      <c r="N777" s="578"/>
      <c r="O777" s="578"/>
      <c r="P777" s="578"/>
      <c r="Q777" s="1151"/>
      <c r="R777" s="578"/>
      <c r="S777" s="578"/>
      <c r="T777" s="578"/>
      <c r="U777" s="578"/>
      <c r="V777" s="578"/>
    </row>
    <row r="778" spans="4:22" ht="12.75">
      <c r="D778" s="578"/>
      <c r="E778" s="578"/>
      <c r="F778" s="578"/>
      <c r="G778" s="578"/>
      <c r="H778" s="578"/>
      <c r="I778" s="578"/>
      <c r="J778" s="1198"/>
      <c r="K778" s="578"/>
      <c r="L778" s="578"/>
      <c r="M778" s="578"/>
      <c r="N778" s="578"/>
      <c r="O778" s="578"/>
      <c r="P778" s="578"/>
      <c r="Q778" s="1151"/>
      <c r="R778" s="578"/>
      <c r="S778" s="578"/>
      <c r="T778" s="578"/>
      <c r="U778" s="578"/>
      <c r="V778" s="578"/>
    </row>
    <row r="779" spans="4:22" ht="12.75">
      <c r="D779" s="578"/>
      <c r="E779" s="578"/>
      <c r="F779" s="578"/>
      <c r="G779" s="578"/>
      <c r="H779" s="578"/>
      <c r="I779" s="578"/>
      <c r="J779" s="1198"/>
      <c r="K779" s="578"/>
      <c r="L779" s="578"/>
      <c r="M779" s="578"/>
      <c r="N779" s="578"/>
      <c r="O779" s="578"/>
      <c r="P779" s="578"/>
      <c r="Q779" s="1151"/>
      <c r="R779" s="578"/>
      <c r="S779" s="578"/>
      <c r="T779" s="578"/>
      <c r="U779" s="578"/>
      <c r="V779" s="578"/>
    </row>
    <row r="780" spans="4:22" ht="12.75">
      <c r="D780" s="578"/>
      <c r="E780" s="578"/>
      <c r="F780" s="578"/>
      <c r="G780" s="578"/>
      <c r="H780" s="578"/>
      <c r="I780" s="578"/>
      <c r="J780" s="1198"/>
      <c r="K780" s="578"/>
      <c r="L780" s="578"/>
      <c r="M780" s="578"/>
      <c r="N780" s="578"/>
      <c r="O780" s="578"/>
      <c r="P780" s="578"/>
      <c r="Q780" s="1151"/>
      <c r="R780" s="578"/>
      <c r="S780" s="578"/>
      <c r="T780" s="578"/>
      <c r="U780" s="578"/>
      <c r="V780" s="578"/>
    </row>
    <row r="781" spans="4:22" ht="12.75">
      <c r="D781" s="578"/>
      <c r="E781" s="578"/>
      <c r="F781" s="578"/>
      <c r="G781" s="578"/>
      <c r="H781" s="578"/>
      <c r="I781" s="578"/>
      <c r="J781" s="1198"/>
      <c r="K781" s="578"/>
      <c r="L781" s="578"/>
      <c r="M781" s="578"/>
      <c r="N781" s="578"/>
      <c r="O781" s="578"/>
      <c r="P781" s="578"/>
      <c r="Q781" s="1151"/>
      <c r="R781" s="578"/>
      <c r="S781" s="578"/>
      <c r="T781" s="578"/>
      <c r="U781" s="578"/>
      <c r="V781" s="578"/>
    </row>
    <row r="782" spans="4:22" ht="12.75">
      <c r="D782" s="578"/>
      <c r="E782" s="578"/>
      <c r="F782" s="578"/>
      <c r="G782" s="578"/>
      <c r="H782" s="578"/>
      <c r="I782" s="578"/>
      <c r="J782" s="1198"/>
      <c r="K782" s="578"/>
      <c r="L782" s="578"/>
      <c r="M782" s="578"/>
      <c r="N782" s="578"/>
      <c r="O782" s="578"/>
      <c r="P782" s="578"/>
      <c r="Q782" s="1151"/>
      <c r="R782" s="578"/>
      <c r="S782" s="578"/>
      <c r="T782" s="578"/>
      <c r="U782" s="578"/>
      <c r="V782" s="578"/>
    </row>
    <row r="783" spans="4:22" ht="12.75">
      <c r="D783" s="578"/>
      <c r="E783" s="578"/>
      <c r="F783" s="578"/>
      <c r="G783" s="578"/>
      <c r="H783" s="578"/>
      <c r="I783" s="578"/>
      <c r="J783" s="1198"/>
      <c r="K783" s="578"/>
      <c r="L783" s="578"/>
      <c r="M783" s="578"/>
      <c r="N783" s="578"/>
      <c r="O783" s="578"/>
      <c r="P783" s="578"/>
      <c r="Q783" s="1151"/>
      <c r="R783" s="578"/>
      <c r="S783" s="578"/>
      <c r="T783" s="578"/>
      <c r="U783" s="578"/>
      <c r="V783" s="578"/>
    </row>
    <row r="784" spans="4:22" ht="12.75">
      <c r="D784" s="578"/>
      <c r="E784" s="578"/>
      <c r="F784" s="578"/>
      <c r="G784" s="578"/>
      <c r="H784" s="578"/>
      <c r="I784" s="578"/>
      <c r="J784" s="1198"/>
      <c r="K784" s="578"/>
      <c r="L784" s="578"/>
      <c r="M784" s="578"/>
      <c r="N784" s="578"/>
      <c r="O784" s="578"/>
      <c r="P784" s="578"/>
      <c r="Q784" s="1151"/>
      <c r="R784" s="578"/>
      <c r="S784" s="578"/>
      <c r="T784" s="578"/>
      <c r="U784" s="578"/>
      <c r="V784" s="578"/>
    </row>
    <row r="785" spans="4:22" ht="12.75">
      <c r="D785" s="578"/>
      <c r="E785" s="578"/>
      <c r="F785" s="578"/>
      <c r="G785" s="578"/>
      <c r="H785" s="578"/>
      <c r="I785" s="578"/>
      <c r="J785" s="1198"/>
      <c r="K785" s="578"/>
      <c r="L785" s="578"/>
      <c r="M785" s="578"/>
      <c r="N785" s="578"/>
      <c r="O785" s="578"/>
      <c r="P785" s="578"/>
      <c r="Q785" s="1151"/>
      <c r="R785" s="578"/>
      <c r="S785" s="578"/>
      <c r="T785" s="578"/>
      <c r="U785" s="578"/>
      <c r="V785" s="578"/>
    </row>
    <row r="786" spans="4:22" ht="12.75">
      <c r="D786" s="578"/>
      <c r="E786" s="578"/>
      <c r="F786" s="578"/>
      <c r="G786" s="578"/>
      <c r="H786" s="578"/>
      <c r="I786" s="578"/>
      <c r="J786" s="1198"/>
      <c r="K786" s="578"/>
      <c r="L786" s="578"/>
      <c r="M786" s="578"/>
      <c r="N786" s="578"/>
      <c r="O786" s="578"/>
      <c r="P786" s="578"/>
      <c r="Q786" s="1151"/>
      <c r="R786" s="578"/>
      <c r="S786" s="578"/>
      <c r="T786" s="578"/>
      <c r="U786" s="578"/>
      <c r="V786" s="578"/>
    </row>
    <row r="787" spans="4:22" ht="12.75">
      <c r="D787" s="578"/>
      <c r="E787" s="578"/>
      <c r="F787" s="578"/>
      <c r="G787" s="578"/>
      <c r="H787" s="578"/>
      <c r="I787" s="578"/>
      <c r="J787" s="1198"/>
      <c r="K787" s="578"/>
      <c r="L787" s="578"/>
      <c r="M787" s="578"/>
      <c r="N787" s="578"/>
      <c r="O787" s="578"/>
      <c r="P787" s="578"/>
      <c r="Q787" s="1151"/>
      <c r="R787" s="578"/>
      <c r="S787" s="578"/>
      <c r="T787" s="578"/>
      <c r="U787" s="578"/>
      <c r="V787" s="578"/>
    </row>
    <row r="788" spans="4:22" ht="12.75">
      <c r="D788" s="578"/>
      <c r="E788" s="578"/>
      <c r="F788" s="578"/>
      <c r="G788" s="578"/>
      <c r="H788" s="578"/>
      <c r="I788" s="578"/>
      <c r="J788" s="1198"/>
      <c r="K788" s="578"/>
      <c r="L788" s="578"/>
      <c r="M788" s="578"/>
      <c r="N788" s="578"/>
      <c r="O788" s="578"/>
      <c r="P788" s="578"/>
      <c r="Q788" s="1151"/>
      <c r="R788" s="578"/>
      <c r="S788" s="578"/>
      <c r="T788" s="578"/>
      <c r="U788" s="578"/>
      <c r="V788" s="578"/>
    </row>
    <row r="789" spans="4:22" ht="12.75">
      <c r="D789" s="578"/>
      <c r="E789" s="578"/>
      <c r="F789" s="578"/>
      <c r="G789" s="578"/>
      <c r="H789" s="578"/>
      <c r="I789" s="578"/>
      <c r="J789" s="1198"/>
      <c r="K789" s="578"/>
      <c r="L789" s="578"/>
      <c r="M789" s="578"/>
      <c r="N789" s="578"/>
      <c r="O789" s="578"/>
      <c r="P789" s="578"/>
      <c r="Q789" s="1151"/>
      <c r="R789" s="578"/>
      <c r="S789" s="578"/>
      <c r="T789" s="578"/>
      <c r="U789" s="578"/>
      <c r="V789" s="578"/>
    </row>
    <row r="790" spans="4:22" ht="12.75">
      <c r="D790" s="578"/>
      <c r="E790" s="578"/>
      <c r="F790" s="578"/>
      <c r="G790" s="578"/>
      <c r="H790" s="578"/>
      <c r="I790" s="578"/>
      <c r="J790" s="1198"/>
      <c r="K790" s="578"/>
      <c r="L790" s="578"/>
      <c r="M790" s="578"/>
      <c r="N790" s="578"/>
      <c r="O790" s="578"/>
      <c r="P790" s="578"/>
      <c r="Q790" s="1151"/>
      <c r="R790" s="578"/>
      <c r="S790" s="578"/>
      <c r="T790" s="578"/>
      <c r="U790" s="578"/>
      <c r="V790" s="578"/>
    </row>
    <row r="791" spans="4:22" ht="12.75">
      <c r="D791" s="578"/>
      <c r="E791" s="578"/>
      <c r="F791" s="578"/>
      <c r="G791" s="578"/>
      <c r="H791" s="578"/>
      <c r="I791" s="578"/>
      <c r="J791" s="1198"/>
      <c r="K791" s="578"/>
      <c r="L791" s="578"/>
      <c r="M791" s="578"/>
      <c r="N791" s="578"/>
      <c r="O791" s="578"/>
      <c r="P791" s="578"/>
      <c r="Q791" s="1151"/>
      <c r="R791" s="578"/>
      <c r="S791" s="578"/>
      <c r="T791" s="578"/>
      <c r="U791" s="578"/>
      <c r="V791" s="578"/>
    </row>
    <row r="792" spans="4:22" ht="12.75">
      <c r="D792" s="578"/>
      <c r="E792" s="578"/>
      <c r="F792" s="578"/>
      <c r="G792" s="578"/>
      <c r="H792" s="578"/>
      <c r="I792" s="578"/>
      <c r="J792" s="1198"/>
      <c r="K792" s="578"/>
      <c r="L792" s="578"/>
      <c r="M792" s="578"/>
      <c r="N792" s="578"/>
      <c r="O792" s="578"/>
      <c r="P792" s="578"/>
      <c r="Q792" s="1151"/>
      <c r="R792" s="578"/>
      <c r="S792" s="578"/>
      <c r="T792" s="578"/>
      <c r="U792" s="578"/>
      <c r="V792" s="578"/>
    </row>
    <row r="793" spans="4:22" ht="12.75">
      <c r="D793" s="578"/>
      <c r="E793" s="578"/>
      <c r="F793" s="578"/>
      <c r="G793" s="578"/>
      <c r="H793" s="578"/>
      <c r="I793" s="578"/>
      <c r="J793" s="1198"/>
      <c r="K793" s="578"/>
      <c r="L793" s="578"/>
      <c r="M793" s="578"/>
      <c r="N793" s="578"/>
      <c r="O793" s="578"/>
      <c r="P793" s="578"/>
      <c r="Q793" s="1151"/>
      <c r="R793" s="578"/>
      <c r="S793" s="578"/>
      <c r="T793" s="578"/>
      <c r="U793" s="578"/>
      <c r="V793" s="578"/>
    </row>
    <row r="794" spans="4:22" ht="12.75">
      <c r="D794" s="578"/>
      <c r="E794" s="578"/>
      <c r="F794" s="578"/>
      <c r="G794" s="578"/>
      <c r="H794" s="578"/>
      <c r="I794" s="578"/>
      <c r="J794" s="1198"/>
      <c r="K794" s="578"/>
      <c r="L794" s="578"/>
      <c r="M794" s="578"/>
      <c r="N794" s="578"/>
      <c r="O794" s="578"/>
      <c r="P794" s="578"/>
      <c r="Q794" s="1151"/>
      <c r="R794" s="578"/>
      <c r="S794" s="578"/>
      <c r="T794" s="578"/>
      <c r="U794" s="578"/>
      <c r="V794" s="578"/>
    </row>
    <row r="795" spans="4:22" ht="12.75">
      <c r="D795" s="578"/>
      <c r="E795" s="578"/>
      <c r="F795" s="578"/>
      <c r="G795" s="578"/>
      <c r="H795" s="578"/>
      <c r="I795" s="578"/>
      <c r="J795" s="1198"/>
      <c r="K795" s="578"/>
      <c r="L795" s="578"/>
      <c r="M795" s="578"/>
      <c r="N795" s="578"/>
      <c r="O795" s="578"/>
      <c r="P795" s="578"/>
      <c r="Q795" s="1151"/>
      <c r="R795" s="578"/>
      <c r="S795" s="578"/>
      <c r="T795" s="578"/>
      <c r="U795" s="578"/>
      <c r="V795" s="578"/>
    </row>
    <row r="796" spans="4:22" ht="12.75">
      <c r="D796" s="578"/>
      <c r="E796" s="578"/>
      <c r="F796" s="578"/>
      <c r="G796" s="578"/>
      <c r="H796" s="578"/>
      <c r="I796" s="578"/>
      <c r="J796" s="1198"/>
      <c r="K796" s="578"/>
      <c r="L796" s="578"/>
      <c r="M796" s="578"/>
      <c r="N796" s="578"/>
      <c r="O796" s="578"/>
      <c r="P796" s="578"/>
      <c r="Q796" s="1151"/>
      <c r="R796" s="578"/>
      <c r="S796" s="578"/>
      <c r="T796" s="578"/>
      <c r="U796" s="578"/>
      <c r="V796" s="578"/>
    </row>
    <row r="797" spans="4:22" ht="12.75">
      <c r="D797" s="578"/>
      <c r="E797" s="578"/>
      <c r="F797" s="578"/>
      <c r="G797" s="578"/>
      <c r="H797" s="578"/>
      <c r="I797" s="578"/>
      <c r="J797" s="1198"/>
      <c r="K797" s="578"/>
      <c r="L797" s="578"/>
      <c r="M797" s="578"/>
      <c r="N797" s="578"/>
      <c r="O797" s="578"/>
      <c r="P797" s="578"/>
      <c r="Q797" s="1151"/>
      <c r="R797" s="578"/>
      <c r="S797" s="578"/>
      <c r="T797" s="578"/>
      <c r="U797" s="578"/>
      <c r="V797" s="578"/>
    </row>
    <row r="798" spans="4:22" ht="12.75">
      <c r="D798" s="578"/>
      <c r="E798" s="578"/>
      <c r="F798" s="578"/>
      <c r="G798" s="578"/>
      <c r="H798" s="578"/>
      <c r="I798" s="578"/>
      <c r="J798" s="1198"/>
      <c r="K798" s="578"/>
      <c r="L798" s="578"/>
      <c r="M798" s="578"/>
      <c r="N798" s="578"/>
      <c r="O798" s="578"/>
      <c r="P798" s="578"/>
      <c r="Q798" s="1151"/>
      <c r="R798" s="578"/>
      <c r="S798" s="578"/>
      <c r="T798" s="578"/>
      <c r="U798" s="578"/>
      <c r="V798" s="578"/>
    </row>
    <row r="799" spans="4:22" ht="12.75">
      <c r="D799" s="578"/>
      <c r="E799" s="578"/>
      <c r="F799" s="578"/>
      <c r="G799" s="578"/>
      <c r="H799" s="578"/>
      <c r="I799" s="578"/>
      <c r="J799" s="1198"/>
      <c r="K799" s="578"/>
      <c r="L799" s="578"/>
      <c r="M799" s="578"/>
      <c r="N799" s="578"/>
      <c r="O799" s="578"/>
      <c r="P799" s="578"/>
      <c r="Q799" s="1151"/>
      <c r="R799" s="578"/>
      <c r="S799" s="578"/>
      <c r="T799" s="578"/>
      <c r="U799" s="578"/>
      <c r="V799" s="578"/>
    </row>
    <row r="800" spans="4:22" ht="12.75">
      <c r="D800" s="578"/>
      <c r="E800" s="578"/>
      <c r="F800" s="578"/>
      <c r="G800" s="578"/>
      <c r="H800" s="578"/>
      <c r="I800" s="578"/>
      <c r="J800" s="1198"/>
      <c r="K800" s="578"/>
      <c r="L800" s="578"/>
      <c r="M800" s="578"/>
      <c r="N800" s="578"/>
      <c r="O800" s="578"/>
      <c r="P800" s="578"/>
      <c r="Q800" s="1151"/>
      <c r="R800" s="578"/>
      <c r="S800" s="578"/>
      <c r="T800" s="578"/>
      <c r="U800" s="578"/>
      <c r="V800" s="578"/>
    </row>
    <row r="801" spans="4:22" ht="12.75">
      <c r="D801" s="578"/>
      <c r="E801" s="578"/>
      <c r="F801" s="578"/>
      <c r="G801" s="578"/>
      <c r="H801" s="578"/>
      <c r="I801" s="578"/>
      <c r="J801" s="1198"/>
      <c r="K801" s="578"/>
      <c r="L801" s="578"/>
      <c r="M801" s="578"/>
      <c r="N801" s="578"/>
      <c r="O801" s="578"/>
      <c r="P801" s="578"/>
      <c r="Q801" s="1151"/>
      <c r="R801" s="578"/>
      <c r="S801" s="578"/>
      <c r="T801" s="578"/>
      <c r="U801" s="578"/>
      <c r="V801" s="578"/>
    </row>
    <row r="802" spans="4:22" ht="12.75">
      <c r="D802" s="578"/>
      <c r="E802" s="578"/>
      <c r="F802" s="578"/>
      <c r="G802" s="578"/>
      <c r="H802" s="578"/>
      <c r="I802" s="578"/>
      <c r="J802" s="1198"/>
      <c r="K802" s="578"/>
      <c r="L802" s="578"/>
      <c r="M802" s="578"/>
      <c r="N802" s="578"/>
      <c r="O802" s="578"/>
      <c r="P802" s="578"/>
      <c r="Q802" s="1151"/>
      <c r="R802" s="578"/>
      <c r="S802" s="578"/>
      <c r="T802" s="578"/>
      <c r="U802" s="578"/>
      <c r="V802" s="578"/>
    </row>
    <row r="803" spans="4:22" ht="12.75">
      <c r="D803" s="578"/>
      <c r="E803" s="578"/>
      <c r="F803" s="578"/>
      <c r="G803" s="578"/>
      <c r="H803" s="578"/>
      <c r="I803" s="578"/>
      <c r="J803" s="1198"/>
      <c r="K803" s="578"/>
      <c r="L803" s="578"/>
      <c r="M803" s="578"/>
      <c r="N803" s="578"/>
      <c r="O803" s="578"/>
      <c r="P803" s="578"/>
      <c r="Q803" s="1151"/>
      <c r="R803" s="578"/>
      <c r="S803" s="578"/>
      <c r="T803" s="578"/>
      <c r="U803" s="578"/>
      <c r="V803" s="578"/>
    </row>
    <row r="804" spans="4:22" ht="12.75">
      <c r="D804" s="578"/>
      <c r="E804" s="578"/>
      <c r="F804" s="578"/>
      <c r="G804" s="578"/>
      <c r="H804" s="578"/>
      <c r="I804" s="578"/>
      <c r="J804" s="1198"/>
      <c r="K804" s="578"/>
      <c r="L804" s="578"/>
      <c r="M804" s="578"/>
      <c r="N804" s="578"/>
      <c r="O804" s="578"/>
      <c r="P804" s="578"/>
      <c r="Q804" s="1151"/>
      <c r="R804" s="578"/>
      <c r="S804" s="578"/>
      <c r="T804" s="578"/>
      <c r="U804" s="578"/>
      <c r="V804" s="578"/>
    </row>
    <row r="805" spans="4:22" ht="12.75">
      <c r="D805" s="578"/>
      <c r="E805" s="578"/>
      <c r="F805" s="578"/>
      <c r="G805" s="578"/>
      <c r="H805" s="578"/>
      <c r="I805" s="578"/>
      <c r="J805" s="1198"/>
      <c r="K805" s="578"/>
      <c r="L805" s="578"/>
      <c r="M805" s="578"/>
      <c r="N805" s="578"/>
      <c r="O805" s="578"/>
      <c r="P805" s="578"/>
      <c r="Q805" s="1151"/>
      <c r="R805" s="578"/>
      <c r="S805" s="578"/>
      <c r="T805" s="578"/>
      <c r="U805" s="578"/>
      <c r="V805" s="578"/>
    </row>
    <row r="806" spans="4:22" ht="12.75">
      <c r="D806" s="578"/>
      <c r="E806" s="578"/>
      <c r="F806" s="578"/>
      <c r="G806" s="578"/>
      <c r="H806" s="578"/>
      <c r="I806" s="578"/>
      <c r="J806" s="1198"/>
      <c r="K806" s="578"/>
      <c r="L806" s="578"/>
      <c r="M806" s="578"/>
      <c r="N806" s="578"/>
      <c r="O806" s="578"/>
      <c r="P806" s="578"/>
      <c r="Q806" s="1151"/>
      <c r="R806" s="578"/>
      <c r="S806" s="578"/>
      <c r="T806" s="578"/>
      <c r="U806" s="578"/>
      <c r="V806" s="578"/>
    </row>
    <row r="807" spans="4:22" ht="12.75">
      <c r="D807" s="578"/>
      <c r="E807" s="578"/>
      <c r="F807" s="578"/>
      <c r="G807" s="578"/>
      <c r="H807" s="578"/>
      <c r="I807" s="578"/>
      <c r="J807" s="1198"/>
      <c r="K807" s="578"/>
      <c r="L807" s="578"/>
      <c r="M807" s="578"/>
      <c r="N807" s="578"/>
      <c r="O807" s="578"/>
      <c r="P807" s="578"/>
      <c r="Q807" s="1151"/>
      <c r="R807" s="578"/>
      <c r="S807" s="578"/>
      <c r="T807" s="578"/>
      <c r="U807" s="578"/>
      <c r="V807" s="578"/>
    </row>
    <row r="808" spans="4:22" ht="12.75">
      <c r="D808" s="578"/>
      <c r="E808" s="578"/>
      <c r="F808" s="578"/>
      <c r="G808" s="578"/>
      <c r="H808" s="578"/>
      <c r="I808" s="578"/>
      <c r="J808" s="1198"/>
      <c r="K808" s="578"/>
      <c r="L808" s="578"/>
      <c r="M808" s="578"/>
      <c r="N808" s="578"/>
      <c r="O808" s="578"/>
      <c r="P808" s="578"/>
      <c r="Q808" s="1151"/>
      <c r="R808" s="578"/>
      <c r="S808" s="578"/>
      <c r="T808" s="578"/>
      <c r="U808" s="578"/>
      <c r="V808" s="578"/>
    </row>
    <row r="809" spans="4:22" ht="12.75">
      <c r="D809" s="578"/>
      <c r="E809" s="578"/>
      <c r="F809" s="578"/>
      <c r="G809" s="578"/>
      <c r="H809" s="578"/>
      <c r="I809" s="578"/>
      <c r="J809" s="1198"/>
      <c r="K809" s="578"/>
      <c r="L809" s="578"/>
      <c r="M809" s="578"/>
      <c r="N809" s="578"/>
      <c r="O809" s="578"/>
      <c r="P809" s="578"/>
      <c r="Q809" s="1151"/>
      <c r="R809" s="578"/>
      <c r="S809" s="578"/>
      <c r="T809" s="578"/>
      <c r="U809" s="578"/>
      <c r="V809" s="578"/>
    </row>
    <row r="810" spans="4:22" ht="12.75">
      <c r="D810" s="578"/>
      <c r="E810" s="578"/>
      <c r="F810" s="578"/>
      <c r="G810" s="578"/>
      <c r="H810" s="578"/>
      <c r="I810" s="578"/>
      <c r="J810" s="1198"/>
      <c r="K810" s="578"/>
      <c r="L810" s="578"/>
      <c r="M810" s="578"/>
      <c r="N810" s="578"/>
      <c r="O810" s="578"/>
      <c r="P810" s="578"/>
      <c r="Q810" s="1151"/>
      <c r="R810" s="578"/>
      <c r="S810" s="578"/>
      <c r="T810" s="578"/>
      <c r="U810" s="578"/>
      <c r="V810" s="578"/>
    </row>
    <row r="811" spans="4:22" ht="12.75">
      <c r="D811" s="578"/>
      <c r="E811" s="578"/>
      <c r="F811" s="578"/>
      <c r="G811" s="578"/>
      <c r="H811" s="578"/>
      <c r="I811" s="578"/>
      <c r="J811" s="1198"/>
      <c r="K811" s="578"/>
      <c r="L811" s="578"/>
      <c r="M811" s="578"/>
      <c r="N811" s="578"/>
      <c r="O811" s="578"/>
      <c r="P811" s="578"/>
      <c r="Q811" s="1151"/>
      <c r="R811" s="578"/>
      <c r="S811" s="578"/>
      <c r="T811" s="578"/>
      <c r="U811" s="578"/>
      <c r="V811" s="578"/>
    </row>
    <row r="812" spans="4:22" ht="12.75">
      <c r="D812" s="578"/>
      <c r="E812" s="578"/>
      <c r="F812" s="578"/>
      <c r="G812" s="578"/>
      <c r="H812" s="578"/>
      <c r="I812" s="578"/>
      <c r="J812" s="1198"/>
      <c r="K812" s="578"/>
      <c r="L812" s="578"/>
      <c r="M812" s="578"/>
      <c r="N812" s="578"/>
      <c r="O812" s="578"/>
      <c r="P812" s="578"/>
      <c r="Q812" s="1151"/>
      <c r="R812" s="578"/>
      <c r="S812" s="578"/>
      <c r="T812" s="578"/>
      <c r="U812" s="578"/>
      <c r="V812" s="578"/>
    </row>
    <row r="813" spans="4:22" ht="12.75">
      <c r="D813" s="578"/>
      <c r="E813" s="578"/>
      <c r="F813" s="578"/>
      <c r="G813" s="578"/>
      <c r="H813" s="578"/>
      <c r="I813" s="578"/>
      <c r="J813" s="1198"/>
      <c r="K813" s="578"/>
      <c r="L813" s="578"/>
      <c r="M813" s="578"/>
      <c r="N813" s="578"/>
      <c r="O813" s="578"/>
      <c r="P813" s="578"/>
      <c r="Q813" s="1151"/>
      <c r="R813" s="578"/>
      <c r="S813" s="578"/>
      <c r="T813" s="578"/>
      <c r="U813" s="578"/>
      <c r="V813" s="578"/>
    </row>
    <row r="814" spans="4:22" ht="12.75">
      <c r="D814" s="578"/>
      <c r="E814" s="578"/>
      <c r="F814" s="578"/>
      <c r="G814" s="578"/>
      <c r="H814" s="578"/>
      <c r="I814" s="578"/>
      <c r="J814" s="1198"/>
      <c r="K814" s="578"/>
      <c r="L814" s="578"/>
      <c r="M814" s="578"/>
      <c r="N814" s="578"/>
      <c r="O814" s="578"/>
      <c r="P814" s="578"/>
      <c r="Q814" s="1151"/>
      <c r="R814" s="578"/>
      <c r="S814" s="578"/>
      <c r="T814" s="578"/>
      <c r="U814" s="578"/>
      <c r="V814" s="578"/>
    </row>
    <row r="815" spans="4:22" ht="12.75">
      <c r="D815" s="578"/>
      <c r="E815" s="578"/>
      <c r="F815" s="578"/>
      <c r="G815" s="578"/>
      <c r="H815" s="578"/>
      <c r="I815" s="578"/>
      <c r="J815" s="1198"/>
      <c r="K815" s="578"/>
      <c r="L815" s="578"/>
      <c r="M815" s="578"/>
      <c r="N815" s="578"/>
      <c r="O815" s="578"/>
      <c r="P815" s="578"/>
      <c r="Q815" s="1151"/>
      <c r="R815" s="578"/>
      <c r="S815" s="578"/>
      <c r="T815" s="578"/>
      <c r="U815" s="578"/>
      <c r="V815" s="578"/>
    </row>
    <row r="816" spans="4:22" ht="12.75">
      <c r="D816" s="578"/>
      <c r="E816" s="578"/>
      <c r="F816" s="578"/>
      <c r="G816" s="578"/>
      <c r="H816" s="578"/>
      <c r="I816" s="578"/>
      <c r="J816" s="1198"/>
      <c r="K816" s="578"/>
      <c r="L816" s="578"/>
      <c r="M816" s="578"/>
      <c r="N816" s="578"/>
      <c r="O816" s="578"/>
      <c r="P816" s="578"/>
      <c r="Q816" s="1151"/>
      <c r="R816" s="578"/>
      <c r="S816" s="578"/>
      <c r="T816" s="578"/>
      <c r="U816" s="578"/>
      <c r="V816" s="578"/>
    </row>
    <row r="817" spans="4:22" ht="12.75">
      <c r="D817" s="578"/>
      <c r="E817" s="578"/>
      <c r="F817" s="578"/>
      <c r="G817" s="578"/>
      <c r="H817" s="578"/>
      <c r="I817" s="578"/>
      <c r="J817" s="1198"/>
      <c r="K817" s="578"/>
      <c r="L817" s="578"/>
      <c r="M817" s="578"/>
      <c r="N817" s="578"/>
      <c r="O817" s="578"/>
      <c r="P817" s="578"/>
      <c r="Q817" s="1151"/>
      <c r="R817" s="578"/>
      <c r="S817" s="578"/>
      <c r="T817" s="578"/>
      <c r="U817" s="578"/>
      <c r="V817" s="578"/>
    </row>
    <row r="818" spans="4:22" ht="12.75">
      <c r="D818" s="578"/>
      <c r="E818" s="578"/>
      <c r="F818" s="578"/>
      <c r="G818" s="578"/>
      <c r="H818" s="578"/>
      <c r="I818" s="578"/>
      <c r="J818" s="1198"/>
      <c r="K818" s="578"/>
      <c r="L818" s="578"/>
      <c r="M818" s="578"/>
      <c r="N818" s="578"/>
      <c r="O818" s="578"/>
      <c r="P818" s="578"/>
      <c r="Q818" s="1151"/>
      <c r="R818" s="578"/>
      <c r="S818" s="578"/>
      <c r="T818" s="578"/>
      <c r="U818" s="578"/>
      <c r="V818" s="578"/>
    </row>
    <row r="819" spans="4:22" ht="12.75">
      <c r="D819" s="578"/>
      <c r="E819" s="578"/>
      <c r="F819" s="578"/>
      <c r="G819" s="578"/>
      <c r="H819" s="578"/>
      <c r="I819" s="578"/>
      <c r="J819" s="1198"/>
      <c r="K819" s="578"/>
      <c r="L819" s="578"/>
      <c r="M819" s="578"/>
      <c r="N819" s="578"/>
      <c r="O819" s="578"/>
      <c r="P819" s="578"/>
      <c r="Q819" s="1151"/>
      <c r="R819" s="578"/>
      <c r="S819" s="578"/>
      <c r="T819" s="578"/>
      <c r="U819" s="578"/>
      <c r="V819" s="578"/>
    </row>
    <row r="820" spans="4:22" ht="12.75">
      <c r="D820" s="578"/>
      <c r="E820" s="578"/>
      <c r="F820" s="578"/>
      <c r="G820" s="578"/>
      <c r="H820" s="578"/>
      <c r="I820" s="578"/>
      <c r="J820" s="1198"/>
      <c r="K820" s="578"/>
      <c r="L820" s="578"/>
      <c r="M820" s="578"/>
      <c r="N820" s="578"/>
      <c r="O820" s="578"/>
      <c r="P820" s="578"/>
      <c r="Q820" s="1151"/>
      <c r="R820" s="578"/>
      <c r="S820" s="578"/>
      <c r="T820" s="578"/>
      <c r="U820" s="578"/>
      <c r="V820" s="578"/>
    </row>
    <row r="821" spans="4:22" ht="12.75">
      <c r="D821" s="578"/>
      <c r="E821" s="578"/>
      <c r="F821" s="578"/>
      <c r="G821" s="578"/>
      <c r="H821" s="578"/>
      <c r="I821" s="578"/>
      <c r="J821" s="1198"/>
      <c r="K821" s="578"/>
      <c r="L821" s="578"/>
      <c r="M821" s="578"/>
      <c r="N821" s="578"/>
      <c r="O821" s="578"/>
      <c r="P821" s="578"/>
      <c r="Q821" s="1151"/>
      <c r="R821" s="578"/>
      <c r="S821" s="578"/>
      <c r="T821" s="578"/>
      <c r="U821" s="578"/>
      <c r="V821" s="578"/>
    </row>
    <row r="822" spans="4:22" ht="12.75">
      <c r="D822" s="578"/>
      <c r="E822" s="578"/>
      <c r="F822" s="578"/>
      <c r="G822" s="578"/>
      <c r="H822" s="578"/>
      <c r="I822" s="578"/>
      <c r="J822" s="1198"/>
      <c r="K822" s="578"/>
      <c r="L822" s="578"/>
      <c r="M822" s="578"/>
      <c r="N822" s="578"/>
      <c r="O822" s="578"/>
      <c r="P822" s="578"/>
      <c r="Q822" s="1151"/>
      <c r="R822" s="578"/>
      <c r="S822" s="578"/>
      <c r="T822" s="578"/>
      <c r="U822" s="578"/>
      <c r="V822" s="578"/>
    </row>
    <row r="823" spans="4:22" ht="12.75">
      <c r="D823" s="578"/>
      <c r="E823" s="578"/>
      <c r="F823" s="578"/>
      <c r="G823" s="578"/>
      <c r="H823" s="578"/>
      <c r="I823" s="578"/>
      <c r="J823" s="1198"/>
      <c r="K823" s="578"/>
      <c r="L823" s="578"/>
      <c r="M823" s="578"/>
      <c r="N823" s="578"/>
      <c r="O823" s="578"/>
      <c r="P823" s="578"/>
      <c r="Q823" s="1151"/>
      <c r="R823" s="578"/>
      <c r="S823" s="578"/>
      <c r="T823" s="578"/>
      <c r="U823" s="578"/>
      <c r="V823" s="578"/>
    </row>
    <row r="824" spans="4:22" ht="12.75">
      <c r="D824" s="578"/>
      <c r="E824" s="578"/>
      <c r="F824" s="578"/>
      <c r="G824" s="578"/>
      <c r="H824" s="578"/>
      <c r="I824" s="578"/>
      <c r="J824" s="1198"/>
      <c r="K824" s="578"/>
      <c r="L824" s="578"/>
      <c r="M824" s="578"/>
      <c r="N824" s="578"/>
      <c r="O824" s="578"/>
      <c r="P824" s="578"/>
      <c r="Q824" s="1151"/>
      <c r="R824" s="578"/>
      <c r="S824" s="578"/>
      <c r="T824" s="578"/>
      <c r="U824" s="578"/>
      <c r="V824" s="578"/>
    </row>
    <row r="825" spans="4:22" ht="12.75">
      <c r="D825" s="578"/>
      <c r="E825" s="578"/>
      <c r="F825" s="578"/>
      <c r="G825" s="578"/>
      <c r="H825" s="578"/>
      <c r="I825" s="578"/>
      <c r="J825" s="1198"/>
      <c r="K825" s="578"/>
      <c r="L825" s="578"/>
      <c r="M825" s="578"/>
      <c r="N825" s="578"/>
      <c r="O825" s="578"/>
      <c r="P825" s="578"/>
      <c r="Q825" s="1151"/>
      <c r="R825" s="578"/>
      <c r="S825" s="578"/>
      <c r="T825" s="578"/>
      <c r="U825" s="578"/>
      <c r="V825" s="578"/>
    </row>
    <row r="826" spans="4:22" ht="12.75">
      <c r="D826" s="578"/>
      <c r="E826" s="578"/>
      <c r="F826" s="578"/>
      <c r="G826" s="578"/>
      <c r="H826" s="578"/>
      <c r="I826" s="578"/>
      <c r="J826" s="1198"/>
      <c r="K826" s="578"/>
      <c r="L826" s="578"/>
      <c r="M826" s="578"/>
      <c r="N826" s="578"/>
      <c r="O826" s="578"/>
      <c r="P826" s="578"/>
      <c r="Q826" s="1151"/>
      <c r="R826" s="578"/>
      <c r="S826" s="578"/>
      <c r="T826" s="578"/>
      <c r="U826" s="578"/>
      <c r="V826" s="578"/>
    </row>
    <row r="827" spans="4:22" ht="12.75">
      <c r="D827" s="578"/>
      <c r="E827" s="578"/>
      <c r="F827" s="578"/>
      <c r="G827" s="578"/>
      <c r="H827" s="578"/>
      <c r="I827" s="578"/>
      <c r="J827" s="1198"/>
      <c r="K827" s="578"/>
      <c r="L827" s="578"/>
      <c r="M827" s="578"/>
      <c r="N827" s="578"/>
      <c r="O827" s="578"/>
      <c r="P827" s="578"/>
      <c r="Q827" s="1151"/>
      <c r="R827" s="578"/>
      <c r="S827" s="578"/>
      <c r="T827" s="578"/>
      <c r="U827" s="578"/>
      <c r="V827" s="578"/>
    </row>
    <row r="828" spans="4:22" ht="12.75">
      <c r="D828" s="578"/>
      <c r="E828" s="578"/>
      <c r="F828" s="578"/>
      <c r="G828" s="578"/>
      <c r="H828" s="578"/>
      <c r="I828" s="578"/>
      <c r="J828" s="1198"/>
      <c r="K828" s="578"/>
      <c r="L828" s="578"/>
      <c r="M828" s="578"/>
      <c r="N828" s="578"/>
      <c r="O828" s="578"/>
      <c r="P828" s="578"/>
      <c r="Q828" s="1151"/>
      <c r="R828" s="578"/>
      <c r="S828" s="578"/>
      <c r="T828" s="578"/>
      <c r="U828" s="578"/>
      <c r="V828" s="578"/>
    </row>
    <row r="829" spans="4:22" ht="12.75">
      <c r="D829" s="578"/>
      <c r="E829" s="578"/>
      <c r="F829" s="578"/>
      <c r="G829" s="578"/>
      <c r="H829" s="578"/>
      <c r="I829" s="578"/>
      <c r="J829" s="1198"/>
      <c r="K829" s="578"/>
      <c r="L829" s="578"/>
      <c r="M829" s="578"/>
      <c r="N829" s="578"/>
      <c r="O829" s="578"/>
      <c r="P829" s="578"/>
      <c r="Q829" s="1151"/>
      <c r="R829" s="578"/>
      <c r="S829" s="578"/>
      <c r="T829" s="578"/>
      <c r="U829" s="578"/>
      <c r="V829" s="578"/>
    </row>
    <row r="830" spans="4:22" ht="12.75">
      <c r="D830" s="578"/>
      <c r="E830" s="578"/>
      <c r="F830" s="578"/>
      <c r="G830" s="578"/>
      <c r="H830" s="578"/>
      <c r="I830" s="578"/>
      <c r="J830" s="1198"/>
      <c r="K830" s="578"/>
      <c r="L830" s="578"/>
      <c r="M830" s="578"/>
      <c r="N830" s="578"/>
      <c r="O830" s="578"/>
      <c r="P830" s="578"/>
      <c r="Q830" s="1151"/>
      <c r="R830" s="578"/>
      <c r="S830" s="578"/>
      <c r="T830" s="578"/>
      <c r="U830" s="578"/>
      <c r="V830" s="578"/>
    </row>
    <row r="831" spans="4:22" ht="12.75">
      <c r="D831" s="578"/>
      <c r="E831" s="578"/>
      <c r="F831" s="578"/>
      <c r="G831" s="578"/>
      <c r="H831" s="578"/>
      <c r="I831" s="578"/>
      <c r="J831" s="1198"/>
      <c r="K831" s="578"/>
      <c r="L831" s="578"/>
      <c r="M831" s="578"/>
      <c r="N831" s="578"/>
      <c r="O831" s="578"/>
      <c r="P831" s="578"/>
      <c r="Q831" s="1151"/>
      <c r="R831" s="578"/>
      <c r="S831" s="578"/>
      <c r="T831" s="578"/>
      <c r="U831" s="578"/>
      <c r="V831" s="578"/>
    </row>
    <row r="832" spans="4:22" ht="12.75">
      <c r="D832" s="578"/>
      <c r="E832" s="578"/>
      <c r="F832" s="578"/>
      <c r="G832" s="578"/>
      <c r="H832" s="578"/>
      <c r="I832" s="578"/>
      <c r="J832" s="1198"/>
      <c r="K832" s="578"/>
      <c r="L832" s="578"/>
      <c r="M832" s="578"/>
      <c r="N832" s="578"/>
      <c r="O832" s="578"/>
      <c r="P832" s="578"/>
      <c r="Q832" s="1151"/>
      <c r="R832" s="578"/>
      <c r="S832" s="578"/>
      <c r="T832" s="578"/>
      <c r="U832" s="578"/>
      <c r="V832" s="578"/>
    </row>
    <row r="833" spans="4:22" ht="12.75">
      <c r="D833" s="578"/>
      <c r="E833" s="578"/>
      <c r="F833" s="578"/>
      <c r="G833" s="578"/>
      <c r="H833" s="578"/>
      <c r="I833" s="578"/>
      <c r="J833" s="1198"/>
      <c r="K833" s="578"/>
      <c r="L833" s="578"/>
      <c r="M833" s="578"/>
      <c r="N833" s="578"/>
      <c r="O833" s="578"/>
      <c r="P833" s="578"/>
      <c r="Q833" s="1151"/>
      <c r="R833" s="578"/>
      <c r="S833" s="578"/>
      <c r="T833" s="578"/>
      <c r="U833" s="578"/>
      <c r="V833" s="578"/>
    </row>
    <row r="834" spans="4:22" ht="12.75">
      <c r="D834" s="578"/>
      <c r="E834" s="578"/>
      <c r="F834" s="578"/>
      <c r="G834" s="578"/>
      <c r="H834" s="578"/>
      <c r="I834" s="578"/>
      <c r="J834" s="1198"/>
      <c r="K834" s="578"/>
      <c r="L834" s="578"/>
      <c r="M834" s="578"/>
      <c r="N834" s="578"/>
      <c r="O834" s="578"/>
      <c r="P834" s="578"/>
      <c r="Q834" s="1151"/>
      <c r="R834" s="578"/>
      <c r="S834" s="578"/>
      <c r="T834" s="578"/>
      <c r="U834" s="578"/>
      <c r="V834" s="578"/>
    </row>
    <row r="835" spans="4:22" ht="12.75">
      <c r="D835" s="578"/>
      <c r="E835" s="578"/>
      <c r="F835" s="578"/>
      <c r="G835" s="578"/>
      <c r="H835" s="578"/>
      <c r="I835" s="578"/>
      <c r="J835" s="1198"/>
      <c r="K835" s="578"/>
      <c r="L835" s="578"/>
      <c r="M835" s="578"/>
      <c r="N835" s="578"/>
      <c r="O835" s="578"/>
      <c r="P835" s="578"/>
      <c r="Q835" s="1151"/>
      <c r="R835" s="578"/>
      <c r="S835" s="578"/>
      <c r="T835" s="578"/>
      <c r="U835" s="578"/>
      <c r="V835" s="578"/>
    </row>
    <row r="836" spans="4:22" ht="12.75">
      <c r="D836" s="578"/>
      <c r="E836" s="578"/>
      <c r="F836" s="578"/>
      <c r="G836" s="578"/>
      <c r="H836" s="578"/>
      <c r="I836" s="578"/>
      <c r="J836" s="1198"/>
      <c r="K836" s="578"/>
      <c r="L836" s="578"/>
      <c r="M836" s="578"/>
      <c r="N836" s="578"/>
      <c r="O836" s="578"/>
      <c r="P836" s="578"/>
      <c r="Q836" s="1151"/>
      <c r="R836" s="578"/>
      <c r="S836" s="578"/>
      <c r="T836" s="578"/>
      <c r="U836" s="578"/>
      <c r="V836" s="578"/>
    </row>
    <row r="837" spans="4:22" ht="12.75">
      <c r="D837" s="578"/>
      <c r="E837" s="578"/>
      <c r="F837" s="578"/>
      <c r="G837" s="578"/>
      <c r="H837" s="578"/>
      <c r="I837" s="578"/>
      <c r="J837" s="1198"/>
      <c r="K837" s="578"/>
      <c r="L837" s="578"/>
      <c r="M837" s="578"/>
      <c r="N837" s="578"/>
      <c r="O837" s="578"/>
      <c r="P837" s="578"/>
      <c r="Q837" s="1151"/>
      <c r="R837" s="578"/>
      <c r="S837" s="578"/>
      <c r="T837" s="578"/>
      <c r="U837" s="578"/>
      <c r="V837" s="578"/>
    </row>
    <row r="838" spans="4:22" ht="12.75">
      <c r="D838" s="578"/>
      <c r="E838" s="578"/>
      <c r="F838" s="578"/>
      <c r="G838" s="578"/>
      <c r="H838" s="578"/>
      <c r="I838" s="578"/>
      <c r="J838" s="1198"/>
      <c r="K838" s="578"/>
      <c r="L838" s="578"/>
      <c r="M838" s="578"/>
      <c r="N838" s="578"/>
      <c r="O838" s="578"/>
      <c r="P838" s="578"/>
      <c r="Q838" s="1151"/>
      <c r="R838" s="578"/>
      <c r="S838" s="578"/>
      <c r="T838" s="578"/>
      <c r="U838" s="578"/>
      <c r="V838" s="578"/>
    </row>
    <row r="839" spans="4:22" ht="12.75">
      <c r="D839" s="578"/>
      <c r="E839" s="578"/>
      <c r="F839" s="578"/>
      <c r="G839" s="578"/>
      <c r="H839" s="578"/>
      <c r="I839" s="578"/>
      <c r="J839" s="1198"/>
      <c r="K839" s="578"/>
      <c r="L839" s="578"/>
      <c r="M839" s="578"/>
      <c r="N839" s="578"/>
      <c r="O839" s="578"/>
      <c r="P839" s="578"/>
      <c r="Q839" s="1151"/>
      <c r="R839" s="578"/>
      <c r="S839" s="578"/>
      <c r="T839" s="578"/>
      <c r="U839" s="578"/>
      <c r="V839" s="578"/>
    </row>
    <row r="840" spans="4:22" ht="12.75">
      <c r="D840" s="578"/>
      <c r="E840" s="578"/>
      <c r="F840" s="578"/>
      <c r="G840" s="578"/>
      <c r="H840" s="578"/>
      <c r="I840" s="578"/>
      <c r="J840" s="1198"/>
      <c r="K840" s="578"/>
      <c r="L840" s="578"/>
      <c r="M840" s="578"/>
      <c r="N840" s="578"/>
      <c r="O840" s="578"/>
      <c r="P840" s="578"/>
      <c r="Q840" s="1151"/>
      <c r="R840" s="578"/>
      <c r="S840" s="578"/>
      <c r="T840" s="578"/>
      <c r="U840" s="578"/>
      <c r="V840" s="578"/>
    </row>
    <row r="841" ht="12.75">
      <c r="J841" s="1198"/>
    </row>
  </sheetData>
  <sheetProtection/>
  <mergeCells count="421">
    <mergeCell ref="D2:F2"/>
    <mergeCell ref="W2:AA2"/>
    <mergeCell ref="D3:D4"/>
    <mergeCell ref="G3:G4"/>
    <mergeCell ref="H3:H4"/>
    <mergeCell ref="M5:N5"/>
    <mergeCell ref="O5:P5"/>
    <mergeCell ref="O6:P6"/>
    <mergeCell ref="M9:N9"/>
    <mergeCell ref="O9:P9"/>
    <mergeCell ref="T9:U9"/>
    <mergeCell ref="P16:P17"/>
    <mergeCell ref="V16:V17"/>
    <mergeCell ref="W16:W17"/>
    <mergeCell ref="D20:J20"/>
    <mergeCell ref="B21:AI21"/>
    <mergeCell ref="B24:K24"/>
    <mergeCell ref="AB24:AD24"/>
    <mergeCell ref="AG24:AH24"/>
    <mergeCell ref="B25:AI25"/>
    <mergeCell ref="B28:K28"/>
    <mergeCell ref="AB28:AD28"/>
    <mergeCell ref="AG28:AH28"/>
    <mergeCell ref="B29:AI29"/>
    <mergeCell ref="B32:K32"/>
    <mergeCell ref="AB32:AD32"/>
    <mergeCell ref="AG32:AH32"/>
    <mergeCell ref="B33:AI33"/>
    <mergeCell ref="B41:K41"/>
    <mergeCell ref="AB41:AD41"/>
    <mergeCell ref="AG41:AH41"/>
    <mergeCell ref="D42:AA42"/>
    <mergeCell ref="B43:AI43"/>
    <mergeCell ref="B49:K49"/>
    <mergeCell ref="AB49:AD49"/>
    <mergeCell ref="AG49:AH49"/>
    <mergeCell ref="D50:AA50"/>
    <mergeCell ref="D51:I51"/>
    <mergeCell ref="B52:AI52"/>
    <mergeCell ref="B54:K54"/>
    <mergeCell ref="AB54:AD54"/>
    <mergeCell ref="AG54:AH54"/>
    <mergeCell ref="B57:AI57"/>
    <mergeCell ref="B63:K63"/>
    <mergeCell ref="AB63:AD63"/>
    <mergeCell ref="AG63:AH63"/>
    <mergeCell ref="D67:AA67"/>
    <mergeCell ref="B68:AI68"/>
    <mergeCell ref="B70:K70"/>
    <mergeCell ref="AB70:AD70"/>
    <mergeCell ref="AG70:AH70"/>
    <mergeCell ref="B71:AI71"/>
    <mergeCell ref="B74:K74"/>
    <mergeCell ref="AB74:AD74"/>
    <mergeCell ref="AG74:AH74"/>
    <mergeCell ref="B75:AI75"/>
    <mergeCell ref="B81:K81"/>
    <mergeCell ref="AB81:AD81"/>
    <mergeCell ref="AG81:AH81"/>
    <mergeCell ref="B82:AI82"/>
    <mergeCell ref="B129:K129"/>
    <mergeCell ref="AB129:AD129"/>
    <mergeCell ref="AG129:AH129"/>
    <mergeCell ref="D130:AA130"/>
    <mergeCell ref="B131:AI131"/>
    <mergeCell ref="B133:K133"/>
    <mergeCell ref="AB133:AD133"/>
    <mergeCell ref="AG133:AH133"/>
    <mergeCell ref="B136:K136"/>
    <mergeCell ref="AB136:AD136"/>
    <mergeCell ref="AG136:AH136"/>
    <mergeCell ref="D137:AA137"/>
    <mergeCell ref="D138:X138"/>
    <mergeCell ref="B139:AI139"/>
    <mergeCell ref="B142:K142"/>
    <mergeCell ref="AB142:AD142"/>
    <mergeCell ref="AG142:AH142"/>
    <mergeCell ref="B143:AI143"/>
    <mergeCell ref="B152:K152"/>
    <mergeCell ref="AB152:AD152"/>
    <mergeCell ref="AG152:AH152"/>
    <mergeCell ref="D153:W153"/>
    <mergeCell ref="B154:AI154"/>
    <mergeCell ref="B157:K157"/>
    <mergeCell ref="AB157:AD157"/>
    <mergeCell ref="AG157:AH157"/>
    <mergeCell ref="B158:AI158"/>
    <mergeCell ref="D159:AA159"/>
    <mergeCell ref="B168:K168"/>
    <mergeCell ref="AB168:AD168"/>
    <mergeCell ref="AG168:AH168"/>
    <mergeCell ref="D169:V169"/>
    <mergeCell ref="B171:K171"/>
    <mergeCell ref="AB171:AD171"/>
    <mergeCell ref="AG171:AH171"/>
    <mergeCell ref="B172:AI172"/>
    <mergeCell ref="B174:K174"/>
    <mergeCell ref="AB174:AD174"/>
    <mergeCell ref="AG174:AH174"/>
    <mergeCell ref="B175:AI175"/>
    <mergeCell ref="B177:K177"/>
    <mergeCell ref="AB177:AD177"/>
    <mergeCell ref="AG177:AH177"/>
    <mergeCell ref="B180:AI180"/>
    <mergeCell ref="B182:K182"/>
    <mergeCell ref="AB182:AD182"/>
    <mergeCell ref="AG182:AH182"/>
    <mergeCell ref="B183:AI183"/>
    <mergeCell ref="B185:K185"/>
    <mergeCell ref="AB185:AD185"/>
    <mergeCell ref="AG185:AH185"/>
    <mergeCell ref="B186:AI186"/>
    <mergeCell ref="B188:K188"/>
    <mergeCell ref="AB188:AD188"/>
    <mergeCell ref="AG188:AH188"/>
    <mergeCell ref="B189:AI189"/>
    <mergeCell ref="B193:K193"/>
    <mergeCell ref="AB193:AD193"/>
    <mergeCell ref="AG193:AH193"/>
    <mergeCell ref="B194:AI194"/>
    <mergeCell ref="B196:K196"/>
    <mergeCell ref="AB196:AD196"/>
    <mergeCell ref="AG196:AH196"/>
    <mergeCell ref="B197:AI197"/>
    <mergeCell ref="B199:K199"/>
    <mergeCell ref="AB199:AD199"/>
    <mergeCell ref="AG199:AH199"/>
    <mergeCell ref="B200:AI200"/>
    <mergeCell ref="B202:K202"/>
    <mergeCell ref="AB202:AD202"/>
    <mergeCell ref="AG202:AH202"/>
    <mergeCell ref="B203:AI203"/>
    <mergeCell ref="B205:K205"/>
    <mergeCell ref="AB205:AD205"/>
    <mergeCell ref="AG205:AH205"/>
    <mergeCell ref="D206:AA206"/>
    <mergeCell ref="D207:W207"/>
    <mergeCell ref="B208:AI208"/>
    <mergeCell ref="B210:K210"/>
    <mergeCell ref="AB210:AD210"/>
    <mergeCell ref="AG210:AH210"/>
    <mergeCell ref="B211:AI211"/>
    <mergeCell ref="B213:K213"/>
    <mergeCell ref="AB213:AD213"/>
    <mergeCell ref="AG213:AH213"/>
    <mergeCell ref="D214:AA214"/>
    <mergeCell ref="B215:AI215"/>
    <mergeCell ref="B218:K218"/>
    <mergeCell ref="AB218:AD218"/>
    <mergeCell ref="AG218:AH218"/>
    <mergeCell ref="B219:AI219"/>
    <mergeCell ref="B221:K221"/>
    <mergeCell ref="AB221:AD221"/>
    <mergeCell ref="AG221:AH221"/>
    <mergeCell ref="B222:AI222"/>
    <mergeCell ref="B224:K224"/>
    <mergeCell ref="AB224:AD224"/>
    <mergeCell ref="AG224:AH224"/>
    <mergeCell ref="D225:AA225"/>
    <mergeCell ref="D226:W226"/>
    <mergeCell ref="B227:AI227"/>
    <mergeCell ref="B230:K230"/>
    <mergeCell ref="AB230:AD230"/>
    <mergeCell ref="AG230:AH230"/>
    <mergeCell ref="B231:AI231"/>
    <mergeCell ref="B233:K233"/>
    <mergeCell ref="AB233:AD233"/>
    <mergeCell ref="AG233:AH233"/>
    <mergeCell ref="B234:AI234"/>
    <mergeCell ref="B237:K237"/>
    <mergeCell ref="AB237:AD237"/>
    <mergeCell ref="AG237:AH237"/>
    <mergeCell ref="D238:AA238"/>
    <mergeCell ref="D239:J239"/>
    <mergeCell ref="B240:AI240"/>
    <mergeCell ref="B242:K242"/>
    <mergeCell ref="AB242:AD242"/>
    <mergeCell ref="AG242:AH242"/>
    <mergeCell ref="B243:AI243"/>
    <mergeCell ref="B245:K245"/>
    <mergeCell ref="AB245:AD245"/>
    <mergeCell ref="AG245:AH245"/>
    <mergeCell ref="D246:AA246"/>
    <mergeCell ref="B247:AI247"/>
    <mergeCell ref="B249:K249"/>
    <mergeCell ref="AB249:AD249"/>
    <mergeCell ref="AG249:AH249"/>
    <mergeCell ref="D250:AA250"/>
    <mergeCell ref="B251:AI251"/>
    <mergeCell ref="B262:K262"/>
    <mergeCell ref="AB262:AD262"/>
    <mergeCell ref="AG262:AH262"/>
    <mergeCell ref="B263:AI263"/>
    <mergeCell ref="B265:K265"/>
    <mergeCell ref="AB265:AD265"/>
    <mergeCell ref="AG265:AH265"/>
    <mergeCell ref="D266:AA266"/>
    <mergeCell ref="D267:AA267"/>
    <mergeCell ref="B268:AI268"/>
    <mergeCell ref="B271:K271"/>
    <mergeCell ref="AB271:AD271"/>
    <mergeCell ref="AG271:AH271"/>
    <mergeCell ref="B272:AI272"/>
    <mergeCell ref="B274:K274"/>
    <mergeCell ref="AB274:AD274"/>
    <mergeCell ref="AG274:AH274"/>
    <mergeCell ref="B275:AI275"/>
    <mergeCell ref="B277:K277"/>
    <mergeCell ref="AB277:AD277"/>
    <mergeCell ref="AG277:AH277"/>
    <mergeCell ref="B278:AI278"/>
    <mergeCell ref="B280:K280"/>
    <mergeCell ref="AB280:AD280"/>
    <mergeCell ref="AG280:AH280"/>
    <mergeCell ref="B281:AI281"/>
    <mergeCell ref="B283:K283"/>
    <mergeCell ref="AB283:AD283"/>
    <mergeCell ref="AG283:AH283"/>
    <mergeCell ref="B284:AI284"/>
    <mergeCell ref="B286:K286"/>
    <mergeCell ref="AB286:AD286"/>
    <mergeCell ref="AG286:AH286"/>
    <mergeCell ref="D287:AA287"/>
    <mergeCell ref="D288:AA288"/>
    <mergeCell ref="B289:AI289"/>
    <mergeCell ref="B295:K295"/>
    <mergeCell ref="AB295:AD295"/>
    <mergeCell ref="AG295:AH295"/>
    <mergeCell ref="B296:AI296"/>
    <mergeCell ref="B305:K305"/>
    <mergeCell ref="AB305:AD305"/>
    <mergeCell ref="AG305:AH305"/>
    <mergeCell ref="B306:AI306"/>
    <mergeCell ref="B310:K310"/>
    <mergeCell ref="AB310:AD310"/>
    <mergeCell ref="AG310:AH310"/>
    <mergeCell ref="D311:AA311"/>
    <mergeCell ref="D312:AA312"/>
    <mergeCell ref="B313:AI313"/>
    <mergeCell ref="B317:K317"/>
    <mergeCell ref="AB317:AD317"/>
    <mergeCell ref="AG317:AH317"/>
    <mergeCell ref="B318:AI318"/>
    <mergeCell ref="B322:K322"/>
    <mergeCell ref="AB322:AD322"/>
    <mergeCell ref="AG322:AH322"/>
    <mergeCell ref="B323:AI323"/>
    <mergeCell ref="B325:K325"/>
    <mergeCell ref="AB325:AD325"/>
    <mergeCell ref="AG325:AH325"/>
    <mergeCell ref="B326:AI326"/>
    <mergeCell ref="B328:K328"/>
    <mergeCell ref="AB328:AD328"/>
    <mergeCell ref="AG328:AH328"/>
    <mergeCell ref="B329:AI329"/>
    <mergeCell ref="B331:K331"/>
    <mergeCell ref="AB331:AD331"/>
    <mergeCell ref="AG331:AH331"/>
    <mergeCell ref="B332:AI332"/>
    <mergeCell ref="B334:K334"/>
    <mergeCell ref="AB334:AD334"/>
    <mergeCell ref="AG334:AH334"/>
    <mergeCell ref="D335:AA335"/>
    <mergeCell ref="D336:AA336"/>
    <mergeCell ref="B337:AI337"/>
    <mergeCell ref="B342:K342"/>
    <mergeCell ref="AB342:AD342"/>
    <mergeCell ref="AG342:AH342"/>
    <mergeCell ref="B343:AI343"/>
    <mergeCell ref="B345:K345"/>
    <mergeCell ref="AB345:AD345"/>
    <mergeCell ref="AG345:AH345"/>
    <mergeCell ref="B346:AI346"/>
    <mergeCell ref="B349:K349"/>
    <mergeCell ref="AB349:AD349"/>
    <mergeCell ref="AG349:AH349"/>
    <mergeCell ref="B350:AI350"/>
    <mergeCell ref="B379:K379"/>
    <mergeCell ref="AB379:AD379"/>
    <mergeCell ref="AG379:AH379"/>
    <mergeCell ref="B380:AI380"/>
    <mergeCell ref="B383:K383"/>
    <mergeCell ref="AB383:AD383"/>
    <mergeCell ref="AG383:AH383"/>
    <mergeCell ref="B384:AI384"/>
    <mergeCell ref="B387:K387"/>
    <mergeCell ref="AB387:AD387"/>
    <mergeCell ref="AG387:AH387"/>
    <mergeCell ref="D388:AA388"/>
    <mergeCell ref="B389:AI389"/>
    <mergeCell ref="B392:K392"/>
    <mergeCell ref="AB392:AD392"/>
    <mergeCell ref="AG392:AH392"/>
    <mergeCell ref="B393:AI393"/>
    <mergeCell ref="B395:K395"/>
    <mergeCell ref="AB395:AD395"/>
    <mergeCell ref="AG395:AH395"/>
    <mergeCell ref="D397:AA397"/>
    <mergeCell ref="B398:AI398"/>
    <mergeCell ref="B400:K400"/>
    <mergeCell ref="AB400:AD400"/>
    <mergeCell ref="AG400:AH400"/>
    <mergeCell ref="D401:AA401"/>
    <mergeCell ref="D402:AA402"/>
    <mergeCell ref="B403:AI403"/>
    <mergeCell ref="B406:K406"/>
    <mergeCell ref="AB406:AD406"/>
    <mergeCell ref="AG406:AH406"/>
    <mergeCell ref="B407:AI407"/>
    <mergeCell ref="B409:K409"/>
    <mergeCell ref="AB409:AD409"/>
    <mergeCell ref="AG409:AH409"/>
    <mergeCell ref="B410:AI410"/>
    <mergeCell ref="B412:K412"/>
    <mergeCell ref="AB412:AD412"/>
    <mergeCell ref="AG412:AH412"/>
    <mergeCell ref="B413:AI413"/>
    <mergeCell ref="B417:K417"/>
    <mergeCell ref="AB417:AD417"/>
    <mergeCell ref="AG417:AH417"/>
    <mergeCell ref="B418:AI418"/>
    <mergeCell ref="B425:K425"/>
    <mergeCell ref="AB425:AD425"/>
    <mergeCell ref="AG425:AH425"/>
    <mergeCell ref="B426:K426"/>
    <mergeCell ref="AB426:AD426"/>
    <mergeCell ref="AG426:AH426"/>
    <mergeCell ref="G430:Z430"/>
    <mergeCell ref="D452:G452"/>
    <mergeCell ref="D453:G453"/>
    <mergeCell ref="D454:G454"/>
    <mergeCell ref="D455:G455"/>
    <mergeCell ref="D456:G456"/>
    <mergeCell ref="D457:G457"/>
    <mergeCell ref="D458:G458"/>
    <mergeCell ref="D459:G459"/>
    <mergeCell ref="D460:G460"/>
    <mergeCell ref="D461:G461"/>
    <mergeCell ref="D462:G462"/>
    <mergeCell ref="D463:G463"/>
    <mergeCell ref="D464:G464"/>
    <mergeCell ref="D465:G465"/>
    <mergeCell ref="D470:E471"/>
    <mergeCell ref="G470:G471"/>
    <mergeCell ref="H470:I471"/>
    <mergeCell ref="J470:J471"/>
    <mergeCell ref="D472:E472"/>
    <mergeCell ref="H472:I472"/>
    <mergeCell ref="D473:E473"/>
    <mergeCell ref="H473:I473"/>
    <mergeCell ref="D474:E474"/>
    <mergeCell ref="H474:I474"/>
    <mergeCell ref="D475:E475"/>
    <mergeCell ref="H475:I475"/>
    <mergeCell ref="D476:E476"/>
    <mergeCell ref="D477:E477"/>
    <mergeCell ref="H477:I477"/>
    <mergeCell ref="D478:E478"/>
    <mergeCell ref="H478:I478"/>
    <mergeCell ref="D479:E479"/>
    <mergeCell ref="H479:I479"/>
    <mergeCell ref="D480:E480"/>
    <mergeCell ref="H480:I480"/>
    <mergeCell ref="D481:E481"/>
    <mergeCell ref="H481:I481"/>
    <mergeCell ref="D482:E482"/>
    <mergeCell ref="H482:I482"/>
    <mergeCell ref="D483:E483"/>
    <mergeCell ref="H483:I483"/>
    <mergeCell ref="D484:E484"/>
    <mergeCell ref="H484:I484"/>
    <mergeCell ref="D485:E485"/>
    <mergeCell ref="H485:I485"/>
    <mergeCell ref="D486:E486"/>
    <mergeCell ref="H486:I486"/>
    <mergeCell ref="D487:E487"/>
    <mergeCell ref="H487:I487"/>
    <mergeCell ref="D488:E488"/>
    <mergeCell ref="H488:I488"/>
    <mergeCell ref="D489:E489"/>
    <mergeCell ref="H489:I489"/>
    <mergeCell ref="D490:E490"/>
    <mergeCell ref="H490:I490"/>
    <mergeCell ref="D491:E491"/>
    <mergeCell ref="H491:I491"/>
    <mergeCell ref="D492:E492"/>
    <mergeCell ref="H492:I492"/>
    <mergeCell ref="D493:E493"/>
    <mergeCell ref="H493:I493"/>
    <mergeCell ref="D494:E494"/>
    <mergeCell ref="D495:E495"/>
    <mergeCell ref="D496:E496"/>
    <mergeCell ref="H496:I496"/>
    <mergeCell ref="D497:E497"/>
    <mergeCell ref="H497:I497"/>
    <mergeCell ref="D498:E498"/>
    <mergeCell ref="D499:E499"/>
    <mergeCell ref="H506:I506"/>
    <mergeCell ref="D500:E500"/>
    <mergeCell ref="D501:E501"/>
    <mergeCell ref="H501:I501"/>
    <mergeCell ref="D502:E502"/>
    <mergeCell ref="H502:I502"/>
    <mergeCell ref="D503:E503"/>
    <mergeCell ref="H503:I503"/>
    <mergeCell ref="H507:I507"/>
    <mergeCell ref="D508:E508"/>
    <mergeCell ref="H508:I508"/>
    <mergeCell ref="D510:E510"/>
    <mergeCell ref="D511:E511"/>
    <mergeCell ref="D504:E504"/>
    <mergeCell ref="H504:I504"/>
    <mergeCell ref="D505:E505"/>
    <mergeCell ref="H505:I505"/>
    <mergeCell ref="D506:E506"/>
    <mergeCell ref="D512:E512"/>
    <mergeCell ref="D513:E513"/>
    <mergeCell ref="D514:E514"/>
    <mergeCell ref="D515:E515"/>
    <mergeCell ref="D516:E516"/>
    <mergeCell ref="D507:E507"/>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Elena</cp:lastModifiedBy>
  <cp:lastPrinted>2018-02-05T12:27:59Z</cp:lastPrinted>
  <dcterms:created xsi:type="dcterms:W3CDTF">1999-06-18T11:49:53Z</dcterms:created>
  <dcterms:modified xsi:type="dcterms:W3CDTF">2018-04-02T13:21:37Z</dcterms:modified>
  <cp:category/>
  <cp:version/>
  <cp:contentType/>
  <cp:contentStatus/>
</cp:coreProperties>
</file>