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8" yWindow="348" windowWidth="10296" windowHeight="8508" tabRatio="822" activeTab="1"/>
  </bookViews>
  <sheets>
    <sheet name="Прил. 2" sheetId="1" r:id="rId1"/>
    <sheet name="Прил.3" sheetId="2" r:id="rId2"/>
    <sheet name="Прил.4" sheetId="3" r:id="rId3"/>
    <sheet name="Проект на 20-22г отраб.с ДФ " sheetId="4" r:id="rId4"/>
    <sheet name="Лист1" sheetId="5" r:id="rId5"/>
  </sheets>
  <externalReferences>
    <externalReference r:id="rId8"/>
    <externalReference r:id="rId9"/>
    <externalReference r:id="rId10"/>
    <externalReference r:id="rId11"/>
  </externalReferences>
  <definedNames>
    <definedName name="_xlnm.Print_Area" localSheetId="0">'Прил. 2'!$A$1:$F$60</definedName>
  </definedNames>
  <calcPr fullCalcOnLoad="1"/>
</workbook>
</file>

<file path=xl/sharedStrings.xml><?xml version="1.0" encoding="utf-8"?>
<sst xmlns="http://schemas.openxmlformats.org/spreadsheetml/2006/main" count="3192" uniqueCount="763">
  <si>
    <t>Дорожное хозяйство (дорожные фонды)</t>
  </si>
  <si>
    <t>СОЦИАЛЬНАЯ ПОЛИТИКА</t>
  </si>
  <si>
    <t>Пенсионное обеспечение</t>
  </si>
  <si>
    <t>КУЛЬТУРА, КИНЕМАТОГРАФИЯ</t>
  </si>
  <si>
    <t>Физическая культура</t>
  </si>
  <si>
    <t>ФИЗИЧЕСКАЯ КУЛЬТУРА И СПОРТ</t>
  </si>
  <si>
    <t>Кинематография</t>
  </si>
  <si>
    <t>Культура</t>
  </si>
  <si>
    <t>Благоустройство</t>
  </si>
  <si>
    <t>Жилищное хозяйство</t>
  </si>
  <si>
    <t>Защита населения и территории от последствий чрезвычайных ситуаций природного и техногенного характера, гражданская оборона</t>
  </si>
  <si>
    <t>Мобилизационная и вневойсковая подготовка</t>
  </si>
  <si>
    <t>Другие общегосударственные вопросы</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</si>
  <si>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</si>
  <si>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</si>
  <si>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</si>
  <si>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</si>
  <si>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структура расходов</t>
  </si>
  <si>
    <t>Другие вопросы в области национальной безопасности и правоохранительной деятельности</t>
  </si>
  <si>
    <t>Органы юстиции</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</si>
  <si>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</si>
  <si>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</si>
  <si>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</si>
  <si>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</si>
  <si>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НАЦИОНАЛЬНАЯ ОБОРОНА</t>
  </si>
  <si>
    <t>Другие вопросы в области национальной экономики</t>
  </si>
  <si>
    <t>Коммунальное хозяйство</t>
  </si>
  <si>
    <t>раздел</t>
  </si>
  <si>
    <t>подраздел</t>
  </si>
  <si>
    <t>".</t>
  </si>
  <si>
    <t>Наименование</t>
  </si>
  <si>
    <t>ЦСР</t>
  </si>
  <si>
    <t>ВР</t>
  </si>
  <si>
    <t>Сумма на 2018 год</t>
  </si>
  <si>
    <t>Сумма на 2017 год</t>
  </si>
  <si>
    <t>Сумма на 2019 год</t>
  </si>
  <si>
    <t>Сумма на 2020 год</t>
  </si>
  <si>
    <t>00.0.0000</t>
  </si>
  <si>
    <t>Муниципальные программы</t>
  </si>
  <si>
    <t>40.0.00.00000</t>
  </si>
  <si>
    <t>000</t>
  </si>
  <si>
    <t>Межбюджетные трансферты</t>
  </si>
  <si>
    <t>500</t>
  </si>
  <si>
    <t>Иные межбюджетные трансферты</t>
  </si>
  <si>
    <t>540</t>
  </si>
  <si>
    <t>Иные бюджетные ассигнования</t>
  </si>
  <si>
    <t>Резервный фонд</t>
  </si>
  <si>
    <t>Резервные средства</t>
  </si>
  <si>
    <t>41.0.00.00000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</si>
  <si>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</si>
  <si>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</si>
  <si>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выплату персоналу казенных учреждений</t>
  </si>
  <si>
    <t>110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</si>
  <si>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</si>
  <si>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</si>
  <si>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</si>
  <si>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</si>
  <si>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800</t>
  </si>
  <si>
    <t>Уплата налогов, сборов и иных платежей</t>
  </si>
  <si>
    <t>850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</si>
  <si>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</si>
  <si>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</si>
  <si>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42.0.00.00000</t>
  </si>
  <si>
    <t>43.0.00.00000</t>
  </si>
  <si>
    <t>Расходы на выплаты персоналу государственных (муниципальных) органов</t>
  </si>
  <si>
    <t>120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</si>
  <si>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</si>
  <si>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</si>
  <si>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</si>
  <si>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</si>
  <si>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44.0.00.00000</t>
  </si>
  <si>
    <t>44.0.01.82300</t>
  </si>
  <si>
    <t>44.0.01.S2300</t>
  </si>
  <si>
    <t>45.0.00.00000</t>
  </si>
  <si>
    <t>45.0.01.99990</t>
  </si>
  <si>
    <t>46.0.00.00000</t>
  </si>
  <si>
    <t>46.0.01.99990</t>
  </si>
  <si>
    <t>46.0.02.99990</t>
  </si>
  <si>
    <t>47.0.00.00000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</si>
  <si>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</si>
  <si>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</si>
  <si>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Коды</t>
  </si>
  <si>
    <t>в том числе субвенции</t>
  </si>
  <si>
    <t>2020 год</t>
  </si>
  <si>
    <t>ведомственной классификации</t>
  </si>
  <si>
    <t>2017 год</t>
  </si>
  <si>
    <t>целевая статья</t>
  </si>
  <si>
    <t>вид расхода</t>
  </si>
  <si>
    <t>01</t>
  </si>
  <si>
    <t>Расходы на выплаты персоналу в целях обеспечения выполнения функций государственными (муниципальными) органами</t>
  </si>
  <si>
    <t>870</t>
  </si>
  <si>
    <t>244</t>
  </si>
  <si>
    <t>10</t>
  </si>
  <si>
    <t>дох-ная часть</t>
  </si>
  <si>
    <t>расх.часть</t>
  </si>
  <si>
    <t>Приложение №14</t>
  </si>
  <si>
    <t>в 2018гг</t>
  </si>
  <si>
    <t>в 2019гг</t>
  </si>
  <si>
    <t xml:space="preserve">в 2015г </t>
  </si>
  <si>
    <t>наши полномочия</t>
  </si>
  <si>
    <t xml:space="preserve">с этого листа автоматически заполняется </t>
  </si>
  <si>
    <t>из ЗР бюджета МБТ</t>
  </si>
  <si>
    <t>в 2016г</t>
  </si>
  <si>
    <t>передаваемые полномочия в район</t>
  </si>
  <si>
    <t xml:space="preserve">7 приложение, а с 7 приложения формулы </t>
  </si>
  <si>
    <t>доходы наши</t>
  </si>
  <si>
    <t>норма</t>
  </si>
  <si>
    <t>из бюдж.р-на</t>
  </si>
  <si>
    <t>доходы</t>
  </si>
  <si>
    <t>всего расходов</t>
  </si>
  <si>
    <t>тянут в 4,5,6</t>
  </si>
  <si>
    <t>МБТ с р-на</t>
  </si>
  <si>
    <t>налог.и ненал.</t>
  </si>
  <si>
    <t>МБТ</t>
  </si>
  <si>
    <t>251ст</t>
  </si>
  <si>
    <t>дефициит</t>
  </si>
  <si>
    <t>ВУС</t>
  </si>
  <si>
    <t>ЗАГС</t>
  </si>
  <si>
    <t>итого расходов</t>
  </si>
  <si>
    <t>итого</t>
  </si>
  <si>
    <t>на нужды поселения</t>
  </si>
  <si>
    <t>наши р-ды</t>
  </si>
  <si>
    <t xml:space="preserve">остаток от нормы </t>
  </si>
  <si>
    <t>рубли</t>
  </si>
  <si>
    <t>Лицевой счет</t>
  </si>
  <si>
    <t>Бюджетная классификация</t>
  </si>
  <si>
    <t>Лимит</t>
  </si>
  <si>
    <t>Квартал 1</t>
  </si>
  <si>
    <t>Квартал 2</t>
  </si>
  <si>
    <t>Квартал 3</t>
  </si>
  <si>
    <t>Квартал 4</t>
  </si>
  <si>
    <t>1кв.2014</t>
  </si>
  <si>
    <t>2кв.2014</t>
  </si>
  <si>
    <t>3кв.2014</t>
  </si>
  <si>
    <t>4кв.2014</t>
  </si>
  <si>
    <t>значение оплаты</t>
  </si>
  <si>
    <t>нехватка</t>
  </si>
  <si>
    <t>Приход</t>
  </si>
  <si>
    <t>уменьшение прих</t>
  </si>
  <si>
    <t>Расход реестр</t>
  </si>
  <si>
    <t>Уменьш расход</t>
  </si>
  <si>
    <t>Неденежн</t>
  </si>
  <si>
    <t>%</t>
  </si>
  <si>
    <t/>
  </si>
  <si>
    <t>ФКР</t>
  </si>
  <si>
    <t>ППП</t>
  </si>
  <si>
    <t>КЦСР</t>
  </si>
  <si>
    <t>КВР</t>
  </si>
  <si>
    <t>ЭКР</t>
  </si>
  <si>
    <t>Суб КЭСР</t>
  </si>
  <si>
    <t>включая текущий месяц</t>
  </si>
  <si>
    <t>на 2019г</t>
  </si>
  <si>
    <t>за мес</t>
  </si>
  <si>
    <t>на нач мес</t>
  </si>
  <si>
    <t>расход за мес</t>
  </si>
  <si>
    <t>исполнения</t>
  </si>
  <si>
    <t>Общегосударственные вопросы 01 раздел</t>
  </si>
  <si>
    <t>Функционирование высшего должностного лица (разд.подр.0102) (фонд оплаты труда и страховые взносы) разд.подр.0102</t>
  </si>
  <si>
    <t>Функционирование высшего должностного лица (фонд оплаты труда и страховые взносы)</t>
  </si>
  <si>
    <t>121</t>
  </si>
  <si>
    <t>0</t>
  </si>
  <si>
    <t>Итого по организации</t>
  </si>
  <si>
    <t xml:space="preserve"> (разд.подр.0103) (ВЫБОРЫ)</t>
  </si>
  <si>
    <t>услуги по проведению выборов</t>
  </si>
  <si>
    <t>Функционирование исполнительных органов местного самоуправления (разд.подр.0104) (фонд оплаты труда и страховые взносы)</t>
  </si>
  <si>
    <t>Функционирование исполнительных органов местного самоуправления (фонд оплаты труда и страховые взносы)</t>
  </si>
  <si>
    <t>для выплат до 1,5 лет</t>
  </si>
  <si>
    <t>Функционирование исполнительных органов местного самоуправления (прочая закупка товаров, работ и услуг для государственных нужд)</t>
  </si>
  <si>
    <t>Центральнный аппарат</t>
  </si>
  <si>
    <t>122</t>
  </si>
  <si>
    <t>льг.проезд, сан.кур.суточные</t>
  </si>
  <si>
    <t>224квр</t>
  </si>
  <si>
    <t>тр.усл</t>
  </si>
  <si>
    <t>кн.сир.Северсв.</t>
  </si>
  <si>
    <t>292</t>
  </si>
  <si>
    <t>опл.налога на имущ.</t>
  </si>
  <si>
    <t>вз.ассоц.образ.(15), штр</t>
  </si>
  <si>
    <t>Ведомственная целевая программа "Эффективное использование межбюджетных трансфертов, передаваемых из бюджета сельского поселения Зайцева Речка в бюджет Нижневартовского района, на исполнение делегированных полномочий в 2016 - 2018 годах."</t>
  </si>
  <si>
    <t>Иные межбюджетные трансферты на содержание работников ОМС района</t>
  </si>
  <si>
    <t>Резервный фонд в рамках ведомственной целевой программы «Организация бюджетного процесса в администрации с.п. Зайцева Речка на 2016-2018гг.».</t>
  </si>
  <si>
    <t>разд.подр. 0111 Резерв. Фонды</t>
  </si>
  <si>
    <t>разд.подр.0113 Другие общегосударственные вопросы</t>
  </si>
  <si>
    <t>Расходы на оплату дополнительных гарантий и компенсаций</t>
  </si>
  <si>
    <t>медкомиссия</t>
  </si>
  <si>
    <t>обучение, курсы 5,5 (Е.В.Р)</t>
  </si>
  <si>
    <t>Ведомственная целевая программа "Осуществление материально-технического обеспечения деятельности органов местного самоуправления Зайцева Речка на 2016-2018г."</t>
  </si>
  <si>
    <t>МКУ "Содружество" (иные выплаты персоналу)</t>
  </si>
  <si>
    <t>112</t>
  </si>
  <si>
    <t>2016г</t>
  </si>
  <si>
    <t>МКУ "Содружество" (фонд оплаты труда и страховые взносы)</t>
  </si>
  <si>
    <t>111</t>
  </si>
  <si>
    <t>з/пл 3 сторожей</t>
  </si>
  <si>
    <t>ГФОТ сторожей</t>
  </si>
  <si>
    <t>МКУ "Содружество" (закупка товаров, работ, услуг в сфере ИКТ)</t>
  </si>
  <si>
    <t>242</t>
  </si>
  <si>
    <t xml:space="preserve">18г д-р абоненская пол года. Увеличении тарифа17г - </t>
  </si>
  <si>
    <t>18г интернет  пол года. Увеличении тарифа</t>
  </si>
  <si>
    <t>18г межгород  пол года.Увеличении тарифа</t>
  </si>
  <si>
    <t>18г интернет Увеличении тарифа</t>
  </si>
  <si>
    <t>18г РРЛ Увеличении тарифа</t>
  </si>
  <si>
    <t xml:space="preserve">открытки </t>
  </si>
  <si>
    <t>МКУ "Содружество" (прочая закупка товаров, работ и услуг для муниципальных нужд)</t>
  </si>
  <si>
    <t xml:space="preserve">суточные </t>
  </si>
  <si>
    <t xml:space="preserve">теплоснабжение  </t>
  </si>
  <si>
    <t xml:space="preserve">водоснабжение </t>
  </si>
  <si>
    <t xml:space="preserve">жбо </t>
  </si>
  <si>
    <t>электроэнергия</t>
  </si>
  <si>
    <t>по 223ст</t>
  </si>
  <si>
    <t>опрессовка</t>
  </si>
  <si>
    <t>тко (транспортир+ захорон)</t>
  </si>
  <si>
    <t>ТО сирены+ ТО видеонбл.</t>
  </si>
  <si>
    <t>запр.картриджей полгода</t>
  </si>
  <si>
    <t>обслуж. электр.</t>
  </si>
  <si>
    <t>Пож.сигн</t>
  </si>
  <si>
    <t>Выгода (обсл.аварий)</t>
  </si>
  <si>
    <t>обслуживание машины ТО</t>
  </si>
  <si>
    <t>по 225ст</t>
  </si>
  <si>
    <t>усл.програмиста, 1С год</t>
  </si>
  <si>
    <t xml:space="preserve">публик.док-ов </t>
  </si>
  <si>
    <t>пред.мед.осмотр</t>
  </si>
  <si>
    <t>поддержка саита ЗАГС</t>
  </si>
  <si>
    <t>услуги механника</t>
  </si>
  <si>
    <t>продление УРМ 2019</t>
  </si>
  <si>
    <t>обучение, курсы, профстандарты</t>
  </si>
  <si>
    <t>контур</t>
  </si>
  <si>
    <t>обслуж. Сайта Администрации</t>
  </si>
  <si>
    <t>по 226ст</t>
  </si>
  <si>
    <t>пени, штрафы</t>
  </si>
  <si>
    <t>налог на имущ</t>
  </si>
  <si>
    <t>по 290ст</t>
  </si>
  <si>
    <t>огнетуш.1шт.,аптечки 2шт</t>
  </si>
  <si>
    <t>потрачено 77,2</t>
  </si>
  <si>
    <t>бензин, запчасти полгода (всего114тр в 15г)</t>
  </si>
  <si>
    <t>материалы</t>
  </si>
  <si>
    <t>по 340ст.</t>
  </si>
  <si>
    <t>остаток 114,0</t>
  </si>
  <si>
    <t>ИТОГО по 800</t>
  </si>
  <si>
    <t>Условно утвержденные расходы</t>
  </si>
  <si>
    <t>Ведомственная целевая программа "Обеспечение реализации отдельных полномочий администрации сельского поселения Зайцева Речка на 2016-2018г."</t>
  </si>
  <si>
    <t>Мобилизационная и вневойсковая подготовка (разд.подр. 0203)</t>
  </si>
  <si>
    <t>Осуществление первичного воинского учета на территориях, где отсутствуют военные комиссариаты (фонд оплаты труда и страховые взносы)</t>
  </si>
  <si>
    <t>налоги</t>
  </si>
  <si>
    <t>Осуществление первичного воинского учета на территориях, где отсутствуют военные комиссариаты (прочая закупка товаров, работ и услуг для муниципальных нужд)</t>
  </si>
  <si>
    <t>ремонт сист.бл.(5,0), ремонт МФУ(5,0), заправка катриджа (0,5)</t>
  </si>
  <si>
    <t>покупка основных, мебели</t>
  </si>
  <si>
    <t>кресло</t>
  </si>
  <si>
    <t>344</t>
  </si>
  <si>
    <t xml:space="preserve"> канц.товары</t>
  </si>
  <si>
    <t>Субвенции на осуществление федеральных полномочий по ЗАГС  (прочая закупка товаров, работ и услуг для муниципальных нужд)</t>
  </si>
  <si>
    <t>матер. (т.с. 01.03.00 Окр.б.)</t>
  </si>
  <si>
    <t>матер. (т.с. 01.02.03 Фед.б)</t>
  </si>
  <si>
    <t>Защита населения и территории от чрезвычайных ситуаций природного и техногенного характера, гражданская оборона (разд.подр. 0309)</t>
  </si>
  <si>
    <t>Защита населения и территории от последствий чрезвычайных ситуаций природного и техногенного характера, гражданская оборона (прочая зауупка товаров, работ и услуг для муниципальных нужд)</t>
  </si>
  <si>
    <t>минполосы Зр, Б и В</t>
  </si>
  <si>
    <t xml:space="preserve">отжиг Б и В </t>
  </si>
  <si>
    <t>мат-тех.обеспечение провед.мероприятий</t>
  </si>
  <si>
    <t>ЦП "Снижение рисков и последствий чрезвычайных ситуаций природного и техногенного харкктера на территории Нижневартовского района на 2012-2015 гг" (Прочая закупка товаров, работ и услуг для государственных (муниципальных) нужд)</t>
  </si>
  <si>
    <t>Программа ХМАО-Югры "Снижение рисков и последствий чрезвычайных ситуаций природного и техногенного характера в ХМАО-Югре 2012-2014 гг" (Прочая закупка товаров, работ и услуг для государственных (муниципальных) нужд)</t>
  </si>
  <si>
    <t>Субсидия в целях обеспечения страхования имущества в рамках государственной программы "Управление государственным имуществом ХМАО-Югры 2014-2020 гг"  (Бюджет округа)</t>
  </si>
  <si>
    <t>страх.имущ.на год</t>
  </si>
  <si>
    <t>631,0 Было в 2015г</t>
  </si>
  <si>
    <t>"Капитал " (предложение)</t>
  </si>
  <si>
    <t>ЦП "Комплексные меры пожарной безопасности на объектах социального значения и жилищного фонда в районе на 2013-2015гг" (Иные межбюджетные трансферты)</t>
  </si>
  <si>
    <t>ЦП ХМАО-Югры "Укрепление пожарной бехопасности в ХМАО-Югре в 2011-2013 и на период до 2015 г" (иные межбюджетные трансферты)</t>
  </si>
  <si>
    <t>ЦП "Комплексные меры пожарной безопасности на территории сельского поселения Зайцева Речка на 2013-2015</t>
  </si>
  <si>
    <t>311</t>
  </si>
  <si>
    <t>ЦП "Профилактика правонарушений и преступности в Нижневартовском районе на 2011-2013 годы"подпрограмма "Прафилактика правонарушений в плановом периоде 2013-2014гг. (Иные межбюджетные трансферты)</t>
  </si>
  <si>
    <t>Целевая программа "Профилактика правонарушений и преступности в Нижневартовском районе на 2011-2013 годы" (прочая закупка товаров, работ и услуг для муниципальных нужд)</t>
  </si>
  <si>
    <t>ЦП "Профилактика правонарушений и преступности в Нижн районе на 2011-2015 годы"Прафилактика правонарушений в плановом периоде 2013-2014ггпрочая закупка товаров, работ и услуг для муниципальных нужд).</t>
  </si>
  <si>
    <t>ЦП "Профилактика правонарушений и преступности в Нижневартовском районе на 2011-2015 годы"Прафилактика правонарушений в плановом периоде 2013-2014ггпрочая закупка товаров, работ и услуг для муниципальных нужд).</t>
  </si>
  <si>
    <t>Муниципальная  программа «Профилактика правонарушений в сфере общественного порядка в сельском поселении Зайцева Речка на 2014-2020 годы»</t>
  </si>
  <si>
    <t>Другие вопросы в области национальной безопасности и правоохранительной деятельности (разд.подр 0314)</t>
  </si>
  <si>
    <t>Субсидия в рамках государственной программы "Профилактика правонарушений в сфере общ.порядка,безопасн.дорож.движения,незаконного оборота и злоупотребления наркотиками в ХМАО-Югре на 2014-2020гг"(создание общественных формирований правоохранительной направленности) Бюджет поселения(30%).</t>
  </si>
  <si>
    <t>охрана общ.порядка</t>
  </si>
  <si>
    <t>Субсидия в рамках государственной программы "Профилактика правонарушений в сфере общ.порядка,безопасн.дорож.движения,незаконного оборота и злоупотребления наркотиками в ХМАО-Югре на 2014-2020гг"(создание общественных формирований правоохранительной направленности). Бюджет автономного округа (70%)</t>
  </si>
  <si>
    <t>Проектирование строительств, капитальный ремонт, реконструкция объектов капитального строительства (инженерные сети, здания, строения, сооружения и иные) на территории поселения</t>
  </si>
  <si>
    <t>расходы в рамках подпрограммы"профилактика правонарушений" государственной программы "Обеспечение прав и законных интересов населения  ХМАО-Югры в отдельных сферах жизнедеятельности на 2014-2020 годах" в рамках муниципальной программы "Профилактика правонарушений в сфере общественного порядка в Нижневартовском районе на 2014-2016 годы", в том числе</t>
  </si>
  <si>
    <t>11.1.21.01</t>
  </si>
  <si>
    <t>11.1.54.41</t>
  </si>
  <si>
    <t>Софинансирование субсидии на содействие местному самоуправлению в развитиии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ХМАО-Югры на 2014-2020гг" (1% бюджет поселения)</t>
  </si>
  <si>
    <t>Содержание и управление дорожным хозяйством (Иные межбюджетные трансферты)</t>
  </si>
  <si>
    <t>Муниципальная программа "Развитие транспортной системы сельского поселения Зайцева Речка на 2014-2020г."</t>
  </si>
  <si>
    <t>Дорожное хозяйство (дорожные фонды) (разд.подр. 0409)</t>
  </si>
  <si>
    <t>Содержание и управление дорожным хозяйством (Дорожный фонд)</t>
  </si>
  <si>
    <t>Содержание и управление дорожным хозяйством</t>
  </si>
  <si>
    <t>т.с. 01.12.00</t>
  </si>
  <si>
    <t>финансир.района</t>
  </si>
  <si>
    <t>т.с. 01.01.00</t>
  </si>
  <si>
    <t>финансир.поселения</t>
  </si>
  <si>
    <t>Связь и информатика (закупка товаров, работ, услуг в сфере ИКТ)</t>
  </si>
  <si>
    <t>Ремонт дорог (Дорожный фонд)</t>
  </si>
  <si>
    <t>40.0.01.82390</t>
  </si>
  <si>
    <t>Ведомственная целевая программа "Мероприятия в области жилищно- коммунального хозяйства в сельском поселении Зайцева Речка на 2016-2018 годы"</t>
  </si>
  <si>
    <t>Связь и информатика (разд.подр 0410)</t>
  </si>
  <si>
    <t>Связь и информатика (субсидии юридическим лицам (кроме государственных (муниципальных) учреждений) и физическим лицам - производителям товаров, работ, услуг)</t>
  </si>
  <si>
    <t>с РРЛ</t>
  </si>
  <si>
    <t>подпрограмма "Градостроительная деятельность" муниципальной программы "Обеспечение доступным и комфортным жильем жителей Нижневартовского района в 2014-2020гг" (иные межбюджетные трансферты)</t>
  </si>
  <si>
    <t>ЦП "Мероприятия в области градостроительной деятельности Нижневартовского района" на 2011-2012гг (иные межбюджетные трансферты)</t>
  </si>
  <si>
    <t>Жилищное хозяйство (субсидии юридическитм лицам (кроме государственных (муниципальных учреждений) и физическим лицам - производителям товаров, работ, услуг)</t>
  </si>
  <si>
    <t xml:space="preserve">Ведомственная целевая программа «Управление муниципальным имуществом на территории с.п. Зайцева Речка на 2016-2018 годы» </t>
  </si>
  <si>
    <t>Выполнение функций органами местного самоуправления (прочая закупка товаров, работ и услуг для муниципальных нужд)</t>
  </si>
  <si>
    <t>Работы по кладбищу (ислед.зем.уч.20,выбор зем.участка70, межевание30,)</t>
  </si>
  <si>
    <t>оценка(5уч7,5)+межев.зем.уч(5уч*8т.р)</t>
  </si>
  <si>
    <t>оценка зданий</t>
  </si>
  <si>
    <t>иное</t>
  </si>
  <si>
    <t>необходимо 306232 на вьездной знак Былино</t>
  </si>
  <si>
    <t>Целевая программа "Комплексная программа капитального строительства,реконструкции,капитального ремонта и подготовки обьектов жилищно-коммунального хозяйства к работе в ОЗП на территории нижневартовского района на 2009-2014 годы"</t>
  </si>
  <si>
    <t>Мероприятия по подготовке объектов жилищно-коммунального хозяйства и социальной сферы к работе в осенне-зимний период в рамках подпрограммы"Создание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энергитической эффективности в Нижневартовском районе на 2014-2020гг" Иные межбюджетные трансферты</t>
  </si>
  <si>
    <t>Мероприятия по подготовке объектов жилищно-коммунального хозяйства и социальной сферы к работе в осенне-зимний период Иные межбюджетные трансферты</t>
  </si>
  <si>
    <t>МБТ субсидии на ОЗП</t>
  </si>
  <si>
    <t>тс 01.12.</t>
  </si>
  <si>
    <t>Уличное освещение (прочая закупка товаров, работ и услуг для государственных нужд)</t>
  </si>
  <si>
    <t>Благоустройство (разд.подр.0503)</t>
  </si>
  <si>
    <t>отлов собак, дезикцидная обработка (прочая закупка товаров, работ и услуг для государственных нужд)</t>
  </si>
  <si>
    <t>изготовление баннеров7,8</t>
  </si>
  <si>
    <t>материал  Субвенции на осуществление отдельных государственных полномочий анты-Мансийского автономного округа-Югры в сфере обращения с твердыми коммунальными отходами ( КФСР 0605, КЦСР *.**.84290)</t>
  </si>
  <si>
    <t>эл.энерг. 12 мес</t>
  </si>
  <si>
    <t>тех.обеспеч. 6 мес.</t>
  </si>
  <si>
    <t>Прочие мероприятия по благоустройству поселений (прочая закупка товаров, работ и услуг для государственных нужд)</t>
  </si>
  <si>
    <t>капремонт 12 м-цев</t>
  </si>
  <si>
    <t>ЦП "Энергосбережение и повышение энергической эффективности в с.п. Зайцева Речка на 2010-2014 годы"</t>
  </si>
  <si>
    <t>Ведомственная целевая программа "Развитие культуры сельского поселения Зайцева речка на 2016-2018гг"</t>
  </si>
  <si>
    <t>Культура (разд.подр.0801)</t>
  </si>
  <si>
    <t>МКУ СДК З-Речка (Культура (фонд оплаты труда и страховые  взносы)</t>
  </si>
  <si>
    <t>в 2018г</t>
  </si>
  <si>
    <t xml:space="preserve">в 2016 г </t>
  </si>
  <si>
    <t>211 ст.3 111 653,0</t>
  </si>
  <si>
    <t>213ст. 939 720,0</t>
  </si>
  <si>
    <t>в 2017г</t>
  </si>
  <si>
    <t>МКУ СДК З-Речка (Культура (Иные выплаты персоналу,за исключением фонда оплаты труда)</t>
  </si>
  <si>
    <t>МКУ СДК З-Речка (Культура (закупка товаров,работ,услуг в сфере информационно-коммуникационных технологий)</t>
  </si>
  <si>
    <t>телефон</t>
  </si>
  <si>
    <t>МКУ СДК З-Речка (Культура (прочая закупка товаров,работ и услуг для государственных (муниципальных) нужд)</t>
  </si>
  <si>
    <t>нех.на 2016г для табл 4,5,6,7</t>
  </si>
  <si>
    <t>свет, эл.энерг.</t>
  </si>
  <si>
    <t>по 0801квр244</t>
  </si>
  <si>
    <t xml:space="preserve">ЖБО </t>
  </si>
  <si>
    <t>вода</t>
  </si>
  <si>
    <t>Ютек обсл.электрос.</t>
  </si>
  <si>
    <t>заправка катриджей</t>
  </si>
  <si>
    <t>Северсв.пож.сигнал полгода</t>
  </si>
  <si>
    <t>опресс.и ремонт</t>
  </si>
  <si>
    <t>налоги, штрафы</t>
  </si>
  <si>
    <t>МКУ СДК З-Речка (Культура (прочая закупка товаров,работ и услуг для муниципальных нужд)</t>
  </si>
  <si>
    <t>МКУ СДК З-Речка (Кинематография (фонд оплаты труда и страховые взносы)</t>
  </si>
  <si>
    <t>софинансирование 1%</t>
  </si>
  <si>
    <t>Кинематография (разд.подр.0802)</t>
  </si>
  <si>
    <t>МКУ СДК З-Речка (Кинематография (прочая закупка товаров,работ и услуг для государственных (муниципальных) нужд)</t>
  </si>
  <si>
    <t>Пенсионное обеспечение (разд.подр. 1001)</t>
  </si>
  <si>
    <t>Доплаты к пенсиям государственным и муниципальным служащим</t>
  </si>
  <si>
    <t>321</t>
  </si>
  <si>
    <t>Физическая культура (разд.подр. 1101)</t>
  </si>
  <si>
    <t>Физическая культура (фонд оплаты труда и страховые взносы)</t>
  </si>
  <si>
    <t>для уменьшения 211,213ст в 2019г</t>
  </si>
  <si>
    <t>16,5*3=49,5</t>
  </si>
  <si>
    <t>МФОТ 3 сторожей</t>
  </si>
  <si>
    <t>суточные</t>
  </si>
  <si>
    <t>Мероприятия в области физической культуры (Прочая закупка товаров, работ и услуг для государственных нужд)</t>
  </si>
  <si>
    <t>призы</t>
  </si>
  <si>
    <t>Физическая культура (прочая закупка товаров, работ и услуг для государственных нужд)</t>
  </si>
  <si>
    <t>з.плата,</t>
  </si>
  <si>
    <t>ЦЗН    Расходы на реализацию мероприятий по содействию трудоустройства граждан в рамках подпрограммы "Содействие трудоустройству граждан" в рамках государственной программы "Содействие занятости населения в ХМАО-Югре на 2014-2020 годы" с.п. Зайцева Речка</t>
  </si>
  <si>
    <t>Итого по главному распорядителю</t>
  </si>
  <si>
    <t>Всего</t>
  </si>
  <si>
    <t>руб.</t>
  </si>
  <si>
    <t>общий объем условно утверждаемых (утвержденных) расходов в случае утверждения бюджета на очередной финансовый год и плановый период на первый год планового периода в объеме не менее 2,5 процента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в объеме не менее 5 процентов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</si>
  <si>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211ст</t>
  </si>
  <si>
    <t>аренда</t>
  </si>
  <si>
    <t>д-ра мены</t>
  </si>
  <si>
    <t>соц.найм</t>
  </si>
  <si>
    <t>продажа здания для ЖКХ</t>
  </si>
  <si>
    <t>остатки с 2015г</t>
  </si>
  <si>
    <t>ЖКХ субсид.</t>
  </si>
  <si>
    <t>Северсв. субсид</t>
  </si>
  <si>
    <t>уточнение доходов в июле 2016 года</t>
  </si>
  <si>
    <t>план по д-дам 160тр это пр-но</t>
  </si>
  <si>
    <t>( -300,0 Шаталова О(ОСТАТОК 40,0).+647 653,6 Хирова Н + 792,0 Лежневы+15,0 Самсон Г+ОСТАТОК 200,0)</t>
  </si>
  <si>
    <t>плат.усл СДК</t>
  </si>
  <si>
    <t>продажа машины Нивы</t>
  </si>
  <si>
    <t>ЕСН</t>
  </si>
  <si>
    <t>возвр.б.л. 15г</t>
  </si>
  <si>
    <t>41,0 должно вернуться на кбк этого года</t>
  </si>
  <si>
    <t>нет</t>
  </si>
  <si>
    <t>Итого по программам</t>
  </si>
  <si>
    <t>экономической классификации</t>
  </si>
  <si>
    <t>Квартал I</t>
  </si>
  <si>
    <t>Квартал II</t>
  </si>
  <si>
    <t>Квартал III</t>
  </si>
  <si>
    <t>Квартал IV</t>
  </si>
  <si>
    <t>2016 год</t>
  </si>
  <si>
    <t>к уточнению</t>
  </si>
  <si>
    <t>было по программам</t>
  </si>
  <si>
    <t>РСД от 24.03.16</t>
  </si>
  <si>
    <t>отклонение</t>
  </si>
  <si>
    <t>40.0.0000</t>
  </si>
  <si>
    <t xml:space="preserve">Муниципальная  программа «Профилактика правонарушений в сфере общественного порядка в сельском поселении Зайцева Речка на 2014-2020 годы»
</t>
  </si>
  <si>
    <t>41.0.0000</t>
  </si>
  <si>
    <t>50.</t>
  </si>
  <si>
    <t>50.0.0000</t>
  </si>
  <si>
    <t>Ведомственная целевая программа "Организация бюджетного процесса в сельском поселении Зайцева Речка на 2016-2018 годы"</t>
  </si>
  <si>
    <t>51.0.0700</t>
  </si>
  <si>
    <t>52.0.0000</t>
  </si>
  <si>
    <t>53.0.0000</t>
  </si>
  <si>
    <t>Ведомственная целевая программа "Организация и обеспечение мероприятий а области физической культуры и спорта в сельском поселении Зайцева Речка на 2016-2018годы"</t>
  </si>
  <si>
    <t>54.0.0000</t>
  </si>
  <si>
    <t>Ведомственная целевая программа "Комплексные меры пожарной безопасности на  территорий сельского поселения Зайцева Речка 2016-2018 годы"</t>
  </si>
  <si>
    <t>55.0.0000</t>
  </si>
  <si>
    <t xml:space="preserve">Ведомственная целевая программа "Мероприятия в области жилищно- коммунального хозяйства в сельском поселении Зайцева Речка на 2016-2018 годы" </t>
  </si>
  <si>
    <t>56.</t>
  </si>
  <si>
    <t>56.0.0000</t>
  </si>
  <si>
    <t>57.0.0000</t>
  </si>
  <si>
    <t>58.</t>
  </si>
  <si>
    <t>58.0.0000</t>
  </si>
  <si>
    <t>Ведомственная целевая программа "Энергосбережение и повышение энергической эффективности в с.п. Зайцева Речка на 2016-2018 годы"</t>
  </si>
  <si>
    <t>59.0.0000</t>
  </si>
  <si>
    <t>Ведомственная целевая программа "Профилактика экстремисткой и террористической деятельности, гармонизация этнических и межкультурных отношений на территории сельского поселния Зайцеа Речка на 2016 - 2018 годы</t>
  </si>
  <si>
    <t>61.0.0000</t>
  </si>
  <si>
    <t xml:space="preserve"> Расходы на реализацию мероприятий по содействию трудоустройства граждан в рамках подпрограммы "Содействие трудоустройству граждан" в рамках государственной программы "Содействие занятости населения в ХМАО-Югре на 2014-2020 годы" с.п. Зайцева Речка</t>
  </si>
  <si>
    <t>ИТОГО</t>
  </si>
  <si>
    <t>Итого:</t>
  </si>
  <si>
    <t>Рз</t>
  </si>
  <si>
    <t>ПР</t>
  </si>
  <si>
    <t>Плановый период</t>
  </si>
  <si>
    <t>Администрация сельского поселения Зайцева Речка</t>
  </si>
  <si>
    <t>Общегосударственные вопросы</t>
  </si>
  <si>
    <t>Функционирование высшего должностного лица субьекта Российской Федерации и муниципального образования</t>
  </si>
  <si>
    <t>Функционирование правительства Российской Федерации,высших исполнительных органов государственной власти субьектов Российской Федерации,местных администраций</t>
  </si>
  <si>
    <t>Национальная оборона</t>
  </si>
  <si>
    <t>Национальная безопасность и правоохранительная деятельность</t>
  </si>
  <si>
    <t xml:space="preserve">Защита населения и территории от чрезвычайных ситуаций природного и техногенного характера, гражданская оборона
</t>
  </si>
  <si>
    <t>Обеспечение пожарной безопасности</t>
  </si>
  <si>
    <t>Национальная экономика</t>
  </si>
  <si>
    <t>общеэконмические вопросы</t>
  </si>
  <si>
    <t>Дорожное хозяйство (дорожные фрнды)</t>
  </si>
  <si>
    <t>Связь и информатика</t>
  </si>
  <si>
    <t>Жилищно-коммунальное хозяйство</t>
  </si>
  <si>
    <t>Жилищное хозяйство(пониж.коэф.)</t>
  </si>
  <si>
    <t>Жилищное хозяйство (подвоз воды 241)</t>
  </si>
  <si>
    <t>Благоустройство(ТБО и ЖБО)</t>
  </si>
  <si>
    <t>Благоустройство(улич.освещ)</t>
  </si>
  <si>
    <t>Другие вопросы в области жилищно-коммунального хозяйства(ДОР.деят)</t>
  </si>
  <si>
    <t>Культура,  кинематография</t>
  </si>
  <si>
    <t>Социальная политика</t>
  </si>
  <si>
    <t>Физическая культура и спорт</t>
  </si>
  <si>
    <t>ВСЕГО</t>
  </si>
  <si>
    <t>АДМИНИСТРАЦИЯ СЕЛЬСКОГО ПОСЕЛЕНИЯ ЗАЙЦЕВА РЕЧКА</t>
  </si>
  <si>
    <t>Приложение 4  к решению</t>
  </si>
  <si>
    <t xml:space="preserve"> (тыс. рублей)</t>
  </si>
  <si>
    <t>Общеэкономические вопросы</t>
  </si>
  <si>
    <t>Приложение 5 к решению</t>
  </si>
  <si>
    <t>Совета депутатов с.п. Зайцева Речка</t>
  </si>
  <si>
    <t>Муниципальная программа "Создание условий для эффективного управления муниципальными финансами и повышения устойчивости бюджета сельского поселения Зайцева Речка на 2019-2025 годы и на период до 2030 года"</t>
  </si>
  <si>
    <t>Осуществление расходов по передаваемым полномочиям в бюджет Нижневартовского района в рамках муниципальной программы "Обеспечение осуществления полномочий и создание условий для деятельности органов местного самоуправления сельского поселения Зайцева Речка на 2019-2025 годы и на период до 2030 года"</t>
  </si>
  <si>
    <t>Муниципальная программа "Защита населения и территории сельского поселения Зайцева Речка от чрезвычайных ситуаций, обеспечение пожарной безопасности на 2019-2025 годы и на период до 2030 года"</t>
  </si>
  <si>
    <t>Муниципальная программа "Развитие транспортной системы на территории сельского поселения Зайцева Речка на 2019-2025 годы и на период до 2030 года"</t>
  </si>
  <si>
    <t>Муниципальная программа "Управление муниципальным имуществом на территории сельского поселения Зайцева Речка на 2019-2025 годы и на период до 2030 года"</t>
  </si>
  <si>
    <t>Реализация мероприятий по обеспечению правомерного функционирования, использования и содержания муниципального имущества в рамках МП "Управление муниципальным имуществом сельского поселения Зайцева Речка на 2019-2025 годы и на период до 2030 года"(Установка, поверка приборов учета теплоснабжения, водоснабжения, электро-снабжения, ремонт приборов учета в жилых (нежилых) помещениях находящихся в собственности админи-страции сельского поселения Зайцева Речка)</t>
  </si>
  <si>
    <t>Создание системы компенсации ущерба от чрезвычайных ситуаций природного и техногенного характера в рамках МП"Управление муниципальным имуществом на территории сельского поселения Зайцева Речка на 2019-2025 годы и на период до 2030 года"(Создание с использовани-ем механизма страхования системы компенсации ущерба от чрезвычайных ситуаций природного и техноген-ного характера в отношении муниципаль-ного имущества сельского поселения Зайцева Речка)</t>
  </si>
  <si>
    <t>Реализация мероприятий по обеспечению правомерного функционирования, использования и содержания муниципального имущества в рамках МП "Управление муниципальным имуществом сельского поселения Зайцева Речка на 2019-2025 годы и на период до 2030 года"(Оплата взносов на капи-тальный ремонт общего имущества в многоквар-тирных домах, помещени-ях находящихся в соб-ственности админи-страции сельского поселения Зайцева Речка)</t>
  </si>
  <si>
    <t>Изготовление техниче-ской документации на поселковые автомо-бильные дороги общего пользования, на объекты недвижимого имущества</t>
  </si>
  <si>
    <t>оплата коммунальных услуг.по Излуч</t>
  </si>
  <si>
    <t>МП "Обеспечение осуществления полномочий и создание условий для деятельности органов местного самоуправления сельского поселения Зайцева Речка на 2019-2025 годы и на период до 2030 года"</t>
  </si>
  <si>
    <t>МП управл. Мун. Фин.</t>
  </si>
  <si>
    <t xml:space="preserve"> «Развитие муниципальной службы в сельском поселении Зайцева Речка  на 2017–2021 годы» </t>
  </si>
  <si>
    <t>Распределение бюджетных ассигнований по целевым статьям (муниципальным программам), группам (группам и подгруппам) видов расходов классификации расходов бюджета сельского поселения Зайцева Речка на 2019 год и плановый период 2020-2021 годов</t>
  </si>
  <si>
    <t>2021 год</t>
  </si>
  <si>
    <t>Сумма на 2021 год</t>
  </si>
  <si>
    <t>Муниципальная программа "Управление в сфере муниципальных финансов 
в сельском поселении Зайцева Речка"</t>
  </si>
  <si>
    <t>40.0.00.89020</t>
  </si>
  <si>
    <t>Муниципальная программа "Профилактика правонарушений в сфере общественного порядка в сельском поселении Зайцева Речка"</t>
  </si>
  <si>
    <t>Муниципальная программа "Развитие культуры и кинематографии в сельском поселении Зайцева Речка"</t>
  </si>
  <si>
    <t>41.0.01.00590</t>
  </si>
  <si>
    <t>Иные межбюджетные трансферты на содействие  развитию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ХМАО-Югры в 2018-2025 годах и на период до 2030 года»</t>
  </si>
  <si>
    <t>Иные межбюджетные трансферты на содействие  развитию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ХМАО-Югры в 2018-2025 годах и на период до 2030 года»   в рамках МП "Развитие культуры и кинематографии в сельском поселении Зайцева Речка"</t>
  </si>
  <si>
    <t>Софинансирование содействия  развития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ХМАО-Югры в 2018-2025 годах и на период до 2030 года»   в рамках МП "Развитие культуры и кинематографии в сельском поселении Зайцева Речка"</t>
  </si>
  <si>
    <t>Муниципальная программа "Жилищно-коммунальный комплекс и городская среда в сельском поселении Зайцева Речка"</t>
  </si>
  <si>
    <t>Муниципальная программа "Управление муниципальным имуществом на территории сельского поселения Зайцева Речка"</t>
  </si>
  <si>
    <t>48.0.00.00000</t>
  </si>
  <si>
    <t>Муниципальная программа "Развитие транспортной системы сельского поселения Зайцева Речка"</t>
  </si>
  <si>
    <t>49.0.00.00000</t>
  </si>
  <si>
    <t>Муниципальная программа "Безопасность жизнедеятельности в сельском поселении Зайцева Речка"</t>
  </si>
  <si>
    <t>Муниципальная программа "Обеспечение осуществления полномочий и создание условий для деятельности органа местного самоуправления сельского поселения Зайцева Речка"</t>
  </si>
  <si>
    <t xml:space="preserve">Муниципальная программа "Развитие физической культуры и спорта в сельском поселении  Зайцева Речка" </t>
  </si>
  <si>
    <t xml:space="preserve">Муниципальная программа "Осуществление материально-технического обеспечения деятельности органов местного самоуправления в сельском поселении  Зайцева Речка" </t>
  </si>
  <si>
    <t>Муниципальная программа "Обеспечение осуществления полномочий и создание условий для деятельности органов местного самоуправления сельского поселения Зайцева Речка "</t>
  </si>
  <si>
    <t>43.0.01.00000</t>
  </si>
  <si>
    <t>43.0.01.02030</t>
  </si>
  <si>
    <t>43.0.03.89240</t>
  </si>
  <si>
    <t>40.0.01.89020</t>
  </si>
  <si>
    <t>40.0.01.00000</t>
  </si>
  <si>
    <t>Основное мероприятия "Организация бюджетного процесса"</t>
  </si>
  <si>
    <t>40.0.02.00000</t>
  </si>
  <si>
    <t>Реализация мероприятия по формированию резервного фонда администрации сельского посе-ления  муниципальной программы "Управление в сфере муниципальных финансов в сельском поселении Зайцева Речка"</t>
  </si>
  <si>
    <t>40.0.02.20610</t>
  </si>
  <si>
    <t>40.0.02.99990</t>
  </si>
  <si>
    <t>Реализация мероприятия по формированию условно утвер-жденных расходов на первый год планового периодов, на второй год планового периода муниципальной программы "Управление в сфере муниципальных финансов в сельском поселении Зайцева Речка"</t>
  </si>
  <si>
    <t>Основное мероприятие "Финансовое обеспечение расходных обязательств по делегированным полномочиям"</t>
  </si>
  <si>
    <t>Муниципальная программа "Управление в сфере муниципальных финансов в сельском поселении Зайцева Речка"</t>
  </si>
  <si>
    <t>Основное мероприятие "Создание условий для профилактики правонарушений"</t>
  </si>
  <si>
    <t>Реализация  мероприятий по созданию условий для деятельности народных дружин муниципальной программы "Профилактика правонарушений в сфере общественного порядка в сельском поселении Зайцева Речка"</t>
  </si>
  <si>
    <t>Софинансирование в рамках  мероприятия по созданию условий для деятельности народных дружин муниципальной программы "Профилактика правонарушений в сфере общественного порядка всельском поселении Зайцева Речка"</t>
  </si>
  <si>
    <t>44.0.01.00000</t>
  </si>
  <si>
    <t>45.0.01.00000</t>
  </si>
  <si>
    <t>Содержание муниципальных  внутрипоселковых автомобильных дорог, а также прочие работы и услуги по их содержанию муниципальной программы "Развитие транспортной системы сельского поселения Зайцева Речка"</t>
  </si>
  <si>
    <t>Основное мероприятие "Обеспечение функционирования муниципальных внутрипоселковых автомобильных дорог сельского поселения"</t>
  </si>
  <si>
    <t>47.0.01.00000</t>
  </si>
  <si>
    <t>47.0.01.99990</t>
  </si>
  <si>
    <t>47.0.02.00000</t>
  </si>
  <si>
    <t>47.0.03.00000</t>
  </si>
  <si>
    <t>47.0.02.99990</t>
  </si>
  <si>
    <t>47.0.03.99990</t>
  </si>
  <si>
    <t>Основное мероприятие "Создание условий для обеспечения качественными коммунальными услугами"</t>
  </si>
  <si>
    <t>Реализация мероприятий по созданию условий для обеспечения качественными коммунальными услугамимуниципальной программы "Жилищно-коммунальный комплекс и городская среда в сельском поселении Зайцева Речка"</t>
  </si>
  <si>
    <t>Основное мероприятие "Формирование комфортной городской среды"</t>
  </si>
  <si>
    <t>Реализация мероприятий по формированию комфортной городской среды  муниципальной программой  "Жилищно-коммунальный комплекс и городская среда в сельском поселении Зайцева Речка"</t>
  </si>
  <si>
    <t>Основное мероприятие "Повышение энергоэффективности "</t>
  </si>
  <si>
    <t>Реализация мероприятий по повышению энергоэффективности муниципальной программой "Жилищно-коммунальный комплекс и городская среда в сельском поселении Зайцева Речка"</t>
  </si>
  <si>
    <t>49.0.01.00590</t>
  </si>
  <si>
    <t>Расходы на мероприятия по содержанию администрации поселениямуниципальной программы "Обеспечение осуществления полномочий и создание условий для деятельности органов местного самоуправления сельского поселения Зайцева Речка"</t>
  </si>
  <si>
    <t>Расходы на мероприятия по осуществлению первичного воинского учета  муниципальной программы "Обеспечение осуществления полномочий и создание условий для деятельности органа местного самоуправления сельского поселения Зайцева Речка"</t>
  </si>
  <si>
    <t>Основное мероприятие "Создание необходимых условий для эффективного функционирования органов местного самоуправления поселения»</t>
  </si>
  <si>
    <t>49.0.01.00000</t>
  </si>
  <si>
    <t xml:space="preserve">Реализация мероприятий по созданию необходимых условий для эффективного функционирования органов местного самоуправления поселения муниципальной программы "Осуществление материально-технического обеспечения деятельности органов местного самоуправления в сельском поселении  Зайцева Речка"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</si>
  <si>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состояниявмуниципальной программы "Обеспечение осуществления полномочий и создание условий для деятельности органа местного самоуправления сельского поселения Зайцева Речка"</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</si>
  <si>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округамуниципальной программы "Обеспечение осуществления полномочий и создание условий для деятельности органа местного самоуправления сельского поселения Зайцева Речка"</t>
  </si>
  <si>
    <t>42.0.01.00000</t>
  </si>
  <si>
    <t>42.0.01.00590</t>
  </si>
  <si>
    <t>Пенсионное обеспечение за выслугу лет муниципальной программы "Обеспечение осуществления полномочий и создание условий для деятельности органа местного самоуправления сельского поселения Зайцева Речка"</t>
  </si>
  <si>
    <t>Основное мероприятие "Развитие физической культуры и массового спорта на территории поселения, пропаганда здорового образа жизни»</t>
  </si>
  <si>
    <t>48.0.01.00000</t>
  </si>
  <si>
    <t>48.0.01.00590</t>
  </si>
  <si>
    <t xml:space="preserve">Реализация мероприятий по развитию физической культуры и массового спорта на территории поселения, пропаганда здорового образа жизни муниципальной программы"Развитие физической культуры и спорта в сельском поселении  Зайцева Речка" </t>
  </si>
  <si>
    <t>Реализация мероприятий по  соданию условий для организации культурного досуга и обеспечения потребностей культурного досуга жителей поселения муниципальной программы "Развитие культуры и кинематографии в сельском поселении Зайцева Речка" (культура)</t>
  </si>
  <si>
    <t xml:space="preserve">Основное мероприятие "Мероприятия по  соданию условий для организации культурного досуга и обеспечения потребностей культурного досуга жителей поселения" </t>
  </si>
  <si>
    <t>41.0.01.00000</t>
  </si>
  <si>
    <t>Реализация мероприятий по  соданию условий для организации культурного досуга и обеспечения потребностей культурного досуга жителей поселения муниципальной программы "Развитие культуры и кинематографии в сельском поселении Зайцева Речка" (кино)</t>
  </si>
  <si>
    <t>Основное мероприятие  «Содержание муниципального имущества сельского поселения Зайцева Речка».</t>
  </si>
  <si>
    <t>Реализация мероприятий по содержанию муниципального имущества сельского поселения Зайцева Речка муниципальной программы "Управление муниципальным имуществом сельского поселения Зайцева Речка"</t>
  </si>
  <si>
    <t>Основное мероприятие  «Создание условий для обеспечения полномочий органов местного самоуправления  мероприятий в сфере ритуальных услуг на территории сельского поселения Зайцева Речка».</t>
  </si>
  <si>
    <t>Реализация мероприятий  по  созданию условий для обеспечения полномочий органов местного самоуправления  мероприятий в сфере ритуальных услуг на территории сельского поселения Зайцева Речка муниципальной программы "Управление муниципальным имуществом на территории сельского поселения Зайцева Речка"</t>
  </si>
  <si>
    <t>46.0.02.00000</t>
  </si>
  <si>
    <t>46.0.01.00000</t>
  </si>
  <si>
    <t>Реализация мероприятий по созданию условий для обеспечения качественными коммунальными услугами муниципальной программы "Жилищно-коммунальный комплекс и городская среда в сельском поселении Зайцева Речка"</t>
  </si>
  <si>
    <t>ОХРАНА ОКРУЖАЮЩЕЙ СРЕДЫ</t>
  </si>
  <si>
    <t>Другие вопросы в области охраны окружающей среды</t>
  </si>
  <si>
    <t>Охрана окружающей среды</t>
  </si>
  <si>
    <t>43.0.01.02040</t>
  </si>
  <si>
    <t>43.0.01.89240</t>
  </si>
  <si>
    <t>40.0.01.20610</t>
  </si>
  <si>
    <t>43.0.01.51180</t>
  </si>
  <si>
    <t>43.0.01.02400</t>
  </si>
  <si>
    <t>43.0.01.D9300</t>
  </si>
  <si>
    <t>43.0.01.59300</t>
  </si>
  <si>
    <t>42.0.02.09990</t>
  </si>
  <si>
    <t>42.0.01.09990</t>
  </si>
  <si>
    <t>656.47.001.1</t>
  </si>
  <si>
    <t>656.47.001.2</t>
  </si>
  <si>
    <t>МП "Обеспечение реализации отдельных полномочий администрации сельского поселения З.Р.</t>
  </si>
  <si>
    <t>656.43.001.7</t>
  </si>
  <si>
    <t>зар.пл. Отпуск в серидине июля - все 44дня</t>
  </si>
  <si>
    <t>44001S2300</t>
  </si>
  <si>
    <t>440182300</t>
  </si>
  <si>
    <t xml:space="preserve">Муниципальная программа "Управление муниципальным имуществом на территории сельского поселения Зайцева Речка </t>
  </si>
  <si>
    <t>43.0.01.00590</t>
  </si>
  <si>
    <t>00.0.01.02400</t>
  </si>
  <si>
    <t>льг.проезд,</t>
  </si>
  <si>
    <t>346</t>
  </si>
  <si>
    <t>2020-2022гг</t>
  </si>
  <si>
    <t>в 2020гг</t>
  </si>
  <si>
    <t>приказ 88-0 от 29.07.2019</t>
  </si>
  <si>
    <t>2022 год</t>
  </si>
  <si>
    <t>1 042 293,0 - с увел. 3,8% по 278п</t>
  </si>
  <si>
    <t>с увел. 3,8% - 5 мун.служ, зам.гл. и 1 работник</t>
  </si>
  <si>
    <t>Органы юстиции ( разд.подр.м 0304) ЗАГС</t>
  </si>
  <si>
    <t>МРОТ в 2020г - 12 130,0</t>
  </si>
  <si>
    <t>*2,2</t>
  </si>
  <si>
    <t>1*12*12130*2,2+ 30,2% налогов</t>
  </si>
  <si>
    <t>развитие исторических и иных местных традиций</t>
  </si>
  <si>
    <t>МРОТ 12130,о *1,5ст. *2,2*13 МФОТов</t>
  </si>
  <si>
    <t>бумага+канцел, МТЗ</t>
  </si>
  <si>
    <t>Софинансир. По созданию Территор. Бренда сп ЗайцРечка в сумме 258тыс.руб. Вклад граждан 5,1тыс.руб.</t>
  </si>
  <si>
    <t>3 дня за сч.работод. Бол.лист</t>
  </si>
  <si>
    <t>3дня за сч.работад.бол.лист</t>
  </si>
  <si>
    <t>налоги должны быть 47384,2 (47384,2-45431,49=1952,71 нехватка)</t>
  </si>
  <si>
    <r>
      <t>43.0.01.</t>
    </r>
    <r>
      <rPr>
        <sz val="8"/>
        <color indexed="10"/>
        <rFont val="Arial"/>
        <family val="2"/>
      </rPr>
      <t>S</t>
    </r>
    <r>
      <rPr>
        <sz val="8"/>
        <rFont val="Arial"/>
        <family val="2"/>
      </rPr>
      <t>9300</t>
    </r>
  </si>
  <si>
    <t>ремонт дорог</t>
  </si>
  <si>
    <t>миним.из 3 комерч.предлож - 200руб в час*24часа в сутки*366дн=1756 800,0рб</t>
  </si>
  <si>
    <t>40.0.01.89090</t>
  </si>
  <si>
    <t>содержание подьездных дорог д. Вампугол</t>
  </si>
  <si>
    <t>6м*25тр С.В.Суб+Литв12*5</t>
  </si>
  <si>
    <t xml:space="preserve">БТИ </t>
  </si>
  <si>
    <t>25056*3=75168</t>
  </si>
  <si>
    <t>устан.электро- водо- тепло-счетч.</t>
  </si>
  <si>
    <t>по своду с 3,8% (без спорта 217383) (=360312,37*12+(360312,37*12)*3,8%)</t>
  </si>
  <si>
    <t>57033,0рб целевой показатель на 2020г*7физ.лст*12 МФОТ(с мат.помощ. К отпуску)- кино 520377рб=4270395 (211+266ст)</t>
  </si>
  <si>
    <t>теплоэнергия год</t>
  </si>
  <si>
    <t>вывоз ТКО год</t>
  </si>
  <si>
    <t>контур обоненс.обслуж. год</t>
  </si>
  <si>
    <t>Выгода авар.обсл пол года</t>
  </si>
  <si>
    <r>
      <t xml:space="preserve">чаепитие (каша) </t>
    </r>
    <r>
      <rPr>
        <sz val="8"/>
        <color indexed="10"/>
        <rFont val="Arial"/>
        <family val="2"/>
      </rPr>
      <t>9 мая</t>
    </r>
  </si>
  <si>
    <t>обучение</t>
  </si>
  <si>
    <t>349</t>
  </si>
  <si>
    <t>призы на мероприятия полгода</t>
  </si>
  <si>
    <t>Итого 349 ст</t>
  </si>
  <si>
    <t>Итого 226 ст</t>
  </si>
  <si>
    <t>Итого 225 ст</t>
  </si>
  <si>
    <t>Итого 223 ст</t>
  </si>
  <si>
    <t>Итого 292 ст</t>
  </si>
  <si>
    <t>Отпариватель(7т), видеокамера(53) 65</t>
  </si>
  <si>
    <r>
      <rPr>
        <sz val="8"/>
        <color indexed="10"/>
        <rFont val="Arial"/>
        <family val="2"/>
      </rPr>
      <t>(Фестиваль)</t>
    </r>
    <r>
      <rPr>
        <sz val="8"/>
        <rFont val="Arial"/>
        <family val="2"/>
      </rPr>
      <t xml:space="preserve"> 5 унитазов 45</t>
    </r>
  </si>
  <si>
    <t>Баннер 2шт</t>
  </si>
  <si>
    <t>Итого 311 ст</t>
  </si>
  <si>
    <t>хоз,канц;материалы полгода</t>
  </si>
  <si>
    <t>Итого 346 ст</t>
  </si>
  <si>
    <r>
      <t xml:space="preserve">Подарок ветерану </t>
    </r>
    <r>
      <rPr>
        <sz val="8"/>
        <color indexed="10"/>
        <rFont val="Arial"/>
        <family val="2"/>
      </rPr>
      <t>(9мая)</t>
    </r>
  </si>
  <si>
    <r>
      <t>Цветы</t>
    </r>
    <r>
      <rPr>
        <sz val="8"/>
        <color indexed="10"/>
        <rFont val="Arial"/>
        <family val="2"/>
      </rPr>
      <t>(9мая)</t>
    </r>
  </si>
  <si>
    <r>
      <t xml:space="preserve">Оформление зала и колонны </t>
    </r>
    <r>
      <rPr>
        <sz val="8"/>
        <color indexed="10"/>
        <rFont val="Arial"/>
        <family val="2"/>
      </rPr>
      <t>(9мая</t>
    </r>
    <r>
      <rPr>
        <sz val="8"/>
        <rFont val="Arial"/>
        <family val="2"/>
      </rPr>
      <t>)(флажки,гелевые шары, фирменная атрибутика)</t>
    </r>
  </si>
  <si>
    <r>
      <t xml:space="preserve">Фоторамки, краска для граффити </t>
    </r>
    <r>
      <rPr>
        <sz val="8"/>
        <color indexed="10"/>
        <rFont val="Arial"/>
        <family val="2"/>
      </rPr>
      <t>(9мая)</t>
    </r>
  </si>
  <si>
    <t>10чел.*12130*2,2</t>
  </si>
  <si>
    <t>хоз.товары</t>
  </si>
  <si>
    <t xml:space="preserve"> сан.кур.суточные</t>
  </si>
  <si>
    <t>Праздник в Былино - на чаепитие2,5(чайный сервиз 1,5+чайник1,0)Всего 12,5</t>
  </si>
  <si>
    <t>Праздник в Былино -призы(рамки, фото..)10,0</t>
  </si>
  <si>
    <t xml:space="preserve">интернет </t>
  </si>
  <si>
    <t xml:space="preserve">Северсв. трев.кн.и видеонабл - год. </t>
  </si>
  <si>
    <t>поставить бочку для полива летом</t>
  </si>
  <si>
    <t>льг.проезд,суточные</t>
  </si>
  <si>
    <t>МРОТ В 19Г</t>
  </si>
  <si>
    <t>МРОТ В 20Г</t>
  </si>
  <si>
    <t>11280*2,2=24816</t>
  </si>
  <si>
    <t>12130*2,2=26686</t>
  </si>
  <si>
    <t>МБТ В Нв р-он</t>
  </si>
  <si>
    <t>Реализация мероприятия по финансовому обеспечению расходных обязательств по делегированным полномочиям муниципальной программы "Управление в сфере муниципальных финансов в сельском поселении Зайцева Речка" подпрограммы "Градостроительная деятельность" муниципальной программы района "Развитие жилищной сферы  в Нижневартовском районе"</t>
  </si>
  <si>
    <t xml:space="preserve">Реализация мероприятия по подготовке объектов жилищно-коммунального хозяйства и социальной сферы к работе в осенне-зимний период муниципальной программы "Управление в сфере муниципальных финансов в сельском поселении Зайцева Речка" </t>
  </si>
  <si>
    <t xml:space="preserve"> (35 937,06 ТО систем оповещения Б, В. И ЗР на 3 м-ца(3450) полгода</t>
  </si>
  <si>
    <t xml:space="preserve">Основное мероприятие "Обеспечение эффективного исполнения полномочий органов местного самоуправления сельского поселения Зайцева Речка" </t>
  </si>
  <si>
    <t>Расходы на денежное содержание, гарантии и компенсации главы с.п. Зайцева Речка муниципальной программы "Обеспечение осуществления полномочий и создание условий для деятельности органов местного самоуправления с.п. Зайцева Речка"</t>
  </si>
  <si>
    <t>Расходы по денежному содержанию, гарантиям и компенсациям муниципальных служащих и лиц, занимающих должности, не отнесенные к должностям муниципальной службы муниципальной программы "Обеспечение осуществления полномочий и создание условий для деятельности органов местного самоуправления сельского поселения Зайцева Речка"</t>
  </si>
  <si>
    <t>Межбюджетные трансферты на содержание работников органов местного самоуправления района, осуществляющих передаваемые полномочия от поселений  муниципальной программы "Обеспечение осуществления полномочий и создание условий для деятельности органов местного самоуправления сельского поселения Зайцева Речка"</t>
  </si>
  <si>
    <t>Муниципальная программа "Информационное общество сельского поселения Зайцева Речка"</t>
  </si>
  <si>
    <t>30.0.00.00000</t>
  </si>
  <si>
    <t>Основное меропритие "Развитие информационного общества и электронного правительства, в том числе технологий, обеспечивающих повышение качества муниципального управления, электронного взаимодействия населения и органов местного самоуправления поселения" в рамках МП «Информационное общество сельского поселения Зайцева Речка»</t>
  </si>
  <si>
    <t>30.0.01.20070</t>
  </si>
  <si>
    <t>Реализация меропритий по развитию информационного общества и электронного правительства, в том числе технологий, обеспечивающих повышение качества муниципального управления, электронного взаимодействия населения и органов местного самоуправления поселения в рамках МП «Информационное общество сельского поселения Зайцева Речка»</t>
  </si>
  <si>
    <t>Субвенции на осуществление отдельных государственных полномочий Ханты-Мансийского автономного округа-Югры в сфере обращения с твердыми коммунальными отходами  муниципальной программы "Жилищно-коммунальный комплекс и городская среда в сельском поселении Зайцева Речка"</t>
  </si>
  <si>
    <t>47.0.03.84290</t>
  </si>
  <si>
    <t>Основное мероприятие "Благоустройство и озеленение"</t>
  </si>
  <si>
    <t>47.0.04.99990</t>
  </si>
  <si>
    <t>Реализация мероприятий по благоустройству и озеленению  муниципальной программы  "Жилищно-коммунальный комплекс и городская среда в сельском поселении Зайцева Речка"</t>
  </si>
  <si>
    <t>8458,5р.софинансирование передвижных мусорн.контейн по иниц.бюджетир10%+1691,7 Физ л. 2%</t>
  </si>
  <si>
    <t>Софинансирование последующих мероприятий</t>
  </si>
  <si>
    <t>Мегафон 2,0тр, МТС 105*10*12=12,6тр по пожар сигнализации год</t>
  </si>
  <si>
    <t>материалы - лопаты</t>
  </si>
  <si>
    <t>Благоустройство - очистка снега ГПХ 2чел*12130*2,2/22дн*17+27,3%налоги</t>
  </si>
  <si>
    <t>ИТОГО по 240</t>
  </si>
  <si>
    <t>Муниципальная программа «Информационное общество сельского поселения Зайцева Речка»</t>
  </si>
  <si>
    <t>Меропритие "Развитие информационного общества и электронного правительства, в том числе технологий, обеспечивающих повышение качества муниципального управления, электронного взаимодействия населения и органов местного самоуправления поселения" в рамках МП «Информационное общество сельского поселения Зайцева Речка»</t>
  </si>
  <si>
    <t>30.0.00.20070</t>
  </si>
  <si>
    <t>Иные межбюджетные трансферты из бюджета поселения бюджету муниципального района на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"Развитие жилищной сферы  в Нижневартовском районе"</t>
  </si>
  <si>
    <t>47.0.01.82420</t>
  </si>
  <si>
    <t>47.0.01.S2420</t>
  </si>
  <si>
    <t xml:space="preserve">(36 512,94 ТО пожарн.сигнал пол.года =6635,92*12=79631,04) </t>
  </si>
  <si>
    <t>Установка пожарных датчиков(извещателей)</t>
  </si>
  <si>
    <t>проживание</t>
  </si>
  <si>
    <t>Светильники</t>
  </si>
  <si>
    <t>Благоустройство в ЖКК и гор ср</t>
  </si>
  <si>
    <t>передвижных мусорн.контейн по иниц.бюджетир10%+1691,7 Физ л. 2%</t>
  </si>
  <si>
    <t>Мероприятия по собакам</t>
  </si>
  <si>
    <t>47.0.04.88880</t>
  </si>
  <si>
    <t xml:space="preserve"> ГПХ 2чел.на 3 мес+налоги*3 (Б, В, Зр) Из МРОТ 12130*2,2=26686,0 (11,14 МФОТ) от 0,5 мфот</t>
  </si>
  <si>
    <t>минполосы 100,0 Зр, 30,0 Б и 80,0 В</t>
  </si>
  <si>
    <t>проекты на снос</t>
  </si>
  <si>
    <t>Итого 228 ст</t>
  </si>
  <si>
    <t>комп.д.бух-ра</t>
  </si>
  <si>
    <t>баннер к 9 мая</t>
  </si>
  <si>
    <t>призы на год</t>
  </si>
  <si>
    <t>на 9 мая ветерану</t>
  </si>
  <si>
    <t>цветы на 9 мая</t>
  </si>
  <si>
    <t>фоторамки, краски для графити на 9мая</t>
  </si>
  <si>
    <t>оформление зала,и колонны- 9 мая, флажки, гелевые шары, атрибутика</t>
  </si>
  <si>
    <t>устройство кондиционера- дискозал 75*2</t>
  </si>
  <si>
    <t>В.Е.-40,0; Росляк-50,0 + дочь-50,0; С.В.Суб-50,0;</t>
  </si>
  <si>
    <t>Советник проф 6 мес*10тр</t>
  </si>
  <si>
    <t>Субботин 50,0+ Волнянко и сын 100,0 + И.К. Мясник-50,0</t>
  </si>
  <si>
    <t>41.0.01.88880</t>
  </si>
  <si>
    <t>иниц. Бюджет.-бренд</t>
  </si>
  <si>
    <t>снос домов600,0, забор 1800,0</t>
  </si>
  <si>
    <t>установка ул.столба</t>
  </si>
  <si>
    <t>в 2019г было 100,0</t>
  </si>
  <si>
    <t>в 2019г было 200,0</t>
  </si>
  <si>
    <t>по 228ст</t>
  </si>
  <si>
    <t>система видеонаблюдения</t>
  </si>
  <si>
    <t>надо было 305261,16</t>
  </si>
  <si>
    <t>ремонт администрации</t>
  </si>
  <si>
    <t>с ремонтом администрации</t>
  </si>
  <si>
    <t>алея сирени</t>
  </si>
  <si>
    <t>повыш.квалиф.</t>
  </si>
  <si>
    <t>страх.авто</t>
  </si>
  <si>
    <t>Советн.Проф</t>
  </si>
  <si>
    <t>Почта России</t>
  </si>
  <si>
    <t>флаги,цветы</t>
  </si>
  <si>
    <t>35,0 кондиционер+65оргтехника(сервер)</t>
  </si>
  <si>
    <t>благоустройство Леспромхозная д.2 - придомовая территория</t>
  </si>
  <si>
    <t>ревебератор - кинозал - 40,0т.р.</t>
  </si>
  <si>
    <t>альбом</t>
  </si>
  <si>
    <t>310</t>
  </si>
  <si>
    <t>Основное мероприятие "Организация и обеспечение мероприятий в сфере гражданской обороны, защиты населения и территории поселения от чрезвычайных ситуаций, укрепление пожарной безопасности"муниципальной программы "Безопасность жизнедеятельности в сельском поселении Зайцева Речка"</t>
  </si>
  <si>
    <t>Реализация мероприятий в рамках подпрограммы "Реализация государственной политики в области гражданской обороны, защиты населения и территории поселения от чрезвычайных ситуаций, укрепление пожарной безопасности" муниципальной программы "Безопасность жизнедеятельности в сельском поселении Зайцева Речка"</t>
  </si>
  <si>
    <t xml:space="preserve">содержание и ремонт детской площадки по ул. Почтовая </t>
  </si>
  <si>
    <t xml:space="preserve">похоронное дело(таблички на могилы, ремонт памятников на могилах - 2 ед.) </t>
  </si>
  <si>
    <t>остатки на 01.01.2020</t>
  </si>
  <si>
    <t>инициативное бюджетирование по 2 программам ( бренд по СДК - 5160,0 и урны для раздельного мусора -1691,7 рб)</t>
  </si>
  <si>
    <t>47.0.04.00000</t>
  </si>
  <si>
    <t>47.0.04.84200</t>
  </si>
  <si>
    <t>47.0.0484200</t>
  </si>
  <si>
    <t>Реализация проектов  инициативного бюджетирования "Народная инициатива"  муниципальной программы  "Жилищно-коммунальный комплекс и городская среда в сельском поселении Зайцева Речка"</t>
  </si>
  <si>
    <t>Организация  мероприятий по осуществлению деятельности  по обращению с животными без владельцев  муниципальной программы  "Жилищно-коммунальный комплекс и городская среда в сельском поселении Зайцева Речка"</t>
  </si>
  <si>
    <t>НЗ-машиночасы</t>
  </si>
  <si>
    <t>850 весь</t>
  </si>
  <si>
    <t>240 весь</t>
  </si>
  <si>
    <t xml:space="preserve">Реализация проектов  инициативного бюджетирования "Народная инициатива"  муниципальной программы "Развитие культуры и кинематографии в сельском поселении Зайцева Речка" </t>
  </si>
  <si>
    <t>Иные межбюджетные трансферты на содействие  развитию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ХМАО-Югры в 2018-2025 годах и на период до 2030 года»   в рамках МП  "Жилищно-коммунальный комплекс и городская среда в сельском поселении Зайцева Речка"</t>
  </si>
  <si>
    <t>Софинансирование содействия  развития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ХМАО-Югры в 2018-2025 годах и на период до 2030 года»   в рамках МП  "Жилищно-коммунальный комплекс и городская среда в сельском поселении Зайцева Речка"</t>
  </si>
  <si>
    <r>
      <t>от</t>
    </r>
    <r>
      <rPr>
        <u val="single"/>
        <sz val="10"/>
        <rFont val="Times New Roman"/>
        <family val="1"/>
      </rPr>
      <t>_02.12.2019</t>
    </r>
    <r>
      <rPr>
        <sz val="10"/>
        <rFont val="Times New Roman"/>
        <family val="1"/>
      </rPr>
      <t xml:space="preserve"> года № _73</t>
    </r>
    <r>
      <rPr>
        <u val="single"/>
        <sz val="10"/>
        <rFont val="Times New Roman"/>
        <family val="1"/>
      </rPr>
      <t>_</t>
    </r>
  </si>
  <si>
    <t>Ведомственная структура расходов бюджета на очередной финансовый  2020 год и плановый период 2021 и 2022 годов (тыс.руб)</t>
  </si>
  <si>
    <t>Расходы на мероприятия по содержанию администрации поселения муниципальной программы "Обеспечение осуществления полномочий и создание условий для деятельности органов местного самоуправления сельского поселения Зайцева Речка"</t>
  </si>
  <si>
    <t>42.0.0.0000</t>
  </si>
  <si>
    <t>Основное мероприятие "Организация и обеспечение мероприятий в сферах гражданской обороны, защиты населения и территории поселения от чрезвычайных ситуаций, обеспечения безопасности людей на водных объектах поселения, охране их жизни и здоровья"</t>
  </si>
  <si>
    <t>Реализация мероприятий по организации и обеспечение мероприятий в сфере гражданской обороны, защиты населения и территории поселения от чрезвычайных ситуаций муниципальной программы "Безопасность жизнедеятельности в сельском поселении Зайцева Речка"</t>
  </si>
  <si>
    <t>42.0.01.99990</t>
  </si>
  <si>
    <t>Основное мероприятие "Обеспечение функционирования внутрипоселковых и подъездных автомобильных дорог сельского поселения"</t>
  </si>
  <si>
    <t>Реализация  мероприятий по функционированию  внутрипоселковых и подъездных автомобильных дорог, а также прочие работы и услуги в рамках муниципальной программы "Развитие транспортной системы сельского поселения Зайцева Речка"</t>
  </si>
  <si>
    <t>Основное мероприятие "Обеспечение доступности населению современных информационных технологий;</t>
  </si>
  <si>
    <t>Субсидия  на содействие  развитию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в рамках МП "Жилищно-коммунальный комплекс и городская среда в сельском поселении Зайцева Речка"</t>
  </si>
  <si>
    <t>Софинансирование субсидии на содействие  развития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в рамках МП "Жилищно-коммунальный комплекс и городская среда в сельском поселении Зайцева Речка"</t>
  </si>
  <si>
    <t>43.0.00.0000</t>
  </si>
  <si>
    <t>49.1.00.00000</t>
  </si>
  <si>
    <r>
      <t>от</t>
    </r>
    <r>
      <rPr>
        <u val="single"/>
        <sz val="10"/>
        <rFont val="Times New Roman"/>
        <family val="1"/>
      </rPr>
      <t>_2020</t>
    </r>
    <r>
      <rPr>
        <sz val="10"/>
        <rFont val="Times New Roman"/>
        <family val="1"/>
      </rPr>
      <t xml:space="preserve"> года № _</t>
    </r>
    <r>
      <rPr>
        <u val="single"/>
        <sz val="10"/>
        <rFont val="Times New Roman"/>
        <family val="1"/>
      </rPr>
      <t>_</t>
    </r>
  </si>
  <si>
    <t>Сельское хозяйство и рыболовство</t>
  </si>
  <si>
    <t xml:space="preserve">Распределение бюджетных ассигнований по разделам и подразделам классификации расходов бюджета поселения на 2020 год и плановый период 2021 и 2022 годов. </t>
  </si>
  <si>
    <r>
      <t>от</t>
    </r>
    <r>
      <rPr>
        <u val="single"/>
        <sz val="10"/>
        <rFont val="Times New Roman"/>
        <family val="1"/>
      </rPr>
      <t>_ 2020</t>
    </r>
    <r>
      <rPr>
        <sz val="10"/>
        <rFont val="Times New Roman"/>
        <family val="1"/>
      </rPr>
      <t xml:space="preserve"> года № _</t>
    </r>
    <r>
      <rPr>
        <u val="single"/>
        <sz val="10"/>
        <rFont val="Times New Roman"/>
        <family val="1"/>
      </rPr>
      <t>_</t>
    </r>
  </si>
  <si>
    <t>Приложение 6 к решению Совета депутатов сельского поселения Зайцева Речка от 02.12.2019 г. № 73</t>
  </si>
  <si>
    <t>Приложение 2  к решению</t>
  </si>
  <si>
    <t>Приложение 3 к решению</t>
  </si>
  <si>
    <t>Приложение 4 к решению Совета депутатов сельского поселения Зайцева Речка от ..2020 г. №</t>
  </si>
  <si>
    <t>Сумма на 2022 год</t>
  </si>
  <si>
    <t>уточнение</t>
  </si>
  <si>
    <t>разница (+;-)</t>
  </si>
  <si>
    <t xml:space="preserve">Основное мероприятие "Обеспечение доступности населению современных информационных технологий" </t>
  </si>
  <si>
    <t>30.0.01.00000</t>
  </si>
  <si>
    <t>Основное мероприятие "Укрепление пожарной безопасности в поселении"</t>
  </si>
  <si>
    <t>42.0.02.99990</t>
  </si>
  <si>
    <t>Реализация мероприятий по укреплению пожарной безопасности в поселении муниципальной программы "Безопасность жизнедеятельности в сельском поселении Зайцева Речка"</t>
  </si>
  <si>
    <t>Направление расходования средств</t>
  </si>
  <si>
    <t>предоставление населению услуг связи по радио релейным линиям РРЛ</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</si>
  <si>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</si>
  <si>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оплата  медкомиссии,  льготного проезда,  оплата договоров на обслуживание, материалы и т.д</t>
  </si>
  <si>
    <t>оплата услуг и работ в сфере гражданской обороны, пожарной безопасности и защиты населения, оплата труда по гражданско-правовым договорам</t>
  </si>
  <si>
    <t>оплата  медкомиссии,  льготного проезда и т.д</t>
  </si>
  <si>
    <t>оплата услуг по оценке имущества, техническая инвентаризация имущества казны, коммунальные услуги по передаваемым квартирам жителям</t>
  </si>
  <si>
    <t>Снос домов, устройство ограждения по улицам поселения, благоустройство придомовых территорий и общественных мест, отлов собак, приобретение урн для раздельного сбора</t>
  </si>
  <si>
    <t>денежные средства на оплату труда и взносов по оплате труда, приобретение основных средств</t>
  </si>
  <si>
    <t>оплата договоров на материально - техническое обслуживание администрации сельского поселения Зайцева Речка</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</si>
</sst>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0;[Red]\-#,##0.00;0.00"/>
    <numFmt numFmtId="173" formatCode="000"/>
    <numFmt numFmtId="174" formatCode="0000000"/>
    <numFmt numFmtId="175" formatCode="00"/>
    <numFmt numFmtId="176" formatCode="#,##0.00_ ;[Red]\-#,##0.00\ "/>
    <numFmt numFmtId="177" formatCode="#,##0.0"/>
    <numFmt numFmtId="178" formatCode="0000"/>
    <numFmt numFmtId="179" formatCode="0.0"/>
    <numFmt numFmtId="180" formatCode="000.0"/>
    <numFmt numFmtId="181" formatCode="000\.00\.000\.0"/>
    <numFmt numFmtId="182" formatCode="000\.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_ ;[Red]\-#,##0.00000\ "/>
    <numFmt numFmtId="189" formatCode="0.00000"/>
    <numFmt numFmtId="190" formatCode="#,##0.00000"/>
    <numFmt numFmtId="191" formatCode="#,##0.0000"/>
    <numFmt numFmtId="192" formatCode="0.0000"/>
  </numFmts>
  <fonts count="114">
    <font>
      <sz val="11"/>
      <color theme="1"/>
      <name val="Calibri"/>
      <family val="2"/>
    </font>
    <font>
      <sz val="10"/>
      <color indexed="8"/>
      <name val="Arial Cyr"/>
      <family val="2"/>
    </font>
    <font>
      <sz val="10"/>
      <name val="Arial"/>
      <family val="2"/>
    </font>
    <font>
      <b/>
      <sz val="8"/>
      <name val="Arial"/>
      <family val="2"/>
    </font>
    <font>
      <b/>
      <sz val="14"/>
      <name val="Times New Roman"/>
      <family val="1"/>
    </font>
    <font>
      <sz val="11"/>
      <color indexed="8"/>
      <name val="Calibri"/>
      <family val="2"/>
    </font>
    <font>
      <b/>
      <sz val="11"/>
      <color indexed="8"/>
      <name val="Calibri"/>
      <family val="2"/>
    </font>
    <font>
      <u val="single"/>
      <sz val="11"/>
      <color indexed="12"/>
      <name val="Calibri"/>
      <family val="2"/>
    </font>
    <font>
      <u val="single"/>
      <sz val="11"/>
      <color indexed="36"/>
      <name val="Calibri"/>
      <family val="2"/>
    </font>
    <font>
      <b/>
      <sz val="8"/>
      <name val="Times New Roman"/>
      <family val="1"/>
    </font>
    <font>
      <b/>
      <i/>
      <sz val="8"/>
      <name val="Times New Roman"/>
      <family val="1"/>
    </font>
    <font>
      <sz val="12"/>
      <name val="Times New Roman"/>
      <family val="1"/>
    </font>
    <font>
      <b/>
      <sz val="12"/>
      <name val="Times New Roman"/>
      <family val="1"/>
    </font>
    <font>
      <sz val="12"/>
      <color indexed="8"/>
      <name val="Times New Roman"/>
      <family val="1"/>
    </font>
    <font>
      <b/>
      <sz val="12"/>
      <color indexed="8"/>
      <name val="Times New Roman"/>
      <family val="1"/>
    </font>
    <font>
      <sz val="10"/>
      <name val="Times New Roman"/>
      <family val="1"/>
    </font>
    <font>
      <sz val="10"/>
      <color indexed="8"/>
      <name val="Times New Roman"/>
      <family val="1"/>
    </font>
    <font>
      <b/>
      <sz val="10"/>
      <name val="Times New Roman"/>
      <family val="1"/>
    </font>
    <font>
      <sz val="12"/>
      <name val="Arial"/>
      <family val="2"/>
    </font>
    <font>
      <sz val="11"/>
      <name val="Arial"/>
      <family val="2"/>
    </font>
    <font>
      <i/>
      <sz val="10"/>
      <name val="Times New Roman"/>
      <family val="1"/>
    </font>
    <font>
      <i/>
      <sz val="10"/>
      <color indexed="8"/>
      <name val="Times New Roman"/>
      <family val="1"/>
    </font>
    <font>
      <sz val="14"/>
      <name val="Times New Roman"/>
      <family val="1"/>
    </font>
    <font>
      <sz val="8"/>
      <name val="Arial"/>
      <family val="2"/>
    </font>
    <font>
      <b/>
      <sz val="18"/>
      <name val="Arial"/>
      <family val="2"/>
    </font>
    <font>
      <sz val="18"/>
      <name val="Arial"/>
      <family val="2"/>
    </font>
    <font>
      <b/>
      <sz val="9"/>
      <name val="Arial"/>
      <family val="2"/>
    </font>
    <font>
      <sz val="9"/>
      <name val="Arial"/>
      <family val="2"/>
    </font>
    <font>
      <b/>
      <sz val="7"/>
      <name val="Arial"/>
      <family val="2"/>
    </font>
    <font>
      <b/>
      <sz val="10"/>
      <name val="Arial"/>
      <family val="2"/>
    </font>
    <font>
      <b/>
      <i/>
      <sz val="8"/>
      <name val="Arial"/>
      <family val="2"/>
    </font>
    <font>
      <b/>
      <sz val="9"/>
      <name val="Times New Roman Cyr"/>
      <family val="1"/>
    </font>
    <font>
      <sz val="9"/>
      <name val="Arial Cyr"/>
      <family val="0"/>
    </font>
    <font>
      <b/>
      <sz val="9"/>
      <name val="Arial Cyr"/>
      <family val="0"/>
    </font>
    <font>
      <b/>
      <sz val="8"/>
      <name val="Arial Cyr"/>
      <family val="0"/>
    </font>
    <font>
      <b/>
      <i/>
      <sz val="10"/>
      <name val="Arial"/>
      <family val="2"/>
    </font>
    <font>
      <b/>
      <sz val="10"/>
      <name val="Arial Cyr"/>
      <family val="0"/>
    </font>
    <font>
      <i/>
      <sz val="8"/>
      <name val="Arial"/>
      <family val="2"/>
    </font>
    <font>
      <sz val="9"/>
      <name val="Times New Roman"/>
      <family val="1"/>
    </font>
    <font>
      <sz val="6"/>
      <name val="Arial"/>
      <family val="2"/>
    </font>
    <font>
      <b/>
      <sz val="9"/>
      <name val="Times New Roman"/>
      <family val="1"/>
    </font>
    <font>
      <b/>
      <i/>
      <sz val="9"/>
      <name val="Times New Roman"/>
      <family val="1"/>
    </font>
    <font>
      <b/>
      <sz val="12"/>
      <name val="Times New Roman CYR"/>
      <family val="0"/>
    </font>
    <font>
      <sz val="12"/>
      <name val="Times New Roman CYR"/>
      <family val="1"/>
    </font>
    <font>
      <b/>
      <sz val="10"/>
      <name val="Times New Roman Cyr"/>
      <family val="0"/>
    </font>
    <font>
      <b/>
      <sz val="9"/>
      <name val="Times New Roman CYR"/>
      <family val="0"/>
    </font>
    <font>
      <sz val="9"/>
      <name val="Times New Roman Cyr"/>
      <family val="1"/>
    </font>
    <font>
      <sz val="9"/>
      <name val="Times New Roman CYR"/>
      <family val="0"/>
    </font>
    <font>
      <i/>
      <sz val="9"/>
      <name val="Times New Roman Cyr"/>
      <family val="0"/>
    </font>
    <font>
      <sz val="10"/>
      <name val="Times New Roman Cyr"/>
      <family val="1"/>
    </font>
    <font>
      <sz val="11"/>
      <name val="Times New Roman Cyr"/>
      <family val="1"/>
    </font>
    <font>
      <u val="single"/>
      <sz val="10"/>
      <name val="Times New Roman"/>
      <family val="1"/>
    </font>
    <font>
      <sz val="11"/>
      <name val="Times New Roman"/>
      <family val="1"/>
    </font>
    <font>
      <b/>
      <i/>
      <sz val="11"/>
      <name val="Arial"/>
      <family val="2"/>
    </font>
    <font>
      <b/>
      <sz val="12.5"/>
      <color indexed="8"/>
      <name val="Times New Roman"/>
      <family val="1"/>
    </font>
    <font>
      <b/>
      <sz val="12.5"/>
      <name val="Times New Roman"/>
      <family val="1"/>
    </font>
    <font>
      <b/>
      <sz val="10"/>
      <color indexed="8"/>
      <name val="Times New Roman"/>
      <family val="1"/>
    </font>
    <font>
      <sz val="8"/>
      <name val="Arial Cyr"/>
      <family val="0"/>
    </font>
    <font>
      <b/>
      <sz val="11"/>
      <name val="Arial"/>
      <family val="2"/>
    </font>
    <font>
      <sz val="8"/>
      <color indexed="10"/>
      <name val="Arial"/>
      <family val="2"/>
    </font>
    <font>
      <sz val="8"/>
      <color indexed="8"/>
      <name val="Times New Roman"/>
      <family val="1"/>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indexed="8"/>
      <name val="Arial"/>
      <family val="2"/>
    </font>
    <font>
      <i/>
      <sz val="11"/>
      <color indexed="8"/>
      <name val="Calibri"/>
      <family val="2"/>
    </font>
    <font>
      <b/>
      <sz val="10"/>
      <color indexed="10"/>
      <name val="Times New Roman"/>
      <family val="1"/>
    </font>
    <font>
      <sz val="10"/>
      <color indexed="8"/>
      <name val="Calibri"/>
      <family val="2"/>
    </font>
    <font>
      <b/>
      <sz val="11"/>
      <color indexed="8"/>
      <name val="Times New Roman"/>
      <family val="1"/>
    </font>
    <font>
      <sz val="11"/>
      <color indexed="8"/>
      <name val="Times New Roman"/>
      <family val="1"/>
    </font>
    <font>
      <sz val="12"/>
      <color indexed="8"/>
      <name val="Calibri"/>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theme="1"/>
      <name val="Times New Roman"/>
      <family val="1"/>
    </font>
    <font>
      <sz val="10"/>
      <color rgb="FF000000"/>
      <name val="Arial"/>
      <family val="2"/>
    </font>
    <font>
      <b/>
      <sz val="12"/>
      <color theme="1"/>
      <name val="Times New Roman"/>
      <family val="1"/>
    </font>
    <font>
      <b/>
      <sz val="10"/>
      <color theme="1"/>
      <name val="Times New Roman"/>
      <family val="1"/>
    </font>
    <font>
      <sz val="10"/>
      <color theme="1"/>
      <name val="Times New Roman"/>
      <family val="1"/>
    </font>
    <font>
      <i/>
      <sz val="10"/>
      <color theme="1"/>
      <name val="Times New Roman"/>
      <family val="1"/>
    </font>
    <font>
      <i/>
      <sz val="11"/>
      <color theme="1"/>
      <name val="Calibri"/>
      <family val="2"/>
    </font>
    <font>
      <b/>
      <sz val="10"/>
      <color rgb="FFFF0000"/>
      <name val="Times New Roman"/>
      <family val="1"/>
    </font>
    <font>
      <b/>
      <sz val="11"/>
      <color theme="1"/>
      <name val="Calibri"/>
      <family val="2"/>
    </font>
    <font>
      <sz val="10"/>
      <color theme="1"/>
      <name val="Calibri"/>
      <family val="2"/>
    </font>
    <font>
      <b/>
      <sz val="11"/>
      <color theme="1"/>
      <name val="Times New Roman"/>
      <family val="1"/>
    </font>
    <font>
      <sz val="11"/>
      <color theme="1"/>
      <name val="Times New Roman"/>
      <family val="1"/>
    </font>
    <font>
      <sz val="12"/>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2" tint="-0.09996999800205231"/>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rgb="FF00B0F0"/>
        <bgColor indexed="64"/>
      </patternFill>
    </fill>
    <fill>
      <patternFill patternType="solid">
        <fgColor theme="2" tint="-0.4999699890613556"/>
        <bgColor indexed="64"/>
      </patternFill>
    </fill>
    <fill>
      <patternFill patternType="solid">
        <fgColor theme="2" tint="-0.8999800086021423"/>
        <bgColor indexed="64"/>
      </patternFill>
    </fill>
    <fill>
      <patternFill patternType="solid">
        <fgColor theme="3" tint="0.7999799847602844"/>
        <bgColor indexed="64"/>
      </patternFill>
    </fill>
    <fill>
      <patternFill patternType="solid">
        <fgColor theme="2"/>
        <bgColor indexed="64"/>
      </patternFill>
    </fill>
    <fill>
      <patternFill patternType="solid">
        <fgColor theme="2" tint="-0.24997000396251678"/>
        <bgColor indexed="64"/>
      </patternFill>
    </fill>
    <fill>
      <patternFill patternType="solid">
        <fgColor theme="3" tint="0.59999001026153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style="thin"/>
      <top style="thin"/>
      <bottom style="thin"/>
    </border>
    <border>
      <left/>
      <right/>
      <top/>
      <bottom style="thin"/>
    </border>
    <border>
      <left style="thin"/>
      <right/>
      <top style="thin"/>
      <bottom/>
    </border>
    <border>
      <left/>
      <right/>
      <top style="thin"/>
      <bottom/>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right/>
      <top style="thin"/>
      <bottom style="thin"/>
    </border>
    <border>
      <left/>
      <right/>
      <top style="medium"/>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medium"/>
      <right style="medium"/>
      <top style="medium"/>
      <bottom/>
    </border>
    <border>
      <left style="medium"/>
      <right/>
      <top/>
      <bottom/>
    </border>
    <border>
      <left style="medium"/>
      <right/>
      <top/>
      <bottom style="medium"/>
    </border>
    <border>
      <left style="medium"/>
      <right style="medium"/>
      <top style="medium"/>
      <bottom style="medium"/>
    </border>
    <border>
      <left style="thin"/>
      <right style="thin"/>
      <top/>
      <bottom style="medium"/>
    </border>
    <border>
      <left/>
      <right/>
      <top/>
      <bottom style="medium"/>
    </border>
    <border>
      <left style="medium"/>
      <right style="medium"/>
      <top/>
      <bottom style="medium"/>
    </border>
    <border>
      <left/>
      <right style="medium"/>
      <top/>
      <bottom/>
    </border>
    <border>
      <left style="medium"/>
      <right style="medium"/>
      <top style="thin"/>
      <bottom style="thin"/>
    </border>
    <border>
      <left style="medium"/>
      <right style="thin"/>
      <top style="thin"/>
      <bottom style="thin"/>
    </border>
    <border>
      <left style="medium"/>
      <right/>
      <top style="thin"/>
      <bottom style="thin"/>
    </border>
    <border>
      <left/>
      <right style="medium"/>
      <top style="thin"/>
      <bottom style="thin"/>
    </border>
    <border>
      <left style="medium"/>
      <right/>
      <top/>
      <bottom style="thin"/>
    </border>
    <border>
      <left style="thin"/>
      <right style="thin"/>
      <top style="medium"/>
      <bottom style="thin"/>
    </border>
    <border>
      <left style="thin"/>
      <right style="medium"/>
      <top style="medium"/>
      <bottom style="thin"/>
    </border>
    <border>
      <left style="thin"/>
      <right/>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top/>
      <bottom/>
    </border>
    <border>
      <left style="medium"/>
      <right style="thin"/>
      <top style="medium"/>
      <bottom style="thin"/>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right style="medium"/>
      <top style="thin"/>
      <bottom style="medium"/>
    </border>
    <border>
      <left style="medium"/>
      <right/>
      <top style="thin"/>
      <bottom style="medium"/>
    </border>
    <border>
      <left style="thin"/>
      <right/>
      <top/>
      <bottom style="medium"/>
    </border>
    <border>
      <left/>
      <right style="thin"/>
      <top/>
      <bottom style="medium"/>
    </border>
    <border>
      <left/>
      <right style="thin"/>
      <top style="thin"/>
      <bottom/>
    </border>
    <border>
      <left/>
      <right style="thin"/>
      <top/>
      <bottom/>
    </border>
    <border>
      <left/>
      <right style="thin"/>
      <top/>
      <bottom style="thin"/>
    </border>
    <border>
      <left style="thin"/>
      <right/>
      <top style="medium"/>
      <bottom style="medium"/>
    </border>
    <border>
      <left style="thin"/>
      <right/>
      <top style="medium"/>
      <bottom/>
    </border>
    <border>
      <left/>
      <right style="thin"/>
      <top style="medium"/>
      <bottom style="medium"/>
    </border>
    <border>
      <left style="thin"/>
      <right style="medium"/>
      <top style="medium"/>
      <bottom style="medium"/>
    </border>
    <border>
      <left/>
      <right style="medium"/>
      <top/>
      <bottom style="thin"/>
    </border>
    <border>
      <left style="medium"/>
      <right style="medium"/>
      <top style="thin"/>
      <bottom style="medium"/>
    </border>
    <border>
      <left style="medium"/>
      <right style="thin"/>
      <top style="thin"/>
      <bottom/>
    </border>
    <border>
      <left style="medium"/>
      <right/>
      <top style="thin"/>
      <bottom/>
    </border>
    <border>
      <left/>
      <right/>
      <top style="medium"/>
      <bottom style="thin"/>
    </border>
    <border>
      <left style="medium"/>
      <right style="medium"/>
      <top/>
      <bottom/>
    </border>
  </borders>
  <cellStyleXfs count="74">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7" borderId="1" applyNumberFormat="0" applyAlignment="0" applyProtection="0"/>
    <xf numFmtId="0" fontId="7" fillId="0" borderId="0" applyNumberForma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8" borderId="7" applyNumberFormat="0" applyAlignment="0" applyProtection="0"/>
    <xf numFmtId="0" fontId="94" fillId="0" borderId="0" applyNumberFormat="0" applyFill="0" applyBorder="0" applyAlignment="0" applyProtection="0"/>
    <xf numFmtId="0" fontId="9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pplyNumberFormat="0" applyFill="0" applyBorder="0" applyAlignment="0" applyProtection="0"/>
    <xf numFmtId="0" fontId="96" fillId="30" borderId="0" applyNumberFormat="0" applyBorder="0" applyAlignment="0" applyProtection="0"/>
    <xf numFmtId="0" fontId="97" fillId="0" borderId="0" applyNumberFormat="0" applyFill="0" applyBorder="0" applyAlignment="0" applyProtection="0"/>
    <xf numFmtId="0" fontId="5" fillId="31" borderId="8" applyNumberFormat="0" applyFont="0" applyAlignment="0" applyProtection="0"/>
    <xf numFmtId="9" fontId="5"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100" fillId="32" borderId="0" applyNumberFormat="0" applyBorder="0" applyAlignment="0" applyProtection="0"/>
  </cellStyleXfs>
  <cellXfs count="1579">
    <xf numFmtId="0" fontId="0" fillId="0" borderId="0" xfId="0" applyFont="1" applyAlignment="1">
      <alignment/>
    </xf>
    <xf numFmtId="0" fontId="15" fillId="0" borderId="0" xfId="53" applyFont="1">
      <alignment/>
      <protection/>
    </xf>
    <xf numFmtId="0" fontId="15" fillId="0" borderId="0" xfId="53" applyFont="1" applyAlignment="1">
      <alignment/>
      <protection/>
    </xf>
    <xf numFmtId="0" fontId="16" fillId="0" borderId="0" xfId="0" applyFont="1" applyAlignment="1">
      <alignment/>
    </xf>
    <xf numFmtId="0" fontId="17" fillId="0" borderId="0" xfId="53" applyFont="1" applyAlignment="1">
      <alignment horizontal="center" wrapText="1"/>
      <protection/>
    </xf>
    <xf numFmtId="0" fontId="15" fillId="0" borderId="10" xfId="53" applyNumberFormat="1" applyFont="1" applyFill="1" applyBorder="1" applyAlignment="1" applyProtection="1">
      <alignment horizontal="center" vertical="center" wrapText="1"/>
      <protection hidden="1"/>
    </xf>
    <xf numFmtId="0" fontId="15" fillId="0" borderId="11" xfId="53" applyNumberFormat="1" applyFont="1" applyFill="1" applyBorder="1" applyAlignment="1" applyProtection="1">
      <alignment horizontal="center" vertical="center" wrapText="1"/>
      <protection hidden="1"/>
    </xf>
    <xf numFmtId="0" fontId="14" fillId="33" borderId="12" xfId="0" applyNumberFormat="1" applyFont="1" applyFill="1" applyBorder="1" applyAlignment="1">
      <alignment horizontal="left" vertical="center" wrapText="1"/>
    </xf>
    <xf numFmtId="173" fontId="12" fillId="33" borderId="12" xfId="53" applyNumberFormat="1" applyFont="1" applyFill="1" applyBorder="1" applyAlignment="1" applyProtection="1">
      <alignment horizontal="center" vertical="center" wrapText="1"/>
      <protection hidden="1"/>
    </xf>
    <xf numFmtId="0" fontId="14" fillId="33" borderId="13" xfId="0" applyNumberFormat="1" applyFont="1" applyFill="1" applyBorder="1" applyAlignment="1">
      <alignment horizontal="left" vertical="center" wrapText="1"/>
    </xf>
    <xf numFmtId="173" fontId="12" fillId="33" borderId="13" xfId="53" applyNumberFormat="1" applyFont="1" applyFill="1" applyBorder="1" applyAlignment="1" applyProtection="1">
      <alignment horizontal="center" vertical="center" wrapText="1"/>
      <protection hidden="1"/>
    </xf>
    <xf numFmtId="0" fontId="14" fillId="33" borderId="13" xfId="0" applyFont="1" applyFill="1" applyBorder="1" applyAlignment="1">
      <alignment vertical="center" wrapText="1"/>
    </xf>
    <xf numFmtId="49" fontId="14" fillId="33" borderId="13" xfId="0" applyNumberFormat="1" applyFont="1" applyFill="1" applyBorder="1" applyAlignment="1">
      <alignment horizontal="center" vertical="center"/>
    </xf>
    <xf numFmtId="0" fontId="13" fillId="33" borderId="13" xfId="0" applyNumberFormat="1" applyFont="1" applyFill="1" applyBorder="1" applyAlignment="1">
      <alignment horizontal="left" vertical="center" wrapText="1"/>
    </xf>
    <xf numFmtId="0" fontId="13" fillId="33" borderId="14" xfId="0" applyFont="1" applyFill="1" applyBorder="1" applyAlignment="1">
      <alignment horizontal="center" vertical="center"/>
    </xf>
    <xf numFmtId="49" fontId="13" fillId="33" borderId="13" xfId="0" applyNumberFormat="1" applyFont="1" applyFill="1" applyBorder="1" applyAlignment="1">
      <alignment horizontal="center" vertical="center"/>
    </xf>
    <xf numFmtId="0" fontId="13" fillId="33" borderId="13" xfId="0" applyFont="1" applyFill="1" applyBorder="1" applyAlignment="1">
      <alignment vertical="center" wrapText="1"/>
    </xf>
    <xf numFmtId="173" fontId="12" fillId="33" borderId="14" xfId="53" applyNumberFormat="1" applyFont="1" applyFill="1" applyBorder="1" applyAlignment="1" applyProtection="1">
      <alignment horizontal="center" vertical="center" wrapText="1"/>
      <protection hidden="1"/>
    </xf>
    <xf numFmtId="173" fontId="11" fillId="33" borderId="14" xfId="53" applyNumberFormat="1" applyFont="1" applyFill="1" applyBorder="1" applyAlignment="1" applyProtection="1">
      <alignment horizontal="center" vertical="center" wrapText="1"/>
      <protection hidden="1"/>
    </xf>
    <xf numFmtId="49" fontId="14" fillId="33" borderId="13" xfId="0" applyNumberFormat="1" applyFont="1" applyFill="1" applyBorder="1" applyAlignment="1">
      <alignment vertical="center" wrapText="1"/>
    </xf>
    <xf numFmtId="49" fontId="14" fillId="33" borderId="12" xfId="0" applyNumberFormat="1" applyFont="1" applyFill="1" applyBorder="1" applyAlignment="1">
      <alignment horizontal="center" vertical="center"/>
    </xf>
    <xf numFmtId="0" fontId="13" fillId="33" borderId="0" xfId="0" applyNumberFormat="1" applyFont="1" applyFill="1" applyBorder="1" applyAlignment="1">
      <alignment horizontal="left" vertical="center" wrapText="1"/>
    </xf>
    <xf numFmtId="49" fontId="13" fillId="33" borderId="12" xfId="0" applyNumberFormat="1" applyFont="1" applyFill="1" applyBorder="1" applyAlignment="1">
      <alignment horizontal="center" vertical="center"/>
    </xf>
    <xf numFmtId="0" fontId="11" fillId="33" borderId="13" xfId="0" applyNumberFormat="1" applyFont="1" applyFill="1" applyBorder="1" applyAlignment="1">
      <alignment horizontal="left" vertical="center" wrapText="1"/>
    </xf>
    <xf numFmtId="0" fontId="11" fillId="33" borderId="13" xfId="0" applyFont="1" applyFill="1" applyBorder="1" applyAlignment="1">
      <alignment vertical="center" wrapText="1"/>
    </xf>
    <xf numFmtId="49" fontId="14" fillId="33" borderId="13" xfId="0" applyNumberFormat="1" applyFont="1" applyFill="1" applyBorder="1" applyAlignment="1">
      <alignment horizontal="left" vertical="center" wrapText="1"/>
    </xf>
    <xf numFmtId="0" fontId="13" fillId="33" borderId="0" xfId="0" applyFont="1" applyFill="1" applyAlignment="1">
      <alignment vertical="center"/>
    </xf>
    <xf numFmtId="49" fontId="13" fillId="33" borderId="13" xfId="0" applyNumberFormat="1" applyFont="1" applyFill="1" applyBorder="1" applyAlignment="1">
      <alignment vertical="center" wrapText="1"/>
    </xf>
    <xf numFmtId="0" fontId="14" fillId="33" borderId="0" xfId="0" applyFont="1" applyFill="1" applyAlignment="1">
      <alignment vertical="center" wrapText="1"/>
    </xf>
    <xf numFmtId="0" fontId="101" fillId="33" borderId="13" xfId="0" applyFont="1" applyFill="1" applyBorder="1" applyAlignment="1">
      <alignment horizontal="justify" vertical="center" wrapText="1"/>
    </xf>
    <xf numFmtId="0" fontId="2" fillId="0" borderId="0" xfId="60" applyProtection="1">
      <alignment/>
      <protection hidden="1"/>
    </xf>
    <xf numFmtId="49" fontId="2" fillId="0" borderId="0" xfId="60" applyNumberFormat="1" applyAlignment="1" applyProtection="1">
      <alignment horizontal="center" vertical="center"/>
      <protection hidden="1"/>
    </xf>
    <xf numFmtId="0" fontId="2" fillId="34" borderId="0" xfId="60" applyFill="1" applyProtection="1">
      <alignment/>
      <protection hidden="1"/>
    </xf>
    <xf numFmtId="4" fontId="2" fillId="0" borderId="0" xfId="60" applyNumberFormat="1" applyProtection="1">
      <alignment/>
      <protection hidden="1"/>
    </xf>
    <xf numFmtId="0" fontId="2" fillId="35" borderId="0" xfId="60" applyFill="1" applyProtection="1">
      <alignment/>
      <protection hidden="1"/>
    </xf>
    <xf numFmtId="0" fontId="2" fillId="36" borderId="0" xfId="60" applyFill="1" applyProtection="1">
      <alignment/>
      <protection hidden="1"/>
    </xf>
    <xf numFmtId="4" fontId="2" fillId="37" borderId="0" xfId="60" applyNumberFormat="1" applyFill="1" applyProtection="1">
      <alignment/>
      <protection hidden="1"/>
    </xf>
    <xf numFmtId="4" fontId="2" fillId="36" borderId="0" xfId="60" applyNumberFormat="1" applyFill="1" applyProtection="1">
      <alignment/>
      <protection hidden="1"/>
    </xf>
    <xf numFmtId="0" fontId="2" fillId="0" borderId="0" xfId="60" applyFill="1" applyBorder="1">
      <alignment/>
      <protection/>
    </xf>
    <xf numFmtId="0" fontId="2" fillId="0" borderId="0" xfId="60">
      <alignment/>
      <protection/>
    </xf>
    <xf numFmtId="0" fontId="23" fillId="0" borderId="0" xfId="60" applyNumberFormat="1" applyFont="1" applyFill="1" applyAlignment="1" applyProtection="1">
      <alignment/>
      <protection hidden="1"/>
    </xf>
    <xf numFmtId="0" fontId="23" fillId="12" borderId="0" xfId="60" applyNumberFormat="1" applyFont="1" applyFill="1" applyAlignment="1" applyProtection="1">
      <alignment/>
      <protection hidden="1"/>
    </xf>
    <xf numFmtId="49" fontId="24" fillId="0" borderId="0" xfId="60" applyNumberFormat="1" applyFont="1" applyFill="1" applyAlignment="1" applyProtection="1">
      <alignment horizontal="center" vertical="center"/>
      <protection hidden="1"/>
    </xf>
    <xf numFmtId="4" fontId="2" fillId="0" borderId="15" xfId="60" applyNumberFormat="1" applyBorder="1" applyAlignment="1" applyProtection="1">
      <alignment/>
      <protection hidden="1"/>
    </xf>
    <xf numFmtId="0" fontId="3" fillId="0" borderId="0" xfId="60" applyNumberFormat="1" applyFont="1" applyFill="1" applyAlignment="1" applyProtection="1">
      <alignment/>
      <protection hidden="1"/>
    </xf>
    <xf numFmtId="0" fontId="2" fillId="12" borderId="16" xfId="60" applyFont="1" applyFill="1" applyBorder="1" applyAlignment="1" applyProtection="1">
      <alignment/>
      <protection hidden="1"/>
    </xf>
    <xf numFmtId="0" fontId="2" fillId="12" borderId="17" xfId="60" applyFont="1" applyFill="1" applyBorder="1" applyAlignment="1" applyProtection="1">
      <alignment/>
      <protection hidden="1"/>
    </xf>
    <xf numFmtId="49" fontId="23" fillId="0" borderId="0" xfId="60" applyNumberFormat="1" applyFont="1" applyFill="1" applyAlignment="1" applyProtection="1">
      <alignment horizontal="center" vertical="center"/>
      <protection hidden="1"/>
    </xf>
    <xf numFmtId="0" fontId="2" fillId="0" borderId="0" xfId="60" applyNumberFormat="1" applyFont="1" applyFill="1" applyAlignment="1" applyProtection="1">
      <alignment horizontal="center" vertical="center"/>
      <protection hidden="1"/>
    </xf>
    <xf numFmtId="0" fontId="2" fillId="34" borderId="0" xfId="60" applyNumberFormat="1" applyFont="1" applyFill="1" applyAlignment="1" applyProtection="1">
      <alignment horizontal="center" vertical="center"/>
      <protection hidden="1"/>
    </xf>
    <xf numFmtId="4" fontId="2" fillId="38" borderId="13" xfId="60" applyNumberFormat="1" applyFill="1" applyBorder="1" applyProtection="1">
      <alignment/>
      <protection hidden="1"/>
    </xf>
    <xf numFmtId="0" fontId="2" fillId="35" borderId="13" xfId="60" applyFont="1" applyFill="1" applyBorder="1" applyAlignment="1" applyProtection="1">
      <alignment/>
      <protection hidden="1"/>
    </xf>
    <xf numFmtId="0" fontId="2" fillId="35" borderId="13" xfId="60" applyFill="1" applyBorder="1" applyProtection="1">
      <alignment/>
      <protection hidden="1"/>
    </xf>
    <xf numFmtId="0" fontId="2" fillId="13" borderId="0" xfId="60" applyFill="1" applyProtection="1">
      <alignment/>
      <protection hidden="1"/>
    </xf>
    <xf numFmtId="4" fontId="2" fillId="13" borderId="0" xfId="60" applyNumberFormat="1" applyFill="1" applyProtection="1">
      <alignment/>
      <protection hidden="1"/>
    </xf>
    <xf numFmtId="0" fontId="25" fillId="39" borderId="0" xfId="60" applyFont="1" applyFill="1" applyBorder="1">
      <alignment/>
      <protection/>
    </xf>
    <xf numFmtId="0" fontId="26" fillId="0" borderId="0" xfId="60" applyNumberFormat="1" applyFont="1" applyFill="1" applyAlignment="1" applyProtection="1">
      <alignment horizontal="centerContinuous"/>
      <protection hidden="1"/>
    </xf>
    <xf numFmtId="0" fontId="3" fillId="0" borderId="0" xfId="60" applyNumberFormat="1" applyFont="1" applyFill="1" applyAlignment="1" applyProtection="1">
      <alignment horizontal="centerContinuous" vertical="center"/>
      <protection hidden="1"/>
    </xf>
    <xf numFmtId="0" fontId="2" fillId="12" borderId="18" xfId="60" applyFont="1" applyFill="1" applyBorder="1" applyAlignment="1" applyProtection="1">
      <alignment/>
      <protection hidden="1"/>
    </xf>
    <xf numFmtId="0" fontId="2" fillId="12" borderId="15" xfId="60" applyFont="1" applyFill="1" applyBorder="1" applyAlignment="1" applyProtection="1">
      <alignment/>
      <protection hidden="1"/>
    </xf>
    <xf numFmtId="49" fontId="3" fillId="40" borderId="0" xfId="60" applyNumberFormat="1" applyFont="1" applyFill="1" applyAlignment="1" applyProtection="1">
      <alignment horizontal="center" vertical="center"/>
      <protection hidden="1"/>
    </xf>
    <xf numFmtId="0" fontId="2" fillId="40" borderId="0" xfId="60" applyNumberFormat="1" applyFont="1" applyFill="1" applyAlignment="1" applyProtection="1">
      <alignment horizontal="centerContinuous" vertical="center"/>
      <protection hidden="1"/>
    </xf>
    <xf numFmtId="0" fontId="2" fillId="40" borderId="0" xfId="60" applyNumberFormat="1" applyFont="1" applyFill="1" applyAlignment="1" applyProtection="1">
      <alignment horizontal="centerContinuous"/>
      <protection hidden="1"/>
    </xf>
    <xf numFmtId="0" fontId="2" fillId="40" borderId="0" xfId="60" applyFont="1" applyFill="1" applyProtection="1">
      <alignment/>
      <protection hidden="1"/>
    </xf>
    <xf numFmtId="0" fontId="2" fillId="40" borderId="0" xfId="60" applyFill="1" applyProtection="1">
      <alignment/>
      <protection hidden="1"/>
    </xf>
    <xf numFmtId="4" fontId="2" fillId="40" borderId="13" xfId="60" applyNumberFormat="1" applyFill="1" applyBorder="1" applyProtection="1">
      <alignment/>
      <protection hidden="1"/>
    </xf>
    <xf numFmtId="0" fontId="2" fillId="40" borderId="13" xfId="60" applyFont="1" applyFill="1" applyBorder="1" applyProtection="1">
      <alignment/>
      <protection hidden="1"/>
    </xf>
    <xf numFmtId="3" fontId="27" fillId="12" borderId="13" xfId="60" applyNumberFormat="1" applyFont="1" applyFill="1" applyBorder="1" applyProtection="1">
      <alignment/>
      <protection hidden="1"/>
    </xf>
    <xf numFmtId="0" fontId="2" fillId="12" borderId="13" xfId="60" applyFill="1" applyBorder="1" applyProtection="1">
      <alignment/>
      <protection hidden="1"/>
    </xf>
    <xf numFmtId="0" fontId="3" fillId="12" borderId="0" xfId="60" applyNumberFormat="1" applyFont="1" applyFill="1" applyAlignment="1" applyProtection="1">
      <alignment horizontal="centerContinuous" vertical="center"/>
      <protection hidden="1"/>
    </xf>
    <xf numFmtId="0" fontId="2" fillId="40" borderId="13" xfId="60" applyFill="1" applyBorder="1" applyProtection="1">
      <alignment/>
      <protection hidden="1"/>
    </xf>
    <xf numFmtId="4" fontId="2" fillId="40" borderId="19" xfId="60" applyNumberFormat="1" applyFill="1" applyBorder="1" applyProtection="1">
      <alignment/>
      <protection hidden="1"/>
    </xf>
    <xf numFmtId="4" fontId="2" fillId="13" borderId="13" xfId="60" applyNumberFormat="1" applyFill="1" applyBorder="1" applyProtection="1">
      <alignment/>
      <protection hidden="1"/>
    </xf>
    <xf numFmtId="0" fontId="23" fillId="0" borderId="0" xfId="60" applyNumberFormat="1" applyFont="1" applyFill="1" applyAlignment="1" applyProtection="1">
      <alignment horizontal="centerContinuous" vertical="center"/>
      <protection hidden="1"/>
    </xf>
    <xf numFmtId="0" fontId="23" fillId="12" borderId="0" xfId="60" applyNumberFormat="1" applyFont="1" applyFill="1" applyAlignment="1" applyProtection="1">
      <alignment horizontal="centerContinuous" vertical="center"/>
      <protection hidden="1"/>
    </xf>
    <xf numFmtId="49" fontId="23" fillId="40" borderId="0" xfId="60" applyNumberFormat="1" applyFont="1" applyFill="1" applyAlignment="1" applyProtection="1">
      <alignment horizontal="center" vertical="center"/>
      <protection hidden="1"/>
    </xf>
    <xf numFmtId="4" fontId="2" fillId="40" borderId="13" xfId="60" applyNumberFormat="1" applyFont="1" applyFill="1" applyBorder="1" applyAlignment="1" applyProtection="1">
      <alignment horizontal="centerContinuous"/>
      <protection hidden="1"/>
    </xf>
    <xf numFmtId="4" fontId="2" fillId="40" borderId="13" xfId="60" applyNumberFormat="1" applyFont="1" applyFill="1" applyBorder="1" applyProtection="1">
      <alignment/>
      <protection hidden="1"/>
    </xf>
    <xf numFmtId="4" fontId="2" fillId="40" borderId="20" xfId="60" applyNumberFormat="1" applyFill="1" applyBorder="1" applyProtection="1">
      <alignment/>
      <protection hidden="1"/>
    </xf>
    <xf numFmtId="4" fontId="2" fillId="40" borderId="21" xfId="60" applyNumberFormat="1" applyFont="1" applyFill="1" applyBorder="1" applyAlignment="1" applyProtection="1">
      <alignment horizontal="centerContinuous"/>
      <protection hidden="1"/>
    </xf>
    <xf numFmtId="4" fontId="2" fillId="40" borderId="14" xfId="60" applyNumberFormat="1" applyFont="1" applyFill="1" applyBorder="1" applyAlignment="1" applyProtection="1">
      <alignment horizontal="centerContinuous"/>
      <protection hidden="1"/>
    </xf>
    <xf numFmtId="4" fontId="2" fillId="40" borderId="21" xfId="60" applyNumberFormat="1" applyFill="1" applyBorder="1" applyAlignment="1" applyProtection="1">
      <alignment horizontal="center"/>
      <protection hidden="1"/>
    </xf>
    <xf numFmtId="4" fontId="2" fillId="40" borderId="22" xfId="60" applyNumberFormat="1" applyFill="1" applyBorder="1" applyAlignment="1" applyProtection="1">
      <alignment horizontal="center"/>
      <protection hidden="1"/>
    </xf>
    <xf numFmtId="4" fontId="2" fillId="0" borderId="0" xfId="60" applyNumberFormat="1" applyFill="1" applyBorder="1">
      <alignment/>
      <protection/>
    </xf>
    <xf numFmtId="4" fontId="27" fillId="12" borderId="13" xfId="60" applyNumberFormat="1" applyFont="1" applyFill="1" applyBorder="1" applyProtection="1">
      <alignment/>
      <protection hidden="1"/>
    </xf>
    <xf numFmtId="4" fontId="2" fillId="12" borderId="13" xfId="60" applyNumberFormat="1" applyFill="1" applyBorder="1" applyProtection="1">
      <alignment/>
      <protection hidden="1"/>
    </xf>
    <xf numFmtId="4" fontId="15" fillId="40" borderId="13" xfId="0" applyNumberFormat="1" applyFont="1" applyFill="1" applyBorder="1" applyAlignment="1">
      <alignment/>
    </xf>
    <xf numFmtId="4" fontId="2" fillId="40" borderId="0" xfId="60" applyNumberFormat="1" applyFill="1" applyProtection="1">
      <alignment/>
      <protection hidden="1"/>
    </xf>
    <xf numFmtId="4" fontId="2" fillId="40" borderId="0" xfId="60" applyNumberFormat="1" applyFont="1" applyFill="1" applyProtection="1">
      <alignment/>
      <protection hidden="1"/>
    </xf>
    <xf numFmtId="4" fontId="2" fillId="40" borderId="12" xfId="60" applyNumberFormat="1" applyFill="1" applyBorder="1" applyProtection="1">
      <alignment/>
      <protection hidden="1"/>
    </xf>
    <xf numFmtId="0" fontId="28" fillId="0" borderId="23" xfId="60" applyNumberFormat="1" applyFont="1" applyFill="1" applyBorder="1" applyAlignment="1" applyProtection="1">
      <alignment/>
      <protection hidden="1"/>
    </xf>
    <xf numFmtId="0" fontId="28" fillId="0" borderId="24" xfId="60" applyNumberFormat="1" applyFont="1" applyFill="1" applyBorder="1" applyAlignment="1" applyProtection="1">
      <alignment horizontal="center" vertical="center" wrapText="1"/>
      <protection hidden="1"/>
    </xf>
    <xf numFmtId="0" fontId="28" fillId="0" borderId="25" xfId="60" applyNumberFormat="1" applyFont="1" applyFill="1" applyBorder="1" applyAlignment="1" applyProtection="1">
      <alignment horizontal="centerContinuous" vertical="center"/>
      <protection hidden="1"/>
    </xf>
    <xf numFmtId="0" fontId="28" fillId="0" borderId="26" xfId="60" applyNumberFormat="1" applyFont="1" applyFill="1" applyBorder="1" applyAlignment="1" applyProtection="1">
      <alignment horizontal="centerContinuous" vertical="center"/>
      <protection hidden="1"/>
    </xf>
    <xf numFmtId="0" fontId="28" fillId="0" borderId="27" xfId="60" applyNumberFormat="1" applyFont="1" applyFill="1" applyBorder="1" applyAlignment="1" applyProtection="1">
      <alignment horizontal="centerContinuous" vertical="center"/>
      <protection hidden="1"/>
    </xf>
    <xf numFmtId="49" fontId="28" fillId="0" borderId="26" xfId="60" applyNumberFormat="1" applyFont="1" applyFill="1" applyBorder="1" applyAlignment="1" applyProtection="1">
      <alignment horizontal="center" vertical="center"/>
      <protection hidden="1"/>
    </xf>
    <xf numFmtId="0" fontId="28" fillId="0" borderId="23" xfId="60" applyNumberFormat="1" applyFont="1" applyFill="1" applyBorder="1" applyAlignment="1" applyProtection="1">
      <alignment horizontal="center" vertical="center" wrapText="1"/>
      <protection hidden="1"/>
    </xf>
    <xf numFmtId="0" fontId="28" fillId="34" borderId="28" xfId="60" applyNumberFormat="1" applyFont="1" applyFill="1" applyBorder="1" applyAlignment="1" applyProtection="1">
      <alignment horizontal="center"/>
      <protection hidden="1"/>
    </xf>
    <xf numFmtId="0" fontId="28" fillId="34" borderId="23" xfId="60" applyNumberFormat="1" applyFont="1" applyFill="1" applyBorder="1" applyAlignment="1" applyProtection="1">
      <alignment horizontal="center"/>
      <protection hidden="1"/>
    </xf>
    <xf numFmtId="4" fontId="28" fillId="0" borderId="23" xfId="60" applyNumberFormat="1" applyFont="1" applyFill="1" applyBorder="1" applyAlignment="1" applyProtection="1">
      <alignment horizontal="center"/>
      <protection hidden="1"/>
    </xf>
    <xf numFmtId="0" fontId="28" fillId="35" borderId="23" xfId="60" applyNumberFormat="1" applyFont="1" applyFill="1" applyBorder="1" applyAlignment="1" applyProtection="1">
      <alignment horizontal="center" vertical="center" wrapText="1"/>
      <protection hidden="1"/>
    </xf>
    <xf numFmtId="0" fontId="28" fillId="35" borderId="24" xfId="60" applyNumberFormat="1" applyFont="1" applyFill="1" applyBorder="1" applyAlignment="1" applyProtection="1">
      <alignment horizontal="center" vertical="center" wrapText="1"/>
      <protection hidden="1"/>
    </xf>
    <xf numFmtId="0" fontId="29" fillId="0" borderId="29" xfId="60" applyNumberFormat="1" applyFont="1" applyFill="1" applyBorder="1" applyAlignment="1" applyProtection="1">
      <alignment horizontal="center" vertical="center" wrapText="1"/>
      <protection hidden="1"/>
    </xf>
    <xf numFmtId="4" fontId="29" fillId="37" borderId="29" xfId="60" applyNumberFormat="1" applyFont="1" applyFill="1" applyBorder="1" applyAlignment="1" applyProtection="1">
      <alignment horizontal="center" vertical="center" wrapText="1"/>
      <protection hidden="1"/>
    </xf>
    <xf numFmtId="4" fontId="29" fillId="0" borderId="29" xfId="60" applyNumberFormat="1" applyFont="1" applyFill="1" applyBorder="1" applyAlignment="1" applyProtection="1">
      <alignment horizontal="center" vertical="center" wrapText="1"/>
      <protection hidden="1"/>
    </xf>
    <xf numFmtId="0" fontId="28" fillId="0" borderId="24" xfId="60" applyNumberFormat="1" applyFont="1" applyFill="1" applyBorder="1" applyAlignment="1" applyProtection="1">
      <alignment horizontal="center" wrapText="1"/>
      <protection hidden="1"/>
    </xf>
    <xf numFmtId="0" fontId="28" fillId="0" borderId="30" xfId="60" applyNumberFormat="1" applyFont="1" applyFill="1" applyBorder="1" applyAlignment="1" applyProtection="1">
      <alignment horizontal="center" wrapText="1"/>
      <protection hidden="1"/>
    </xf>
    <xf numFmtId="0" fontId="2" fillId="0" borderId="0" xfId="60" applyNumberFormat="1" applyFont="1" applyFill="1" applyAlignment="1" applyProtection="1">
      <alignment/>
      <protection hidden="1"/>
    </xf>
    <xf numFmtId="0" fontId="28" fillId="0" borderId="0" xfId="60" applyNumberFormat="1" applyFont="1" applyFill="1" applyAlignment="1" applyProtection="1">
      <alignment/>
      <protection hidden="1"/>
    </xf>
    <xf numFmtId="0" fontId="28" fillId="0" borderId="31" xfId="60" applyNumberFormat="1" applyFont="1" applyFill="1" applyBorder="1" applyAlignment="1" applyProtection="1">
      <alignment/>
      <protection hidden="1"/>
    </xf>
    <xf numFmtId="0" fontId="28" fillId="0" borderId="25" xfId="60" applyNumberFormat="1" applyFont="1" applyFill="1" applyBorder="1" applyAlignment="1" applyProtection="1">
      <alignment horizontal="center" vertical="center" wrapText="1"/>
      <protection hidden="1"/>
    </xf>
    <xf numFmtId="0" fontId="28" fillId="0" borderId="32" xfId="60" applyNumberFormat="1" applyFont="1" applyFill="1" applyBorder="1" applyAlignment="1" applyProtection="1">
      <alignment horizontal="center" vertical="center" wrapText="1"/>
      <protection hidden="1"/>
    </xf>
    <xf numFmtId="49" fontId="28" fillId="0" borderId="31" xfId="60" applyNumberFormat="1" applyFont="1" applyFill="1" applyBorder="1" applyAlignment="1" applyProtection="1">
      <alignment horizontal="center" vertical="center" wrapText="1"/>
      <protection hidden="1"/>
    </xf>
    <xf numFmtId="0" fontId="28" fillId="0" borderId="31" xfId="60" applyNumberFormat="1" applyFont="1" applyFill="1" applyBorder="1" applyAlignment="1" applyProtection="1">
      <alignment horizontal="center" vertical="center" wrapText="1"/>
      <protection hidden="1"/>
    </xf>
    <xf numFmtId="0" fontId="28" fillId="34" borderId="33" xfId="60" applyNumberFormat="1" applyFont="1" applyFill="1" applyBorder="1" applyAlignment="1" applyProtection="1">
      <alignment/>
      <protection hidden="1"/>
    </xf>
    <xf numFmtId="0" fontId="28" fillId="34" borderId="34" xfId="60" applyNumberFormat="1" applyFont="1" applyFill="1" applyBorder="1" applyAlignment="1" applyProtection="1">
      <alignment/>
      <protection hidden="1"/>
    </xf>
    <xf numFmtId="4" fontId="28" fillId="0" borderId="34" xfId="60" applyNumberFormat="1" applyFont="1" applyFill="1" applyBorder="1" applyAlignment="1" applyProtection="1">
      <alignment/>
      <protection hidden="1"/>
    </xf>
    <xf numFmtId="0" fontId="28" fillId="35" borderId="34" xfId="60" applyNumberFormat="1" applyFont="1" applyFill="1" applyBorder="1" applyAlignment="1" applyProtection="1">
      <alignment horizontal="center" vertical="center" wrapText="1"/>
      <protection hidden="1"/>
    </xf>
    <xf numFmtId="0" fontId="28" fillId="35" borderId="31" xfId="60" applyNumberFormat="1" applyFont="1" applyFill="1" applyBorder="1" applyAlignment="1" applyProtection="1">
      <alignment horizontal="center" vertical="center" wrapText="1"/>
      <protection hidden="1"/>
    </xf>
    <xf numFmtId="0" fontId="29" fillId="0" borderId="35" xfId="60" applyNumberFormat="1" applyFont="1" applyFill="1" applyBorder="1" applyAlignment="1" applyProtection="1">
      <alignment horizontal="center" vertical="center" wrapText="1"/>
      <protection hidden="1"/>
    </xf>
    <xf numFmtId="4" fontId="29" fillId="37" borderId="35" xfId="60" applyNumberFormat="1" applyFont="1" applyFill="1" applyBorder="1" applyAlignment="1" applyProtection="1">
      <alignment horizontal="center" vertical="center" wrapText="1"/>
      <protection hidden="1"/>
    </xf>
    <xf numFmtId="4" fontId="29" fillId="0" borderId="35" xfId="60" applyNumberFormat="1" applyFont="1" applyFill="1" applyBorder="1" applyAlignment="1" applyProtection="1">
      <alignment horizontal="center" vertical="center" wrapText="1"/>
      <protection hidden="1"/>
    </xf>
    <xf numFmtId="0" fontId="28" fillId="0" borderId="30" xfId="60" applyNumberFormat="1" applyFont="1" applyFill="1" applyBorder="1" applyAlignment="1" applyProtection="1">
      <alignment horizontal="center" vertical="center" wrapText="1"/>
      <protection hidden="1"/>
    </xf>
    <xf numFmtId="0" fontId="2" fillId="0" borderId="23" xfId="60" applyNumberFormat="1" applyFont="1" applyFill="1" applyBorder="1" applyAlignment="1" applyProtection="1">
      <alignment horizontal="centerContinuous"/>
      <protection hidden="1"/>
    </xf>
    <xf numFmtId="0" fontId="3" fillId="0" borderId="24" xfId="60" applyNumberFormat="1" applyFont="1" applyFill="1" applyBorder="1" applyAlignment="1" applyProtection="1">
      <alignment horizontal="centerContinuous"/>
      <protection hidden="1"/>
    </xf>
    <xf numFmtId="0" fontId="3" fillId="0" borderId="24" xfId="60" applyNumberFormat="1" applyFont="1" applyFill="1" applyBorder="1" applyAlignment="1" applyProtection="1">
      <alignment horizontal="center" vertical="center"/>
      <protection hidden="1"/>
    </xf>
    <xf numFmtId="0" fontId="3" fillId="0" borderId="29" xfId="60" applyNumberFormat="1" applyFont="1" applyFill="1" applyBorder="1" applyAlignment="1" applyProtection="1">
      <alignment horizontal="center" vertical="center"/>
      <protection hidden="1"/>
    </xf>
    <xf numFmtId="49" fontId="3" fillId="0" borderId="24" xfId="60" applyNumberFormat="1" applyFont="1" applyFill="1" applyBorder="1" applyAlignment="1" applyProtection="1">
      <alignment horizontal="center" vertical="center"/>
      <protection hidden="1"/>
    </xf>
    <xf numFmtId="0" fontId="3" fillId="0" borderId="24" xfId="60" applyNumberFormat="1" applyFont="1" applyFill="1" applyBorder="1" applyAlignment="1" applyProtection="1">
      <alignment horizontal="center"/>
      <protection hidden="1"/>
    </xf>
    <xf numFmtId="0" fontId="2" fillId="0" borderId="28" xfId="60" applyNumberFormat="1" applyFont="1" applyFill="1" applyBorder="1" applyAlignment="1" applyProtection="1">
      <alignment horizontal="centerContinuous"/>
      <protection hidden="1"/>
    </xf>
    <xf numFmtId="4" fontId="2" fillId="0" borderId="23" xfId="60" applyNumberFormat="1" applyFont="1" applyFill="1" applyBorder="1" applyAlignment="1" applyProtection="1">
      <alignment horizontal="centerContinuous"/>
      <protection hidden="1"/>
    </xf>
    <xf numFmtId="0" fontId="3" fillId="0" borderId="23" xfId="60" applyNumberFormat="1" applyFont="1" applyFill="1" applyBorder="1" applyAlignment="1" applyProtection="1">
      <alignment horizontal="center"/>
      <protection hidden="1"/>
    </xf>
    <xf numFmtId="1" fontId="3" fillId="0" borderId="24" xfId="60" applyNumberFormat="1" applyFont="1" applyFill="1" applyBorder="1" applyAlignment="1" applyProtection="1">
      <alignment horizontal="center" vertical="center"/>
      <protection hidden="1"/>
    </xf>
    <xf numFmtId="172" fontId="30" fillId="41" borderId="19" xfId="60" applyNumberFormat="1" applyFont="1" applyFill="1" applyBorder="1" applyAlignment="1" applyProtection="1">
      <alignment wrapText="1"/>
      <protection hidden="1"/>
    </xf>
    <xf numFmtId="4" fontId="3" fillId="37" borderId="29" xfId="60" applyNumberFormat="1" applyFont="1" applyFill="1" applyBorder="1" applyAlignment="1" applyProtection="1">
      <alignment horizontal="center" vertical="center"/>
      <protection hidden="1"/>
    </xf>
    <xf numFmtId="4" fontId="3" fillId="0" borderId="29" xfId="60" applyNumberFormat="1" applyFont="1" applyFill="1" applyBorder="1" applyAlignment="1" applyProtection="1">
      <alignment horizontal="center" vertical="center"/>
      <protection hidden="1"/>
    </xf>
    <xf numFmtId="0" fontId="3" fillId="0" borderId="24" xfId="60" applyNumberFormat="1" applyFont="1" applyFill="1" applyBorder="1" applyAlignment="1" applyProtection="1">
      <alignment/>
      <protection hidden="1"/>
    </xf>
    <xf numFmtId="0" fontId="3" fillId="0" borderId="30" xfId="60" applyNumberFormat="1" applyFont="1" applyFill="1" applyBorder="1" applyAlignment="1" applyProtection="1">
      <alignment/>
      <protection hidden="1"/>
    </xf>
    <xf numFmtId="0" fontId="2" fillId="0" borderId="0" xfId="60" applyNumberFormat="1" applyFont="1" applyFill="1" applyBorder="1" applyAlignment="1" applyProtection="1">
      <alignment horizontal="centerContinuous"/>
      <protection hidden="1"/>
    </xf>
    <xf numFmtId="0" fontId="29" fillId="42" borderId="13" xfId="60" applyFont="1" applyFill="1" applyBorder="1">
      <alignment/>
      <protection/>
    </xf>
    <xf numFmtId="0" fontId="3" fillId="42" borderId="13" xfId="60" applyNumberFormat="1" applyFont="1" applyFill="1" applyBorder="1" applyAlignment="1" applyProtection="1">
      <alignment horizontal="center" vertical="center"/>
      <protection hidden="1"/>
    </xf>
    <xf numFmtId="49" fontId="3" fillId="42" borderId="13" xfId="60" applyNumberFormat="1" applyFont="1" applyFill="1" applyBorder="1" applyAlignment="1" applyProtection="1">
      <alignment horizontal="center" vertical="center"/>
      <protection hidden="1"/>
    </xf>
    <xf numFmtId="0" fontId="3" fillId="42" borderId="13" xfId="60" applyNumberFormat="1" applyFont="1" applyFill="1" applyBorder="1" applyAlignment="1" applyProtection="1">
      <alignment horizontal="center"/>
      <protection hidden="1"/>
    </xf>
    <xf numFmtId="0" fontId="2" fillId="42" borderId="13" xfId="60" applyNumberFormat="1" applyFont="1" applyFill="1" applyBorder="1" applyAlignment="1" applyProtection="1">
      <alignment horizontal="centerContinuous"/>
      <protection hidden="1"/>
    </xf>
    <xf numFmtId="4" fontId="2" fillId="42" borderId="13" xfId="60" applyNumberFormat="1" applyFont="1" applyFill="1" applyBorder="1" applyAlignment="1" applyProtection="1">
      <alignment horizontal="centerContinuous"/>
      <protection hidden="1"/>
    </xf>
    <xf numFmtId="1" fontId="3" fillId="42" borderId="13" xfId="60" applyNumberFormat="1" applyFont="1" applyFill="1" applyBorder="1" applyAlignment="1" applyProtection="1">
      <alignment horizontal="center" vertical="center"/>
      <protection hidden="1"/>
    </xf>
    <xf numFmtId="172" fontId="30" fillId="42" borderId="13" xfId="60" applyNumberFormat="1" applyFont="1" applyFill="1" applyBorder="1" applyAlignment="1" applyProtection="1">
      <alignment wrapText="1"/>
      <protection hidden="1"/>
    </xf>
    <xf numFmtId="4" fontId="3" fillId="37" borderId="13" xfId="60" applyNumberFormat="1" applyFont="1" applyFill="1" applyBorder="1" applyAlignment="1" applyProtection="1">
      <alignment horizontal="center" vertical="center"/>
      <protection hidden="1"/>
    </xf>
    <xf numFmtId="4" fontId="3" fillId="42" borderId="13" xfId="60" applyNumberFormat="1" applyFont="1" applyFill="1" applyBorder="1" applyAlignment="1" applyProtection="1">
      <alignment horizontal="center" vertical="center"/>
      <protection hidden="1"/>
    </xf>
    <xf numFmtId="0" fontId="3" fillId="0" borderId="0" xfId="60" applyNumberFormat="1" applyFont="1" applyFill="1" applyBorder="1" applyAlignment="1" applyProtection="1">
      <alignment/>
      <protection hidden="1"/>
    </xf>
    <xf numFmtId="0" fontId="3" fillId="0" borderId="0" xfId="60" applyNumberFormat="1" applyFont="1" applyFill="1" applyBorder="1" applyAlignment="1" applyProtection="1">
      <alignment horizontal="center"/>
      <protection hidden="1"/>
    </xf>
    <xf numFmtId="0" fontId="2" fillId="0" borderId="36" xfId="60" applyBorder="1" applyProtection="1">
      <alignment/>
      <protection hidden="1"/>
    </xf>
    <xf numFmtId="0" fontId="2" fillId="0" borderId="30" xfId="60" applyNumberFormat="1" applyFont="1" applyFill="1" applyBorder="1" applyAlignment="1" applyProtection="1">
      <alignment/>
      <protection hidden="1"/>
    </xf>
    <xf numFmtId="0" fontId="2" fillId="0" borderId="36" xfId="60" applyFill="1" applyBorder="1" applyProtection="1">
      <alignment/>
      <protection hidden="1"/>
    </xf>
    <xf numFmtId="181" fontId="23" fillId="0" borderId="37" xfId="60" applyNumberFormat="1" applyFont="1" applyFill="1" applyBorder="1" applyAlignment="1" applyProtection="1">
      <alignment wrapText="1"/>
      <protection hidden="1"/>
    </xf>
    <xf numFmtId="181" fontId="30" fillId="0" borderId="37" xfId="60" applyNumberFormat="1" applyFont="1" applyFill="1" applyBorder="1" applyAlignment="1" applyProtection="1">
      <alignment wrapText="1"/>
      <protection hidden="1"/>
    </xf>
    <xf numFmtId="181" fontId="23" fillId="0" borderId="38" xfId="60" applyNumberFormat="1" applyFont="1" applyFill="1" applyBorder="1" applyAlignment="1" applyProtection="1">
      <alignment wrapText="1"/>
      <protection hidden="1"/>
    </xf>
    <xf numFmtId="178" fontId="23" fillId="0" borderId="13" xfId="60" applyNumberFormat="1" applyFont="1" applyFill="1" applyBorder="1" applyAlignment="1" applyProtection="1">
      <alignment/>
      <protection hidden="1"/>
    </xf>
    <xf numFmtId="173" fontId="23" fillId="0" borderId="13" xfId="60" applyNumberFormat="1" applyFont="1" applyFill="1" applyBorder="1" applyAlignment="1" applyProtection="1">
      <alignment wrapText="1"/>
      <protection hidden="1"/>
    </xf>
    <xf numFmtId="174" fontId="23" fillId="0" borderId="12" xfId="60" applyNumberFormat="1" applyFont="1" applyFill="1" applyBorder="1" applyAlignment="1" applyProtection="1">
      <alignment/>
      <protection hidden="1"/>
    </xf>
    <xf numFmtId="173" fontId="23" fillId="0" borderId="13" xfId="60" applyNumberFormat="1" applyFont="1" applyFill="1" applyBorder="1" applyAlignment="1" applyProtection="1">
      <alignment/>
      <protection hidden="1"/>
    </xf>
    <xf numFmtId="49" fontId="23" fillId="0" borderId="13" xfId="60" applyNumberFormat="1" applyFont="1" applyFill="1" applyBorder="1" applyAlignment="1" applyProtection="1">
      <alignment horizontal="center" vertical="center"/>
      <protection hidden="1"/>
    </xf>
    <xf numFmtId="172" fontId="23" fillId="0" borderId="13" xfId="60" applyNumberFormat="1" applyFont="1" applyFill="1" applyBorder="1" applyAlignment="1" applyProtection="1">
      <alignment/>
      <protection hidden="1"/>
    </xf>
    <xf numFmtId="172" fontId="23" fillId="0" borderId="13" xfId="60" applyNumberFormat="1" applyFont="1" applyFill="1" applyBorder="1" applyAlignment="1" applyProtection="1">
      <alignment wrapText="1"/>
      <protection hidden="1"/>
    </xf>
    <xf numFmtId="4" fontId="23" fillId="0" borderId="22" xfId="60" applyNumberFormat="1" applyFont="1" applyFill="1" applyBorder="1" applyAlignment="1" applyProtection="1">
      <alignment wrapText="1"/>
      <protection hidden="1"/>
    </xf>
    <xf numFmtId="172" fontId="23" fillId="38" borderId="13" xfId="60" applyNumberFormat="1" applyFont="1" applyFill="1" applyBorder="1" applyAlignment="1" applyProtection="1">
      <alignment wrapText="1"/>
      <protection hidden="1"/>
    </xf>
    <xf numFmtId="4" fontId="23" fillId="37" borderId="13" xfId="60" applyNumberFormat="1" applyFont="1" applyFill="1" applyBorder="1" applyAlignment="1" applyProtection="1">
      <alignment wrapText="1"/>
      <protection hidden="1"/>
    </xf>
    <xf numFmtId="4" fontId="23" fillId="0" borderId="13" xfId="60" applyNumberFormat="1" applyFont="1" applyFill="1" applyBorder="1" applyAlignment="1" applyProtection="1">
      <alignment wrapText="1"/>
      <protection hidden="1"/>
    </xf>
    <xf numFmtId="172" fontId="23" fillId="0" borderId="37" xfId="60" applyNumberFormat="1" applyFont="1" applyFill="1" applyBorder="1" applyAlignment="1" applyProtection="1">
      <alignment/>
      <protection hidden="1"/>
    </xf>
    <xf numFmtId="40" fontId="23" fillId="0" borderId="37" xfId="60" applyNumberFormat="1" applyFont="1" applyFill="1" applyBorder="1" applyAlignment="1" applyProtection="1">
      <alignment/>
      <protection hidden="1"/>
    </xf>
    <xf numFmtId="10" fontId="23" fillId="0" borderId="37" xfId="60" applyNumberFormat="1" applyFont="1" applyFill="1" applyBorder="1" applyAlignment="1" applyProtection="1">
      <alignment/>
      <protection hidden="1"/>
    </xf>
    <xf numFmtId="0" fontId="2" fillId="0" borderId="0" xfId="60" applyFill="1" applyProtection="1">
      <alignment/>
      <protection hidden="1"/>
    </xf>
    <xf numFmtId="176" fontId="2" fillId="0" borderId="0" xfId="60" applyNumberFormat="1" applyFill="1" applyBorder="1">
      <alignment/>
      <protection/>
    </xf>
    <xf numFmtId="0" fontId="2" fillId="0" borderId="0" xfId="60" applyFill="1">
      <alignment/>
      <protection/>
    </xf>
    <xf numFmtId="181" fontId="30" fillId="0" borderId="39" xfId="60" applyNumberFormat="1" applyFont="1" applyFill="1" applyBorder="1" applyAlignment="1" applyProtection="1">
      <alignment wrapText="1"/>
      <protection hidden="1"/>
    </xf>
    <xf numFmtId="181" fontId="30" fillId="0" borderId="22" xfId="60" applyNumberFormat="1" applyFont="1" applyFill="1" applyBorder="1" applyAlignment="1" applyProtection="1">
      <alignment wrapText="1"/>
      <protection hidden="1"/>
    </xf>
    <xf numFmtId="181" fontId="30" fillId="0" borderId="14" xfId="60" applyNumberFormat="1" applyFont="1" applyFill="1" applyBorder="1" applyAlignment="1" applyProtection="1">
      <alignment wrapText="1"/>
      <protection hidden="1"/>
    </xf>
    <xf numFmtId="172" fontId="30" fillId="0" borderId="21" xfId="60" applyNumberFormat="1" applyFont="1" applyFill="1" applyBorder="1" applyAlignment="1" applyProtection="1">
      <alignment wrapText="1"/>
      <protection hidden="1"/>
    </xf>
    <xf numFmtId="172" fontId="30" fillId="0" borderId="13" xfId="60" applyNumberFormat="1" applyFont="1" applyFill="1" applyBorder="1" applyAlignment="1" applyProtection="1">
      <alignment wrapText="1"/>
      <protection hidden="1"/>
    </xf>
    <xf numFmtId="4" fontId="3" fillId="0" borderId="13" xfId="60" applyNumberFormat="1" applyFont="1" applyFill="1" applyBorder="1" applyAlignment="1" applyProtection="1">
      <alignment wrapText="1"/>
      <protection hidden="1"/>
    </xf>
    <xf numFmtId="172" fontId="30" fillId="38" borderId="13" xfId="60" applyNumberFormat="1" applyFont="1" applyFill="1" applyBorder="1" applyAlignment="1" applyProtection="1">
      <alignment wrapText="1"/>
      <protection hidden="1"/>
    </xf>
    <xf numFmtId="4" fontId="30" fillId="37" borderId="21" xfId="60" applyNumberFormat="1" applyFont="1" applyFill="1" applyBorder="1" applyAlignment="1" applyProtection="1">
      <alignment wrapText="1"/>
      <protection hidden="1"/>
    </xf>
    <xf numFmtId="4" fontId="30" fillId="0" borderId="21" xfId="60" applyNumberFormat="1" applyFont="1" applyFill="1" applyBorder="1" applyAlignment="1" applyProtection="1">
      <alignment wrapText="1"/>
      <protection hidden="1"/>
    </xf>
    <xf numFmtId="172" fontId="30" fillId="0" borderId="22" xfId="60" applyNumberFormat="1" applyFont="1" applyFill="1" applyBorder="1" applyAlignment="1" applyProtection="1">
      <alignment/>
      <protection hidden="1"/>
    </xf>
    <xf numFmtId="172" fontId="23" fillId="0" borderId="40" xfId="60" applyNumberFormat="1" applyFont="1" applyFill="1" applyBorder="1" applyAlignment="1" applyProtection="1">
      <alignment/>
      <protection hidden="1"/>
    </xf>
    <xf numFmtId="172" fontId="23" fillId="0" borderId="39" xfId="60" applyNumberFormat="1" applyFont="1" applyFill="1" applyBorder="1" applyAlignment="1" applyProtection="1">
      <alignment/>
      <protection hidden="1"/>
    </xf>
    <xf numFmtId="10" fontId="23" fillId="0" borderId="40" xfId="60" applyNumberFormat="1" applyFont="1" applyFill="1" applyBorder="1" applyAlignment="1" applyProtection="1">
      <alignment/>
      <protection hidden="1"/>
    </xf>
    <xf numFmtId="181" fontId="30" fillId="0" borderId="41" xfId="60" applyNumberFormat="1" applyFont="1" applyFill="1" applyBorder="1" applyAlignment="1" applyProtection="1">
      <alignment wrapText="1"/>
      <protection hidden="1"/>
    </xf>
    <xf numFmtId="181" fontId="30" fillId="0" borderId="15" xfId="60" applyNumberFormat="1" applyFont="1" applyFill="1" applyBorder="1" applyAlignment="1" applyProtection="1">
      <alignment wrapText="1"/>
      <protection hidden="1"/>
    </xf>
    <xf numFmtId="172" fontId="30" fillId="37" borderId="13" xfId="60" applyNumberFormat="1" applyFont="1" applyFill="1" applyBorder="1" applyAlignment="1" applyProtection="1">
      <alignment wrapText="1"/>
      <protection hidden="1"/>
    </xf>
    <xf numFmtId="181" fontId="30" fillId="0" borderId="40" xfId="60" applyNumberFormat="1" applyFont="1" applyFill="1" applyBorder="1" applyAlignment="1" applyProtection="1">
      <alignment wrapText="1"/>
      <protection hidden="1"/>
    </xf>
    <xf numFmtId="40" fontId="23" fillId="38" borderId="13" xfId="60" applyNumberFormat="1" applyFont="1" applyFill="1" applyBorder="1" applyAlignment="1" applyProtection="1">
      <alignment/>
      <protection hidden="1"/>
    </xf>
    <xf numFmtId="172" fontId="23" fillId="43" borderId="13" xfId="60" applyNumberFormat="1" applyFont="1" applyFill="1" applyBorder="1" applyAlignment="1" applyProtection="1">
      <alignment/>
      <protection hidden="1"/>
    </xf>
    <xf numFmtId="4" fontId="23" fillId="37" borderId="13" xfId="60" applyNumberFormat="1" applyFont="1" applyFill="1" applyBorder="1" applyAlignment="1" applyProtection="1">
      <alignment/>
      <protection hidden="1"/>
    </xf>
    <xf numFmtId="4" fontId="23" fillId="0" borderId="13" xfId="60" applyNumberFormat="1" applyFont="1" applyFill="1" applyBorder="1" applyAlignment="1" applyProtection="1">
      <alignment/>
      <protection hidden="1"/>
    </xf>
    <xf numFmtId="40" fontId="23" fillId="0" borderId="13" xfId="60" applyNumberFormat="1" applyFont="1" applyFill="1" applyBorder="1" applyAlignment="1" applyProtection="1">
      <alignment/>
      <protection hidden="1"/>
    </xf>
    <xf numFmtId="0" fontId="32" fillId="0" borderId="13" xfId="0" applyFont="1" applyFill="1" applyBorder="1" applyAlignment="1">
      <alignment horizontal="center" wrapText="1"/>
    </xf>
    <xf numFmtId="4" fontId="32" fillId="37" borderId="13" xfId="0" applyNumberFormat="1" applyFont="1" applyFill="1" applyBorder="1" applyAlignment="1">
      <alignment horizontal="center" wrapText="1"/>
    </xf>
    <xf numFmtId="4" fontId="32" fillId="0" borderId="13" xfId="0" applyNumberFormat="1" applyFont="1" applyFill="1" applyBorder="1" applyAlignment="1">
      <alignment horizontal="center" wrapText="1"/>
    </xf>
    <xf numFmtId="178" fontId="23" fillId="0" borderId="19" xfId="60" applyNumberFormat="1" applyFont="1" applyFill="1" applyBorder="1" applyAlignment="1" applyProtection="1">
      <alignment/>
      <protection hidden="1"/>
    </xf>
    <xf numFmtId="173" fontId="23" fillId="0" borderId="19" xfId="60" applyNumberFormat="1" applyFont="1" applyFill="1" applyBorder="1" applyAlignment="1" applyProtection="1">
      <alignment wrapText="1"/>
      <protection hidden="1"/>
    </xf>
    <xf numFmtId="173" fontId="23" fillId="0" borderId="19" xfId="60" applyNumberFormat="1" applyFont="1" applyFill="1" applyBorder="1" applyAlignment="1" applyProtection="1">
      <alignment/>
      <protection hidden="1"/>
    </xf>
    <xf numFmtId="49" fontId="23" fillId="0" borderId="19" xfId="60" applyNumberFormat="1" applyFont="1" applyFill="1" applyBorder="1" applyAlignment="1" applyProtection="1">
      <alignment horizontal="center" vertical="center"/>
      <protection hidden="1"/>
    </xf>
    <xf numFmtId="172" fontId="23" fillId="0" borderId="19" xfId="60" applyNumberFormat="1" applyFont="1" applyFill="1" applyBorder="1" applyAlignment="1" applyProtection="1">
      <alignment/>
      <protection hidden="1"/>
    </xf>
    <xf numFmtId="172" fontId="23" fillId="0" borderId="19" xfId="60" applyNumberFormat="1" applyFont="1" applyFill="1" applyBorder="1" applyAlignment="1" applyProtection="1">
      <alignment wrapText="1"/>
      <protection hidden="1"/>
    </xf>
    <xf numFmtId="0" fontId="32" fillId="0" borderId="19" xfId="0" applyFont="1" applyFill="1" applyBorder="1" applyAlignment="1">
      <alignment horizontal="center" wrapText="1"/>
    </xf>
    <xf numFmtId="4" fontId="32" fillId="37" borderId="19" xfId="0" applyNumberFormat="1" applyFont="1" applyFill="1" applyBorder="1" applyAlignment="1">
      <alignment horizontal="center" wrapText="1"/>
    </xf>
    <xf numFmtId="4" fontId="32" fillId="0" borderId="19" xfId="0" applyNumberFormat="1" applyFont="1" applyFill="1" applyBorder="1" applyAlignment="1">
      <alignment horizontal="center" wrapText="1"/>
    </xf>
    <xf numFmtId="178" fontId="23" fillId="0" borderId="42" xfId="60" applyNumberFormat="1" applyFont="1" applyFill="1" applyBorder="1" applyAlignment="1" applyProtection="1">
      <alignment/>
      <protection hidden="1"/>
    </xf>
    <xf numFmtId="173" fontId="23" fillId="0" borderId="42" xfId="60" applyNumberFormat="1" applyFont="1" applyFill="1" applyBorder="1" applyAlignment="1" applyProtection="1">
      <alignment wrapText="1"/>
      <protection hidden="1"/>
    </xf>
    <xf numFmtId="173" fontId="23" fillId="0" borderId="42" xfId="60" applyNumberFormat="1" applyFont="1" applyFill="1" applyBorder="1" applyAlignment="1" applyProtection="1">
      <alignment/>
      <protection hidden="1"/>
    </xf>
    <xf numFmtId="49" fontId="23" fillId="0" borderId="42" xfId="60" applyNumberFormat="1" applyFont="1" applyFill="1" applyBorder="1" applyAlignment="1" applyProtection="1">
      <alignment horizontal="center" vertical="center"/>
      <protection hidden="1"/>
    </xf>
    <xf numFmtId="172" fontId="23" fillId="0" borderId="42" xfId="60" applyNumberFormat="1" applyFont="1" applyFill="1" applyBorder="1" applyAlignment="1" applyProtection="1">
      <alignment/>
      <protection hidden="1"/>
    </xf>
    <xf numFmtId="172" fontId="23" fillId="0" borderId="42" xfId="60" applyNumberFormat="1" applyFont="1" applyFill="1" applyBorder="1" applyAlignment="1" applyProtection="1">
      <alignment wrapText="1"/>
      <protection hidden="1"/>
    </xf>
    <xf numFmtId="172" fontId="23" fillId="43" borderId="42" xfId="60" applyNumberFormat="1" applyFont="1" applyFill="1" applyBorder="1" applyAlignment="1" applyProtection="1">
      <alignment wrapText="1"/>
      <protection hidden="1"/>
    </xf>
    <xf numFmtId="0" fontId="32" fillId="0" borderId="43" xfId="0" applyFont="1" applyFill="1" applyBorder="1" applyAlignment="1">
      <alignment horizontal="center" wrapText="1"/>
    </xf>
    <xf numFmtId="4" fontId="32" fillId="37" borderId="44" xfId="0" applyNumberFormat="1" applyFont="1" applyFill="1" applyBorder="1" applyAlignment="1">
      <alignment horizontal="center" wrapText="1"/>
    </xf>
    <xf numFmtId="4" fontId="32" fillId="0" borderId="44" xfId="0" applyNumberFormat="1" applyFont="1" applyFill="1" applyBorder="1" applyAlignment="1">
      <alignment horizontal="center" wrapText="1"/>
    </xf>
    <xf numFmtId="0" fontId="32" fillId="0" borderId="45" xfId="0" applyFont="1" applyFill="1" applyBorder="1" applyAlignment="1">
      <alignment horizontal="center" wrapText="1"/>
    </xf>
    <xf numFmtId="4" fontId="32" fillId="37" borderId="21" xfId="0" applyNumberFormat="1" applyFont="1" applyFill="1" applyBorder="1" applyAlignment="1">
      <alignment horizontal="center" wrapText="1"/>
    </xf>
    <xf numFmtId="4" fontId="32" fillId="0" borderId="21" xfId="0" applyNumberFormat="1" applyFont="1" applyFill="1" applyBorder="1" applyAlignment="1">
      <alignment horizontal="center" wrapText="1"/>
    </xf>
    <xf numFmtId="0" fontId="29" fillId="0" borderId="36" xfId="60" applyFont="1" applyFill="1" applyBorder="1" applyProtection="1">
      <alignment/>
      <protection hidden="1"/>
    </xf>
    <xf numFmtId="181" fontId="3" fillId="0" borderId="37" xfId="60" applyNumberFormat="1" applyFont="1" applyFill="1" applyBorder="1" applyAlignment="1" applyProtection="1">
      <alignment wrapText="1"/>
      <protection hidden="1"/>
    </xf>
    <xf numFmtId="178" fontId="3" fillId="0" borderId="46" xfId="60" applyNumberFormat="1" applyFont="1" applyFill="1" applyBorder="1" applyAlignment="1" applyProtection="1">
      <alignment/>
      <protection hidden="1"/>
    </xf>
    <xf numFmtId="173" fontId="3" fillId="0" borderId="46" xfId="60" applyNumberFormat="1" applyFont="1" applyFill="1" applyBorder="1" applyAlignment="1" applyProtection="1">
      <alignment wrapText="1"/>
      <protection hidden="1"/>
    </xf>
    <xf numFmtId="172" fontId="3" fillId="0" borderId="46" xfId="60" applyNumberFormat="1" applyFont="1" applyFill="1" applyBorder="1" applyAlignment="1" applyProtection="1">
      <alignment/>
      <protection hidden="1"/>
    </xf>
    <xf numFmtId="172" fontId="3" fillId="0" borderId="46" xfId="60" applyNumberFormat="1" applyFont="1" applyFill="1" applyBorder="1" applyAlignment="1" applyProtection="1">
      <alignment wrapText="1"/>
      <protection hidden="1"/>
    </xf>
    <xf numFmtId="4" fontId="3" fillId="0" borderId="46" xfId="60" applyNumberFormat="1" applyFont="1" applyFill="1" applyBorder="1" applyAlignment="1" applyProtection="1">
      <alignment wrapText="1"/>
      <protection hidden="1"/>
    </xf>
    <xf numFmtId="172" fontId="23" fillId="0" borderId="46" xfId="60" applyNumberFormat="1" applyFont="1" applyFill="1" applyBorder="1" applyAlignment="1" applyProtection="1">
      <alignment wrapText="1"/>
      <protection hidden="1"/>
    </xf>
    <xf numFmtId="0" fontId="32" fillId="0" borderId="47" xfId="0" applyFont="1" applyFill="1" applyBorder="1" applyAlignment="1">
      <alignment horizontal="center" wrapText="1"/>
    </xf>
    <xf numFmtId="4" fontId="32" fillId="37" borderId="48" xfId="0" applyNumberFormat="1" applyFont="1" applyFill="1" applyBorder="1" applyAlignment="1">
      <alignment horizontal="center" wrapText="1"/>
    </xf>
    <xf numFmtId="4" fontId="33" fillId="0" borderId="48" xfId="0" applyNumberFormat="1" applyFont="1" applyFill="1" applyBorder="1" applyAlignment="1">
      <alignment horizontal="center" wrapText="1"/>
    </xf>
    <xf numFmtId="172" fontId="3" fillId="0" borderId="37" xfId="60" applyNumberFormat="1" applyFont="1" applyFill="1" applyBorder="1" applyAlignment="1" applyProtection="1">
      <alignment/>
      <protection hidden="1"/>
    </xf>
    <xf numFmtId="40" fontId="3" fillId="0" borderId="37" xfId="60" applyNumberFormat="1" applyFont="1" applyFill="1" applyBorder="1" applyAlignment="1" applyProtection="1">
      <alignment/>
      <protection hidden="1"/>
    </xf>
    <xf numFmtId="10" fontId="3" fillId="0" borderId="37" xfId="60" applyNumberFormat="1" applyFont="1" applyFill="1" applyBorder="1" applyAlignment="1" applyProtection="1">
      <alignment/>
      <protection hidden="1"/>
    </xf>
    <xf numFmtId="0" fontId="29" fillId="0" borderId="30" xfId="60" applyNumberFormat="1" applyFont="1" applyFill="1" applyBorder="1" applyAlignment="1" applyProtection="1">
      <alignment/>
      <protection hidden="1"/>
    </xf>
    <xf numFmtId="0" fontId="29" fillId="0" borderId="0" xfId="60" applyFont="1" applyFill="1" applyProtection="1">
      <alignment/>
      <protection hidden="1"/>
    </xf>
    <xf numFmtId="0" fontId="29" fillId="0" borderId="0" xfId="60" applyFont="1" applyFill="1" applyBorder="1">
      <alignment/>
      <protection/>
    </xf>
    <xf numFmtId="0" fontId="29" fillId="0" borderId="0" xfId="60" applyFont="1" applyFill="1">
      <alignment/>
      <protection/>
    </xf>
    <xf numFmtId="178" fontId="23" fillId="0" borderId="12" xfId="60" applyNumberFormat="1" applyFont="1" applyFill="1" applyBorder="1" applyAlignment="1" applyProtection="1">
      <alignment/>
      <protection hidden="1"/>
    </xf>
    <xf numFmtId="173" fontId="23" fillId="0" borderId="12" xfId="60" applyNumberFormat="1" applyFont="1" applyFill="1" applyBorder="1" applyAlignment="1" applyProtection="1">
      <alignment wrapText="1"/>
      <protection hidden="1"/>
    </xf>
    <xf numFmtId="173" fontId="23" fillId="0" borderId="12" xfId="60" applyNumberFormat="1" applyFont="1" applyFill="1" applyBorder="1" applyAlignment="1" applyProtection="1">
      <alignment/>
      <protection hidden="1"/>
    </xf>
    <xf numFmtId="49" fontId="23" fillId="0" borderId="12" xfId="60" applyNumberFormat="1" applyFont="1" applyFill="1" applyBorder="1" applyAlignment="1" applyProtection="1">
      <alignment horizontal="center" vertical="center"/>
      <protection hidden="1"/>
    </xf>
    <xf numFmtId="172" fontId="23" fillId="0" borderId="12" xfId="60" applyNumberFormat="1" applyFont="1" applyFill="1" applyBorder="1" applyAlignment="1" applyProtection="1">
      <alignment/>
      <protection hidden="1"/>
    </xf>
    <xf numFmtId="172" fontId="23" fillId="0" borderId="12" xfId="60" applyNumberFormat="1" applyFont="1" applyFill="1" applyBorder="1" applyAlignment="1" applyProtection="1">
      <alignment wrapText="1"/>
      <protection hidden="1"/>
    </xf>
    <xf numFmtId="4" fontId="23" fillId="0" borderId="12" xfId="60" applyNumberFormat="1" applyFont="1" applyFill="1" applyBorder="1" applyAlignment="1" applyProtection="1">
      <alignment wrapText="1"/>
      <protection hidden="1"/>
    </xf>
    <xf numFmtId="4" fontId="32" fillId="37" borderId="49" xfId="0" applyNumberFormat="1" applyFont="1" applyFill="1" applyBorder="1" applyAlignment="1">
      <alignment horizontal="center" wrapText="1"/>
    </xf>
    <xf numFmtId="4" fontId="32" fillId="0" borderId="49" xfId="0" applyNumberFormat="1" applyFont="1" applyFill="1" applyBorder="1" applyAlignment="1">
      <alignment horizontal="center" wrapText="1"/>
    </xf>
    <xf numFmtId="2" fontId="23" fillId="0" borderId="22" xfId="60" applyNumberFormat="1" applyFont="1" applyFill="1" applyBorder="1" applyAlignment="1" applyProtection="1">
      <alignment wrapText="1"/>
      <protection hidden="1"/>
    </xf>
    <xf numFmtId="172" fontId="23" fillId="0" borderId="22" xfId="60" applyNumberFormat="1" applyFont="1" applyFill="1" applyBorder="1" applyAlignment="1" applyProtection="1">
      <alignment/>
      <protection hidden="1"/>
    </xf>
    <xf numFmtId="174" fontId="23" fillId="0" borderId="13" xfId="60" applyNumberFormat="1" applyFont="1" applyFill="1" applyBorder="1" applyAlignment="1" applyProtection="1">
      <alignment/>
      <protection hidden="1"/>
    </xf>
    <xf numFmtId="172" fontId="30" fillId="0" borderId="13" xfId="60" applyNumberFormat="1" applyFont="1" applyFill="1" applyBorder="1" applyAlignment="1" applyProtection="1">
      <alignment/>
      <protection hidden="1"/>
    </xf>
    <xf numFmtId="40" fontId="30" fillId="0" borderId="21" xfId="60" applyNumberFormat="1" applyFont="1" applyFill="1" applyBorder="1" applyAlignment="1" applyProtection="1">
      <alignment/>
      <protection hidden="1"/>
    </xf>
    <xf numFmtId="172" fontId="30" fillId="0" borderId="21" xfId="60" applyNumberFormat="1" applyFont="1" applyFill="1" applyBorder="1" applyAlignment="1" applyProtection="1">
      <alignment/>
      <protection hidden="1"/>
    </xf>
    <xf numFmtId="4" fontId="30" fillId="37" borderId="21" xfId="60" applyNumberFormat="1" applyFont="1" applyFill="1" applyBorder="1" applyAlignment="1" applyProtection="1">
      <alignment/>
      <protection hidden="1"/>
    </xf>
    <xf numFmtId="4" fontId="30" fillId="0" borderId="21" xfId="60" applyNumberFormat="1" applyFont="1" applyFill="1" applyBorder="1" applyAlignment="1" applyProtection="1">
      <alignment/>
      <protection hidden="1"/>
    </xf>
    <xf numFmtId="181" fontId="30" fillId="44" borderId="0" xfId="60" applyNumberFormat="1" applyFont="1" applyFill="1" applyBorder="1" applyAlignment="1" applyProtection="1">
      <alignment horizontal="center" wrapText="1"/>
      <protection hidden="1"/>
    </xf>
    <xf numFmtId="4" fontId="30" fillId="37" borderId="0" xfId="60" applyNumberFormat="1" applyFont="1" applyFill="1" applyBorder="1" applyAlignment="1" applyProtection="1">
      <alignment horizontal="center" wrapText="1"/>
      <protection hidden="1"/>
    </xf>
    <xf numFmtId="4" fontId="30" fillId="44" borderId="0" xfId="60" applyNumberFormat="1" applyFont="1" applyFill="1" applyBorder="1" applyAlignment="1" applyProtection="1">
      <alignment horizontal="center" wrapText="1"/>
      <protection hidden="1"/>
    </xf>
    <xf numFmtId="172" fontId="3" fillId="0" borderId="22" xfId="60" applyNumberFormat="1" applyFont="1" applyFill="1" applyBorder="1" applyAlignment="1" applyProtection="1">
      <alignment/>
      <protection hidden="1"/>
    </xf>
    <xf numFmtId="0" fontId="3" fillId="44" borderId="22" xfId="60" applyFont="1" applyFill="1" applyBorder="1">
      <alignment/>
      <protection/>
    </xf>
    <xf numFmtId="0" fontId="3" fillId="44" borderId="22" xfId="60" applyNumberFormat="1" applyFont="1" applyFill="1" applyBorder="1" applyAlignment="1" applyProtection="1">
      <alignment horizontal="center" vertical="center"/>
      <protection hidden="1"/>
    </xf>
    <xf numFmtId="49" fontId="3" fillId="44" borderId="22" xfId="60" applyNumberFormat="1" applyFont="1" applyFill="1" applyBorder="1" applyAlignment="1" applyProtection="1">
      <alignment horizontal="center" vertical="center"/>
      <protection hidden="1"/>
    </xf>
    <xf numFmtId="0" fontId="3" fillId="44" borderId="22" xfId="60" applyNumberFormat="1" applyFont="1" applyFill="1" applyBorder="1" applyAlignment="1" applyProtection="1">
      <alignment horizontal="center"/>
      <protection hidden="1"/>
    </xf>
    <xf numFmtId="0" fontId="2" fillId="44" borderId="22" xfId="60" applyNumberFormat="1" applyFont="1" applyFill="1" applyBorder="1" applyAlignment="1" applyProtection="1">
      <alignment horizontal="centerContinuous"/>
      <protection hidden="1"/>
    </xf>
    <xf numFmtId="4" fontId="2" fillId="44" borderId="22" xfId="60" applyNumberFormat="1" applyFont="1" applyFill="1" applyBorder="1" applyAlignment="1" applyProtection="1">
      <alignment horizontal="centerContinuous"/>
      <protection hidden="1"/>
    </xf>
    <xf numFmtId="1" fontId="3" fillId="44" borderId="22" xfId="60" applyNumberFormat="1" applyFont="1" applyFill="1" applyBorder="1" applyAlignment="1" applyProtection="1">
      <alignment horizontal="center" vertical="center"/>
      <protection hidden="1"/>
    </xf>
    <xf numFmtId="172" fontId="30" fillId="44" borderId="22" xfId="60" applyNumberFormat="1" applyFont="1" applyFill="1" applyBorder="1" applyAlignment="1" applyProtection="1">
      <alignment wrapText="1"/>
      <protection hidden="1"/>
    </xf>
    <xf numFmtId="4" fontId="3" fillId="37" borderId="22" xfId="60" applyNumberFormat="1" applyFont="1" applyFill="1" applyBorder="1" applyAlignment="1" applyProtection="1">
      <alignment horizontal="center" vertical="center"/>
      <protection hidden="1"/>
    </xf>
    <xf numFmtId="4" fontId="3" fillId="44" borderId="22" xfId="60" applyNumberFormat="1" applyFont="1" applyFill="1" applyBorder="1" applyAlignment="1" applyProtection="1">
      <alignment horizontal="center" vertical="center"/>
      <protection hidden="1"/>
    </xf>
    <xf numFmtId="181" fontId="30" fillId="0" borderId="13" xfId="60" applyNumberFormat="1" applyFont="1" applyFill="1" applyBorder="1" applyAlignment="1" applyProtection="1">
      <alignment wrapText="1"/>
      <protection hidden="1"/>
    </xf>
    <xf numFmtId="1" fontId="30" fillId="0" borderId="13" xfId="60" applyNumberFormat="1" applyFont="1" applyFill="1" applyBorder="1" applyAlignment="1" applyProtection="1">
      <alignment wrapText="1"/>
      <protection hidden="1"/>
    </xf>
    <xf numFmtId="1" fontId="23" fillId="0" borderId="13" xfId="60" applyNumberFormat="1" applyFont="1" applyFill="1" applyBorder="1" applyAlignment="1" applyProtection="1">
      <alignment wrapText="1"/>
      <protection hidden="1"/>
    </xf>
    <xf numFmtId="181" fontId="23" fillId="0" borderId="13" xfId="60" applyNumberFormat="1" applyFont="1" applyFill="1" applyBorder="1" applyAlignment="1" applyProtection="1">
      <alignment wrapText="1"/>
      <protection hidden="1"/>
    </xf>
    <xf numFmtId="4" fontId="23" fillId="38" borderId="13" xfId="60" applyNumberFormat="1" applyFont="1" applyFill="1" applyBorder="1" applyAlignment="1" applyProtection="1">
      <alignment wrapText="1"/>
      <protection hidden="1"/>
    </xf>
    <xf numFmtId="181" fontId="23" fillId="0" borderId="22" xfId="60" applyNumberFormat="1" applyFont="1" applyFill="1" applyBorder="1" applyAlignment="1" applyProtection="1">
      <alignment wrapText="1"/>
      <protection hidden="1"/>
    </xf>
    <xf numFmtId="0" fontId="2" fillId="45" borderId="0" xfId="60" applyFill="1" applyProtection="1">
      <alignment/>
      <protection hidden="1"/>
    </xf>
    <xf numFmtId="0" fontId="2" fillId="45" borderId="0" xfId="60" applyNumberFormat="1" applyFont="1" applyFill="1" applyBorder="1" applyAlignment="1" applyProtection="1">
      <alignment horizontal="center"/>
      <protection hidden="1"/>
    </xf>
    <xf numFmtId="0" fontId="29" fillId="45" borderId="13" xfId="60" applyFont="1" applyFill="1" applyBorder="1">
      <alignment/>
      <protection/>
    </xf>
    <xf numFmtId="0" fontId="3" fillId="45" borderId="13" xfId="60" applyNumberFormat="1" applyFont="1" applyFill="1" applyBorder="1" applyAlignment="1" applyProtection="1">
      <alignment horizontal="center" vertical="center"/>
      <protection hidden="1"/>
    </xf>
    <xf numFmtId="49" fontId="3" fillId="45" borderId="13" xfId="60" applyNumberFormat="1" applyFont="1" applyFill="1" applyBorder="1" applyAlignment="1" applyProtection="1">
      <alignment horizontal="center" vertical="center"/>
      <protection hidden="1"/>
    </xf>
    <xf numFmtId="0" fontId="3" fillId="45" borderId="13" xfId="60" applyNumberFormat="1" applyFont="1" applyFill="1" applyBorder="1" applyAlignment="1" applyProtection="1">
      <alignment horizontal="center"/>
      <protection hidden="1"/>
    </xf>
    <xf numFmtId="0" fontId="2" fillId="45" borderId="13" xfId="60" applyNumberFormat="1" applyFont="1" applyFill="1" applyBorder="1" applyAlignment="1" applyProtection="1">
      <alignment horizontal="center"/>
      <protection hidden="1"/>
    </xf>
    <xf numFmtId="4" fontId="2" fillId="45" borderId="13" xfId="60" applyNumberFormat="1" applyFont="1" applyFill="1" applyBorder="1" applyAlignment="1" applyProtection="1">
      <alignment horizontal="center"/>
      <protection hidden="1"/>
    </xf>
    <xf numFmtId="1" fontId="3" fillId="45" borderId="13" xfId="60" applyNumberFormat="1" applyFont="1" applyFill="1" applyBorder="1" applyAlignment="1" applyProtection="1">
      <alignment horizontal="center" vertical="center"/>
      <protection hidden="1"/>
    </xf>
    <xf numFmtId="172" fontId="30" fillId="45" borderId="13" xfId="60" applyNumberFormat="1" applyFont="1" applyFill="1" applyBorder="1" applyAlignment="1" applyProtection="1">
      <alignment wrapText="1"/>
      <protection hidden="1"/>
    </xf>
    <xf numFmtId="4" fontId="3" fillId="45" borderId="13" xfId="60" applyNumberFormat="1" applyFont="1" applyFill="1" applyBorder="1" applyAlignment="1" applyProtection="1">
      <alignment horizontal="center" vertical="center"/>
      <protection hidden="1"/>
    </xf>
    <xf numFmtId="0" fontId="3" fillId="45" borderId="0" xfId="60" applyNumberFormat="1" applyFont="1" applyFill="1" applyBorder="1" applyAlignment="1" applyProtection="1">
      <alignment/>
      <protection hidden="1"/>
    </xf>
    <xf numFmtId="0" fontId="3" fillId="45" borderId="0" xfId="60" applyNumberFormat="1" applyFont="1" applyFill="1" applyBorder="1" applyAlignment="1" applyProtection="1">
      <alignment horizontal="center"/>
      <protection hidden="1"/>
    </xf>
    <xf numFmtId="0" fontId="2" fillId="45" borderId="0" xfId="60" applyNumberFormat="1" applyFont="1" applyFill="1" applyAlignment="1" applyProtection="1">
      <alignment/>
      <protection hidden="1"/>
    </xf>
    <xf numFmtId="0" fontId="2" fillId="45" borderId="0" xfId="60" applyFill="1" applyBorder="1">
      <alignment/>
      <protection/>
    </xf>
    <xf numFmtId="0" fontId="2" fillId="45" borderId="0" xfId="60" applyFill="1">
      <alignment/>
      <protection/>
    </xf>
    <xf numFmtId="0" fontId="3" fillId="45" borderId="22" xfId="60" applyFont="1" applyFill="1" applyBorder="1">
      <alignment/>
      <protection/>
    </xf>
    <xf numFmtId="0" fontId="3" fillId="45" borderId="22" xfId="60" applyNumberFormat="1" applyFont="1" applyFill="1" applyBorder="1" applyAlignment="1" applyProtection="1">
      <alignment horizontal="center" vertical="center"/>
      <protection hidden="1"/>
    </xf>
    <xf numFmtId="49" fontId="3" fillId="45" borderId="22" xfId="60" applyNumberFormat="1" applyFont="1" applyFill="1" applyBorder="1" applyAlignment="1" applyProtection="1">
      <alignment horizontal="center" vertical="center"/>
      <protection hidden="1"/>
    </xf>
    <xf numFmtId="0" fontId="3" fillId="45" borderId="22" xfId="60" applyNumberFormat="1" applyFont="1" applyFill="1" applyBorder="1" applyAlignment="1" applyProtection="1">
      <alignment horizontal="center"/>
      <protection hidden="1"/>
    </xf>
    <xf numFmtId="0" fontId="2" fillId="45" borderId="22" xfId="60" applyNumberFormat="1" applyFont="1" applyFill="1" applyBorder="1" applyAlignment="1" applyProtection="1">
      <alignment horizontal="center"/>
      <protection hidden="1"/>
    </xf>
    <xf numFmtId="4" fontId="2" fillId="45" borderId="22" xfId="60" applyNumberFormat="1" applyFont="1" applyFill="1" applyBorder="1" applyAlignment="1" applyProtection="1">
      <alignment horizontal="center"/>
      <protection hidden="1"/>
    </xf>
    <xf numFmtId="1" fontId="3" fillId="45" borderId="22" xfId="60" applyNumberFormat="1" applyFont="1" applyFill="1" applyBorder="1" applyAlignment="1" applyProtection="1">
      <alignment horizontal="center" vertical="center"/>
      <protection hidden="1"/>
    </xf>
    <xf numFmtId="172" fontId="30" fillId="45" borderId="22" xfId="60" applyNumberFormat="1" applyFont="1" applyFill="1" applyBorder="1" applyAlignment="1" applyProtection="1">
      <alignment wrapText="1"/>
      <protection hidden="1"/>
    </xf>
    <xf numFmtId="4" fontId="3" fillId="45" borderId="22" xfId="60" applyNumberFormat="1" applyFont="1" applyFill="1" applyBorder="1" applyAlignment="1" applyProtection="1">
      <alignment horizontal="center" vertical="center"/>
      <protection hidden="1"/>
    </xf>
    <xf numFmtId="0" fontId="2" fillId="45" borderId="36" xfId="60" applyFill="1" applyBorder="1" applyProtection="1">
      <alignment/>
      <protection hidden="1"/>
    </xf>
    <xf numFmtId="181" fontId="23" fillId="45" borderId="37" xfId="60" applyNumberFormat="1" applyFont="1" applyFill="1" applyBorder="1" applyAlignment="1" applyProtection="1">
      <alignment wrapText="1"/>
      <protection hidden="1"/>
    </xf>
    <xf numFmtId="181" fontId="30" fillId="45" borderId="37" xfId="60" applyNumberFormat="1" applyFont="1" applyFill="1" applyBorder="1" applyAlignment="1" applyProtection="1">
      <alignment wrapText="1"/>
      <protection hidden="1"/>
    </xf>
    <xf numFmtId="181" fontId="23" fillId="45" borderId="38" xfId="60" applyNumberFormat="1" applyFont="1" applyFill="1" applyBorder="1" applyAlignment="1" applyProtection="1">
      <alignment wrapText="1"/>
      <protection hidden="1"/>
    </xf>
    <xf numFmtId="178" fontId="23" fillId="45" borderId="13" xfId="60" applyNumberFormat="1" applyFont="1" applyFill="1" applyBorder="1" applyAlignment="1" applyProtection="1">
      <alignment/>
      <protection hidden="1"/>
    </xf>
    <xf numFmtId="173" fontId="23" fillId="45" borderId="13" xfId="60" applyNumberFormat="1" applyFont="1" applyFill="1" applyBorder="1" applyAlignment="1" applyProtection="1">
      <alignment wrapText="1"/>
      <protection hidden="1"/>
    </xf>
    <xf numFmtId="174" fontId="23" fillId="45" borderId="12" xfId="60" applyNumberFormat="1" applyFont="1" applyFill="1" applyBorder="1" applyAlignment="1" applyProtection="1">
      <alignment/>
      <protection hidden="1"/>
    </xf>
    <xf numFmtId="173" fontId="23" fillId="45" borderId="13" xfId="60" applyNumberFormat="1" applyFont="1" applyFill="1" applyBorder="1" applyAlignment="1" applyProtection="1">
      <alignment horizontal="center"/>
      <protection hidden="1"/>
    </xf>
    <xf numFmtId="173" fontId="23" fillId="45" borderId="13" xfId="60" applyNumberFormat="1" applyFont="1" applyFill="1" applyBorder="1" applyAlignment="1" applyProtection="1">
      <alignment/>
      <protection hidden="1"/>
    </xf>
    <xf numFmtId="182" fontId="23" fillId="45" borderId="13" xfId="60" applyNumberFormat="1" applyFont="1" applyFill="1" applyBorder="1" applyAlignment="1" applyProtection="1">
      <alignment/>
      <protection hidden="1"/>
    </xf>
    <xf numFmtId="172" fontId="23" fillId="45" borderId="13" xfId="60" applyNumberFormat="1" applyFont="1" applyFill="1" applyBorder="1" applyAlignment="1" applyProtection="1">
      <alignment/>
      <protection hidden="1"/>
    </xf>
    <xf numFmtId="172" fontId="23" fillId="45" borderId="13" xfId="60" applyNumberFormat="1" applyFont="1" applyFill="1" applyBorder="1" applyAlignment="1" applyProtection="1">
      <alignment wrapText="1"/>
      <protection hidden="1"/>
    </xf>
    <xf numFmtId="4" fontId="23" fillId="45" borderId="13" xfId="60" applyNumberFormat="1" applyFont="1" applyFill="1" applyBorder="1" applyAlignment="1" applyProtection="1">
      <alignment wrapText="1"/>
      <protection hidden="1"/>
    </xf>
    <xf numFmtId="40" fontId="23" fillId="45" borderId="13" xfId="60" applyNumberFormat="1" applyFont="1" applyFill="1" applyBorder="1" applyAlignment="1" applyProtection="1">
      <alignment/>
      <protection hidden="1"/>
    </xf>
    <xf numFmtId="4" fontId="3" fillId="45" borderId="13" xfId="60" applyNumberFormat="1" applyFont="1" applyFill="1" applyBorder="1" applyAlignment="1" applyProtection="1">
      <alignment/>
      <protection hidden="1"/>
    </xf>
    <xf numFmtId="4" fontId="23" fillId="45" borderId="13" xfId="60" applyNumberFormat="1" applyFont="1" applyFill="1" applyBorder="1" applyAlignment="1" applyProtection="1">
      <alignment/>
      <protection hidden="1"/>
    </xf>
    <xf numFmtId="172" fontId="23" fillId="45" borderId="37" xfId="60" applyNumberFormat="1" applyFont="1" applyFill="1" applyBorder="1" applyAlignment="1" applyProtection="1">
      <alignment/>
      <protection hidden="1"/>
    </xf>
    <xf numFmtId="40" fontId="23" fillId="45" borderId="37" xfId="60" applyNumberFormat="1" applyFont="1" applyFill="1" applyBorder="1" applyAlignment="1" applyProtection="1">
      <alignment/>
      <protection hidden="1"/>
    </xf>
    <xf numFmtId="10" fontId="23" fillId="45" borderId="37" xfId="60" applyNumberFormat="1" applyFont="1" applyFill="1" applyBorder="1" applyAlignment="1" applyProtection="1">
      <alignment/>
      <protection hidden="1"/>
    </xf>
    <xf numFmtId="0" fontId="2" fillId="45" borderId="30" xfId="60" applyNumberFormat="1" applyFont="1" applyFill="1" applyBorder="1" applyAlignment="1" applyProtection="1">
      <alignment/>
      <protection hidden="1"/>
    </xf>
    <xf numFmtId="182" fontId="23" fillId="0" borderId="13" xfId="60" applyNumberFormat="1" applyFont="1" applyFill="1" applyBorder="1" applyAlignment="1" applyProtection="1">
      <alignment/>
      <protection hidden="1"/>
    </xf>
    <xf numFmtId="4" fontId="3" fillId="0" borderId="22" xfId="60" applyNumberFormat="1" applyFont="1" applyFill="1" applyBorder="1" applyAlignment="1" applyProtection="1">
      <alignment wrapText="1"/>
      <protection hidden="1"/>
    </xf>
    <xf numFmtId="40" fontId="30" fillId="38" borderId="21" xfId="60" applyNumberFormat="1" applyFont="1" applyFill="1" applyBorder="1" applyAlignment="1" applyProtection="1">
      <alignment/>
      <protection hidden="1"/>
    </xf>
    <xf numFmtId="4" fontId="34" fillId="0" borderId="0" xfId="0" applyNumberFormat="1" applyFont="1" applyAlignment="1">
      <alignment horizontal="center"/>
    </xf>
    <xf numFmtId="10" fontId="2" fillId="0" borderId="0" xfId="60" applyNumberFormat="1" applyFill="1" applyBorder="1">
      <alignment/>
      <protection/>
    </xf>
    <xf numFmtId="4" fontId="23" fillId="0" borderId="13" xfId="0" applyNumberFormat="1" applyFont="1" applyFill="1" applyBorder="1" applyAlignment="1">
      <alignment/>
    </xf>
    <xf numFmtId="4" fontId="23" fillId="38" borderId="13" xfId="0" applyNumberFormat="1" applyFont="1" applyFill="1" applyBorder="1" applyAlignment="1">
      <alignment/>
    </xf>
    <xf numFmtId="9" fontId="2" fillId="0" borderId="0" xfId="60" applyNumberFormat="1" applyFill="1" applyBorder="1">
      <alignment/>
      <protection/>
    </xf>
    <xf numFmtId="181" fontId="23" fillId="0" borderId="39" xfId="60" applyNumberFormat="1" applyFont="1" applyFill="1" applyBorder="1" applyAlignment="1" applyProtection="1">
      <alignment wrapText="1"/>
      <protection hidden="1"/>
    </xf>
    <xf numFmtId="178" fontId="23" fillId="0" borderId="14" xfId="60" applyNumberFormat="1" applyFont="1" applyFill="1" applyBorder="1" applyAlignment="1" applyProtection="1">
      <alignment/>
      <protection hidden="1"/>
    </xf>
    <xf numFmtId="173" fontId="23" fillId="0" borderId="14" xfId="60" applyNumberFormat="1" applyFont="1" applyFill="1" applyBorder="1" applyAlignment="1" applyProtection="1">
      <alignment wrapText="1"/>
      <protection hidden="1"/>
    </xf>
    <xf numFmtId="173" fontId="23" fillId="0" borderId="14" xfId="60" applyNumberFormat="1" applyFont="1" applyFill="1" applyBorder="1" applyAlignment="1" applyProtection="1">
      <alignment/>
      <protection hidden="1"/>
    </xf>
    <xf numFmtId="182" fontId="23" fillId="0" borderId="14" xfId="60" applyNumberFormat="1" applyFont="1" applyFill="1" applyBorder="1" applyAlignment="1" applyProtection="1">
      <alignment/>
      <protection hidden="1"/>
    </xf>
    <xf numFmtId="172" fontId="23" fillId="0" borderId="21" xfId="60" applyNumberFormat="1" applyFont="1" applyFill="1" applyBorder="1" applyAlignment="1" applyProtection="1">
      <alignment wrapText="1"/>
      <protection hidden="1"/>
    </xf>
    <xf numFmtId="40" fontId="23" fillId="0" borderId="21" xfId="60" applyNumberFormat="1" applyFont="1" applyFill="1" applyBorder="1" applyAlignment="1" applyProtection="1">
      <alignment/>
      <protection hidden="1"/>
    </xf>
    <xf numFmtId="40" fontId="23" fillId="38" borderId="21" xfId="60" applyNumberFormat="1" applyFont="1" applyFill="1" applyBorder="1" applyAlignment="1" applyProtection="1">
      <alignment/>
      <protection hidden="1"/>
    </xf>
    <xf numFmtId="4" fontId="23" fillId="37" borderId="21" xfId="60" applyNumberFormat="1" applyFont="1" applyFill="1" applyBorder="1" applyAlignment="1" applyProtection="1">
      <alignment/>
      <protection hidden="1"/>
    </xf>
    <xf numFmtId="4" fontId="23" fillId="0" borderId="21" xfId="60" applyNumberFormat="1" applyFont="1" applyFill="1" applyBorder="1" applyAlignment="1" applyProtection="1">
      <alignment/>
      <protection hidden="1"/>
    </xf>
    <xf numFmtId="172" fontId="23" fillId="45" borderId="21" xfId="60" applyNumberFormat="1" applyFont="1" applyFill="1" applyBorder="1" applyAlignment="1" applyProtection="1">
      <alignment wrapText="1"/>
      <protection hidden="1"/>
    </xf>
    <xf numFmtId="172" fontId="23" fillId="0" borderId="21" xfId="60" applyNumberFormat="1" applyFont="1" applyFill="1" applyBorder="1" applyAlignment="1" applyProtection="1">
      <alignment/>
      <protection hidden="1"/>
    </xf>
    <xf numFmtId="0" fontId="35" fillId="0" borderId="36" xfId="60" applyFont="1" applyFill="1" applyBorder="1" applyProtection="1">
      <alignment/>
      <protection hidden="1"/>
    </xf>
    <xf numFmtId="178" fontId="30" fillId="0" borderId="13" xfId="60" applyNumberFormat="1" applyFont="1" applyFill="1" applyBorder="1" applyAlignment="1" applyProtection="1">
      <alignment/>
      <protection hidden="1"/>
    </xf>
    <xf numFmtId="173" fontId="30" fillId="0" borderId="13" xfId="60" applyNumberFormat="1" applyFont="1" applyFill="1" applyBorder="1" applyAlignment="1" applyProtection="1">
      <alignment wrapText="1"/>
      <protection hidden="1"/>
    </xf>
    <xf numFmtId="173" fontId="30" fillId="0" borderId="13" xfId="60" applyNumberFormat="1" applyFont="1" applyFill="1" applyBorder="1" applyAlignment="1" applyProtection="1">
      <alignment/>
      <protection hidden="1"/>
    </xf>
    <xf numFmtId="182" fontId="30" fillId="0" borderId="13" xfId="60" applyNumberFormat="1" applyFont="1" applyFill="1" applyBorder="1" applyAlignment="1" applyProtection="1">
      <alignment/>
      <protection hidden="1"/>
    </xf>
    <xf numFmtId="40" fontId="30" fillId="0" borderId="13" xfId="60" applyNumberFormat="1" applyFont="1" applyFill="1" applyBorder="1" applyAlignment="1" applyProtection="1">
      <alignment/>
      <protection hidden="1"/>
    </xf>
    <xf numFmtId="4" fontId="30" fillId="37" borderId="13" xfId="60" applyNumberFormat="1" applyFont="1" applyFill="1" applyBorder="1" applyAlignment="1" applyProtection="1">
      <alignment/>
      <protection hidden="1"/>
    </xf>
    <xf numFmtId="4" fontId="30" fillId="0" borderId="13" xfId="60" applyNumberFormat="1" applyFont="1" applyFill="1" applyBorder="1" applyAlignment="1" applyProtection="1">
      <alignment/>
      <protection hidden="1"/>
    </xf>
    <xf numFmtId="172" fontId="30" fillId="0" borderId="37" xfId="60" applyNumberFormat="1" applyFont="1" applyFill="1" applyBorder="1" applyAlignment="1" applyProtection="1">
      <alignment/>
      <protection hidden="1"/>
    </xf>
    <xf numFmtId="40" fontId="30" fillId="0" borderId="37" xfId="60" applyNumberFormat="1" applyFont="1" applyFill="1" applyBorder="1" applyAlignment="1" applyProtection="1">
      <alignment/>
      <protection hidden="1"/>
    </xf>
    <xf numFmtId="10" fontId="30" fillId="0" borderId="37" xfId="60" applyNumberFormat="1" applyFont="1" applyFill="1" applyBorder="1" applyAlignment="1" applyProtection="1">
      <alignment/>
      <protection hidden="1"/>
    </xf>
    <xf numFmtId="0" fontId="35" fillId="0" borderId="30" xfId="60" applyNumberFormat="1" applyFont="1" applyFill="1" applyBorder="1" applyAlignment="1" applyProtection="1">
      <alignment/>
      <protection hidden="1"/>
    </xf>
    <xf numFmtId="0" fontId="35" fillId="0" borderId="0" xfId="60" applyFont="1" applyFill="1" applyProtection="1">
      <alignment/>
      <protection hidden="1"/>
    </xf>
    <xf numFmtId="0" fontId="35" fillId="0" borderId="0" xfId="60" applyFont="1" applyFill="1" applyBorder="1">
      <alignment/>
      <protection/>
    </xf>
    <xf numFmtId="0" fontId="35" fillId="0" borderId="0" xfId="60" applyFont="1" applyFill="1">
      <alignment/>
      <protection/>
    </xf>
    <xf numFmtId="0" fontId="2" fillId="0" borderId="36" xfId="60" applyFont="1" applyFill="1" applyBorder="1" applyProtection="1">
      <alignment/>
      <protection hidden="1"/>
    </xf>
    <xf numFmtId="181" fontId="30" fillId="0" borderId="38" xfId="60" applyNumberFormat="1" applyFont="1" applyFill="1" applyBorder="1" applyAlignment="1" applyProtection="1">
      <alignment wrapText="1"/>
      <protection hidden="1"/>
    </xf>
    <xf numFmtId="40" fontId="30" fillId="37" borderId="13" xfId="60" applyNumberFormat="1" applyFont="1" applyFill="1" applyBorder="1" applyAlignment="1" applyProtection="1">
      <alignment/>
      <protection hidden="1"/>
    </xf>
    <xf numFmtId="181" fontId="23" fillId="43" borderId="37" xfId="60" applyNumberFormat="1" applyFont="1" applyFill="1" applyBorder="1" applyAlignment="1" applyProtection="1">
      <alignment wrapText="1"/>
      <protection hidden="1"/>
    </xf>
    <xf numFmtId="181" fontId="30" fillId="43" borderId="37" xfId="60" applyNumberFormat="1" applyFont="1" applyFill="1" applyBorder="1" applyAlignment="1" applyProtection="1">
      <alignment wrapText="1"/>
      <protection hidden="1"/>
    </xf>
    <xf numFmtId="181" fontId="23" fillId="43" borderId="38" xfId="60" applyNumberFormat="1" applyFont="1" applyFill="1" applyBorder="1" applyAlignment="1" applyProtection="1">
      <alignment wrapText="1"/>
      <protection hidden="1"/>
    </xf>
    <xf numFmtId="178" fontId="23" fillId="43" borderId="13" xfId="60" applyNumberFormat="1" applyFont="1" applyFill="1" applyBorder="1" applyAlignment="1" applyProtection="1">
      <alignment/>
      <protection hidden="1"/>
    </xf>
    <xf numFmtId="173" fontId="23" fillId="43" borderId="13" xfId="60" applyNumberFormat="1" applyFont="1" applyFill="1" applyBorder="1" applyAlignment="1" applyProtection="1">
      <alignment wrapText="1"/>
      <protection hidden="1"/>
    </xf>
    <xf numFmtId="173" fontId="23" fillId="43" borderId="13" xfId="60" applyNumberFormat="1" applyFont="1" applyFill="1" applyBorder="1" applyAlignment="1" applyProtection="1">
      <alignment/>
      <protection hidden="1"/>
    </xf>
    <xf numFmtId="49" fontId="23" fillId="43" borderId="13" xfId="60" applyNumberFormat="1" applyFont="1" applyFill="1" applyBorder="1" applyAlignment="1" applyProtection="1">
      <alignment horizontal="center" vertical="center"/>
      <protection hidden="1"/>
    </xf>
    <xf numFmtId="172" fontId="23" fillId="43" borderId="13" xfId="60" applyNumberFormat="1" applyFont="1" applyFill="1" applyBorder="1" applyAlignment="1" applyProtection="1">
      <alignment wrapText="1"/>
      <protection hidden="1"/>
    </xf>
    <xf numFmtId="4" fontId="23" fillId="43" borderId="13" xfId="60" applyNumberFormat="1" applyFont="1" applyFill="1" applyBorder="1" applyAlignment="1" applyProtection="1">
      <alignment wrapText="1"/>
      <protection hidden="1"/>
    </xf>
    <xf numFmtId="40" fontId="23" fillId="43" borderId="13" xfId="60" applyNumberFormat="1" applyFont="1" applyFill="1" applyBorder="1" applyAlignment="1" applyProtection="1">
      <alignment/>
      <protection hidden="1"/>
    </xf>
    <xf numFmtId="4" fontId="23" fillId="43" borderId="13" xfId="60" applyNumberFormat="1" applyFont="1" applyFill="1" applyBorder="1" applyAlignment="1" applyProtection="1">
      <alignment/>
      <protection hidden="1"/>
    </xf>
    <xf numFmtId="172" fontId="23" fillId="43" borderId="37" xfId="60" applyNumberFormat="1" applyFont="1" applyFill="1" applyBorder="1" applyAlignment="1" applyProtection="1">
      <alignment/>
      <protection hidden="1"/>
    </xf>
    <xf numFmtId="40" fontId="23" fillId="43" borderId="37" xfId="60" applyNumberFormat="1" applyFont="1" applyFill="1" applyBorder="1" applyAlignment="1" applyProtection="1">
      <alignment/>
      <protection hidden="1"/>
    </xf>
    <xf numFmtId="10" fontId="23" fillId="43" borderId="37" xfId="60" applyNumberFormat="1" applyFont="1" applyFill="1" applyBorder="1" applyAlignment="1" applyProtection="1">
      <alignment/>
      <protection hidden="1"/>
    </xf>
    <xf numFmtId="172" fontId="30" fillId="43" borderId="13" xfId="60" applyNumberFormat="1" applyFont="1" applyFill="1" applyBorder="1" applyAlignment="1" applyProtection="1">
      <alignment/>
      <protection hidden="1"/>
    </xf>
    <xf numFmtId="172" fontId="3" fillId="43" borderId="13" xfId="60" applyNumberFormat="1" applyFont="1" applyFill="1" applyBorder="1" applyAlignment="1" applyProtection="1">
      <alignment/>
      <protection hidden="1"/>
    </xf>
    <xf numFmtId="4" fontId="3" fillId="37" borderId="13" xfId="60" applyNumberFormat="1" applyFont="1" applyFill="1" applyBorder="1" applyAlignment="1" applyProtection="1">
      <alignment/>
      <protection hidden="1"/>
    </xf>
    <xf numFmtId="176" fontId="23" fillId="43" borderId="13" xfId="60" applyNumberFormat="1" applyFont="1" applyFill="1" applyBorder="1" applyAlignment="1" applyProtection="1">
      <alignment wrapText="1"/>
      <protection hidden="1"/>
    </xf>
    <xf numFmtId="172" fontId="23" fillId="43" borderId="21" xfId="60" applyNumberFormat="1" applyFont="1" applyFill="1" applyBorder="1" applyAlignment="1" applyProtection="1">
      <alignment/>
      <protection hidden="1"/>
    </xf>
    <xf numFmtId="178" fontId="30" fillId="0" borderId="14" xfId="60" applyNumberFormat="1" applyFont="1" applyFill="1" applyBorder="1" applyAlignment="1" applyProtection="1">
      <alignment/>
      <protection hidden="1"/>
    </xf>
    <xf numFmtId="173" fontId="30" fillId="0" borderId="14" xfId="60" applyNumberFormat="1" applyFont="1" applyFill="1" applyBorder="1" applyAlignment="1" applyProtection="1">
      <alignment wrapText="1"/>
      <protection hidden="1"/>
    </xf>
    <xf numFmtId="173" fontId="30" fillId="0" borderId="14" xfId="60" applyNumberFormat="1" applyFont="1" applyFill="1" applyBorder="1" applyAlignment="1" applyProtection="1">
      <alignment/>
      <protection hidden="1"/>
    </xf>
    <xf numFmtId="182" fontId="30" fillId="0" borderId="14" xfId="60" applyNumberFormat="1" applyFont="1" applyFill="1" applyBorder="1" applyAlignment="1" applyProtection="1">
      <alignment/>
      <protection hidden="1"/>
    </xf>
    <xf numFmtId="40" fontId="30" fillId="37" borderId="21" xfId="60" applyNumberFormat="1" applyFont="1" applyFill="1" applyBorder="1" applyAlignment="1" applyProtection="1">
      <alignment/>
      <protection hidden="1"/>
    </xf>
    <xf numFmtId="40" fontId="30" fillId="0" borderId="16" xfId="60" applyNumberFormat="1" applyFont="1" applyFill="1" applyBorder="1" applyAlignment="1" applyProtection="1">
      <alignment/>
      <protection hidden="1"/>
    </xf>
    <xf numFmtId="181" fontId="30" fillId="0" borderId="17" xfId="60" applyNumberFormat="1" applyFont="1" applyFill="1" applyBorder="1" applyAlignment="1" applyProtection="1">
      <alignment wrapText="1"/>
      <protection hidden="1"/>
    </xf>
    <xf numFmtId="178" fontId="30" fillId="0" borderId="17" xfId="60" applyNumberFormat="1" applyFont="1" applyFill="1" applyBorder="1" applyAlignment="1" applyProtection="1">
      <alignment/>
      <protection hidden="1"/>
    </xf>
    <xf numFmtId="173" fontId="30" fillId="0" borderId="17" xfId="60" applyNumberFormat="1" applyFont="1" applyFill="1" applyBorder="1" applyAlignment="1" applyProtection="1">
      <alignment wrapText="1"/>
      <protection hidden="1"/>
    </xf>
    <xf numFmtId="174" fontId="23" fillId="0" borderId="17" xfId="60" applyNumberFormat="1" applyFont="1" applyFill="1" applyBorder="1" applyAlignment="1" applyProtection="1">
      <alignment/>
      <protection hidden="1"/>
    </xf>
    <xf numFmtId="173" fontId="30" fillId="0" borderId="17" xfId="60" applyNumberFormat="1" applyFont="1" applyFill="1" applyBorder="1" applyAlignment="1" applyProtection="1">
      <alignment/>
      <protection hidden="1"/>
    </xf>
    <xf numFmtId="172" fontId="30" fillId="0" borderId="17" xfId="60" applyNumberFormat="1" applyFont="1" applyFill="1" applyBorder="1" applyAlignment="1" applyProtection="1">
      <alignment/>
      <protection hidden="1"/>
    </xf>
    <xf numFmtId="172" fontId="30" fillId="0" borderId="16" xfId="60" applyNumberFormat="1" applyFont="1" applyFill="1" applyBorder="1" applyAlignment="1" applyProtection="1">
      <alignment wrapText="1"/>
      <protection hidden="1"/>
    </xf>
    <xf numFmtId="172" fontId="30" fillId="0" borderId="19" xfId="60" applyNumberFormat="1" applyFont="1" applyFill="1" applyBorder="1" applyAlignment="1" applyProtection="1">
      <alignment wrapText="1"/>
      <protection hidden="1"/>
    </xf>
    <xf numFmtId="4" fontId="23" fillId="0" borderId="17" xfId="60" applyNumberFormat="1" applyFont="1" applyFill="1" applyBorder="1" applyAlignment="1" applyProtection="1">
      <alignment wrapText="1"/>
      <protection hidden="1"/>
    </xf>
    <xf numFmtId="40" fontId="30" fillId="37" borderId="16" xfId="60" applyNumberFormat="1" applyFont="1" applyFill="1" applyBorder="1" applyAlignment="1" applyProtection="1">
      <alignment/>
      <protection hidden="1"/>
    </xf>
    <xf numFmtId="172" fontId="30" fillId="0" borderId="22" xfId="60" applyNumberFormat="1" applyFont="1" applyFill="1" applyBorder="1" applyAlignment="1" applyProtection="1">
      <alignment wrapText="1"/>
      <protection hidden="1"/>
    </xf>
    <xf numFmtId="40" fontId="30" fillId="0" borderId="22" xfId="60" applyNumberFormat="1" applyFont="1" applyFill="1" applyBorder="1" applyAlignment="1" applyProtection="1">
      <alignment/>
      <protection hidden="1"/>
    </xf>
    <xf numFmtId="4" fontId="3" fillId="0" borderId="17" xfId="60" applyNumberFormat="1" applyFont="1" applyFill="1" applyBorder="1" applyAlignment="1" applyProtection="1">
      <alignment wrapText="1"/>
      <protection hidden="1"/>
    </xf>
    <xf numFmtId="172" fontId="30" fillId="0" borderId="16" xfId="60" applyNumberFormat="1" applyFont="1" applyFill="1" applyBorder="1" applyAlignment="1" applyProtection="1">
      <alignment/>
      <protection hidden="1"/>
    </xf>
    <xf numFmtId="4" fontId="30" fillId="0" borderId="16" xfId="60" applyNumberFormat="1" applyFont="1" applyFill="1" applyBorder="1" applyAlignment="1" applyProtection="1">
      <alignment/>
      <protection hidden="1"/>
    </xf>
    <xf numFmtId="172" fontId="23" fillId="38" borderId="13" xfId="60" applyNumberFormat="1" applyFont="1" applyFill="1" applyBorder="1" applyAlignment="1" applyProtection="1">
      <alignment/>
      <protection hidden="1"/>
    </xf>
    <xf numFmtId="40" fontId="23" fillId="38" borderId="45" xfId="60" applyNumberFormat="1" applyFont="1" applyFill="1" applyBorder="1" applyAlignment="1" applyProtection="1">
      <alignment wrapText="1"/>
      <protection hidden="1"/>
    </xf>
    <xf numFmtId="49" fontId="2" fillId="0" borderId="0" xfId="60" applyNumberFormat="1" applyAlignment="1">
      <alignment horizontal="center" vertical="center"/>
      <protection/>
    </xf>
    <xf numFmtId="0" fontId="2" fillId="34" borderId="0" xfId="60" applyFill="1">
      <alignment/>
      <protection/>
    </xf>
    <xf numFmtId="4" fontId="2" fillId="0" borderId="0" xfId="60" applyNumberFormat="1">
      <alignment/>
      <protection/>
    </xf>
    <xf numFmtId="0" fontId="2" fillId="35" borderId="0" xfId="60" applyFill="1">
      <alignment/>
      <protection/>
    </xf>
    <xf numFmtId="0" fontId="2" fillId="36" borderId="0" xfId="60" applyFill="1">
      <alignment/>
      <protection/>
    </xf>
    <xf numFmtId="4" fontId="2" fillId="37" borderId="0" xfId="60" applyNumberFormat="1" applyFill="1">
      <alignment/>
      <protection/>
    </xf>
    <xf numFmtId="4" fontId="2" fillId="36" borderId="0" xfId="60" applyNumberFormat="1" applyFill="1">
      <alignment/>
      <protection/>
    </xf>
    <xf numFmtId="172" fontId="30" fillId="34" borderId="21" xfId="60" applyNumberFormat="1" applyFont="1" applyFill="1" applyBorder="1" applyAlignment="1" applyProtection="1">
      <alignment wrapText="1"/>
      <protection hidden="1"/>
    </xf>
    <xf numFmtId="172" fontId="30" fillId="35" borderId="13" xfId="60" applyNumberFormat="1" applyFont="1" applyFill="1" applyBorder="1" applyAlignment="1" applyProtection="1">
      <alignment/>
      <protection hidden="1"/>
    </xf>
    <xf numFmtId="172" fontId="23" fillId="35" borderId="22" xfId="60" applyNumberFormat="1" applyFont="1" applyFill="1" applyBorder="1" applyAlignment="1" applyProtection="1">
      <alignment/>
      <protection hidden="1"/>
    </xf>
    <xf numFmtId="40" fontId="30" fillId="41" borderId="21" xfId="60" applyNumberFormat="1" applyFont="1" applyFill="1" applyBorder="1" applyAlignment="1" applyProtection="1">
      <alignment/>
      <protection hidden="1"/>
    </xf>
    <xf numFmtId="172" fontId="30" fillId="41" borderId="21" xfId="60" applyNumberFormat="1" applyFont="1" applyFill="1" applyBorder="1" applyAlignment="1" applyProtection="1">
      <alignment/>
      <protection hidden="1"/>
    </xf>
    <xf numFmtId="4" fontId="30" fillId="41" borderId="21" xfId="60" applyNumberFormat="1" applyFont="1" applyFill="1" applyBorder="1" applyAlignment="1" applyProtection="1">
      <alignment/>
      <protection hidden="1"/>
    </xf>
    <xf numFmtId="40" fontId="30" fillId="41" borderId="21" xfId="60" applyNumberFormat="1" applyFont="1" applyFill="1" applyBorder="1" applyAlignment="1" applyProtection="1">
      <alignment wrapText="1"/>
      <protection hidden="1"/>
    </xf>
    <xf numFmtId="4" fontId="23" fillId="44" borderId="22" xfId="60" applyNumberFormat="1" applyFont="1" applyFill="1" applyBorder="1" applyAlignment="1" applyProtection="1">
      <alignment horizontal="left" wrapText="1"/>
      <protection hidden="1"/>
    </xf>
    <xf numFmtId="181" fontId="30" fillId="42" borderId="22" xfId="60" applyNumberFormat="1" applyFont="1" applyFill="1" applyBorder="1" applyAlignment="1" applyProtection="1">
      <alignment horizontal="center" wrapText="1"/>
      <protection hidden="1"/>
    </xf>
    <xf numFmtId="40" fontId="23" fillId="3" borderId="13" xfId="60" applyNumberFormat="1" applyFont="1" applyFill="1" applyBorder="1" applyAlignment="1" applyProtection="1">
      <alignment/>
      <protection hidden="1"/>
    </xf>
    <xf numFmtId="40" fontId="30" fillId="3" borderId="21" xfId="60" applyNumberFormat="1" applyFont="1" applyFill="1" applyBorder="1" applyAlignment="1" applyProtection="1">
      <alignment/>
      <protection hidden="1"/>
    </xf>
    <xf numFmtId="4" fontId="23" fillId="0" borderId="19" xfId="60" applyNumberFormat="1" applyFont="1" applyFill="1" applyBorder="1" applyAlignment="1" applyProtection="1">
      <alignment wrapText="1"/>
      <protection hidden="1"/>
    </xf>
    <xf numFmtId="40" fontId="23" fillId="0" borderId="19" xfId="60" applyNumberFormat="1" applyFont="1" applyFill="1" applyBorder="1" applyAlignment="1" applyProtection="1">
      <alignment/>
      <protection hidden="1"/>
    </xf>
    <xf numFmtId="40" fontId="23" fillId="3" borderId="19" xfId="60" applyNumberFormat="1" applyFont="1" applyFill="1" applyBorder="1" applyAlignment="1" applyProtection="1">
      <alignment/>
      <protection hidden="1"/>
    </xf>
    <xf numFmtId="176" fontId="23" fillId="0" borderId="19" xfId="60" applyNumberFormat="1" applyFont="1" applyFill="1" applyBorder="1" applyAlignment="1" applyProtection="1">
      <alignment wrapText="1"/>
      <protection hidden="1"/>
    </xf>
    <xf numFmtId="4" fontId="23" fillId="37" borderId="19" xfId="60" applyNumberFormat="1" applyFont="1" applyFill="1" applyBorder="1" applyAlignment="1" applyProtection="1">
      <alignment/>
      <protection hidden="1"/>
    </xf>
    <xf numFmtId="4" fontId="23" fillId="0" borderId="19" xfId="60" applyNumberFormat="1" applyFont="1" applyFill="1" applyBorder="1" applyAlignment="1" applyProtection="1">
      <alignment/>
      <protection hidden="1"/>
    </xf>
    <xf numFmtId="181" fontId="23" fillId="0" borderId="50" xfId="60" applyNumberFormat="1" applyFont="1" applyFill="1" applyBorder="1" applyAlignment="1" applyProtection="1">
      <alignment wrapText="1"/>
      <protection hidden="1"/>
    </xf>
    <xf numFmtId="174" fontId="23" fillId="0" borderId="42" xfId="60" applyNumberFormat="1" applyFont="1" applyFill="1" applyBorder="1" applyAlignment="1" applyProtection="1">
      <alignment/>
      <protection hidden="1"/>
    </xf>
    <xf numFmtId="4" fontId="23" fillId="0" borderId="42" xfId="60" applyNumberFormat="1" applyFont="1" applyFill="1" applyBorder="1" applyAlignment="1" applyProtection="1">
      <alignment wrapText="1"/>
      <protection hidden="1"/>
    </xf>
    <xf numFmtId="40" fontId="23" fillId="0" borderId="42" xfId="60" applyNumberFormat="1" applyFont="1" applyFill="1" applyBorder="1" applyAlignment="1" applyProtection="1">
      <alignment/>
      <protection hidden="1"/>
    </xf>
    <xf numFmtId="40" fontId="23" fillId="3" borderId="42" xfId="60" applyNumberFormat="1" applyFont="1" applyFill="1" applyBorder="1" applyAlignment="1" applyProtection="1">
      <alignment/>
      <protection hidden="1"/>
    </xf>
    <xf numFmtId="4" fontId="23" fillId="37" borderId="42" xfId="60" applyNumberFormat="1" applyFont="1" applyFill="1" applyBorder="1" applyAlignment="1" applyProtection="1">
      <alignment/>
      <protection hidden="1"/>
    </xf>
    <xf numFmtId="4" fontId="23" fillId="0" borderId="42" xfId="60" applyNumberFormat="1" applyFont="1" applyFill="1" applyBorder="1" applyAlignment="1" applyProtection="1">
      <alignment/>
      <protection hidden="1"/>
    </xf>
    <xf numFmtId="181" fontId="3" fillId="0" borderId="39" xfId="60" applyNumberFormat="1" applyFont="1" applyFill="1" applyBorder="1" applyAlignment="1" applyProtection="1">
      <alignment wrapText="1"/>
      <protection hidden="1"/>
    </xf>
    <xf numFmtId="181" fontId="3" fillId="0" borderId="51" xfId="60" applyNumberFormat="1" applyFont="1" applyFill="1" applyBorder="1" applyAlignment="1" applyProtection="1">
      <alignment wrapText="1"/>
      <protection hidden="1"/>
    </xf>
    <xf numFmtId="178" fontId="3" fillId="0" borderId="52" xfId="60" applyNumberFormat="1" applyFont="1" applyFill="1" applyBorder="1" applyAlignment="1" applyProtection="1">
      <alignment/>
      <protection hidden="1"/>
    </xf>
    <xf numFmtId="173" fontId="3" fillId="0" borderId="52" xfId="60" applyNumberFormat="1" applyFont="1" applyFill="1" applyBorder="1" applyAlignment="1" applyProtection="1">
      <alignment wrapText="1"/>
      <protection hidden="1"/>
    </xf>
    <xf numFmtId="174" fontId="3" fillId="0" borderId="52" xfId="60" applyNumberFormat="1" applyFont="1" applyFill="1" applyBorder="1" applyAlignment="1" applyProtection="1">
      <alignment/>
      <protection hidden="1"/>
    </xf>
    <xf numFmtId="173" fontId="3" fillId="0" borderId="52" xfId="60" applyNumberFormat="1" applyFont="1" applyFill="1" applyBorder="1" applyAlignment="1" applyProtection="1">
      <alignment/>
      <protection hidden="1"/>
    </xf>
    <xf numFmtId="49" fontId="3" fillId="0" borderId="52" xfId="60" applyNumberFormat="1" applyFont="1" applyFill="1" applyBorder="1" applyAlignment="1" applyProtection="1">
      <alignment horizontal="center" vertical="center"/>
      <protection hidden="1"/>
    </xf>
    <xf numFmtId="172" fontId="3" fillId="0" borderId="53" xfId="60" applyNumberFormat="1" applyFont="1" applyFill="1" applyBorder="1" applyAlignment="1" applyProtection="1">
      <alignment/>
      <protection hidden="1"/>
    </xf>
    <xf numFmtId="172" fontId="3" fillId="0" borderId="48" xfId="60" applyNumberFormat="1" applyFont="1" applyFill="1" applyBorder="1" applyAlignment="1" applyProtection="1">
      <alignment wrapText="1"/>
      <protection hidden="1"/>
    </xf>
    <xf numFmtId="4" fontId="3" fillId="0" borderId="53" xfId="60" applyNumberFormat="1" applyFont="1" applyFill="1" applyBorder="1" applyAlignment="1" applyProtection="1">
      <alignment wrapText="1"/>
      <protection hidden="1"/>
    </xf>
    <xf numFmtId="40" fontId="3" fillId="0" borderId="48" xfId="60" applyNumberFormat="1" applyFont="1" applyFill="1" applyBorder="1" applyAlignment="1" applyProtection="1">
      <alignment/>
      <protection hidden="1"/>
    </xf>
    <xf numFmtId="40" fontId="3" fillId="3" borderId="48" xfId="60" applyNumberFormat="1" applyFont="1" applyFill="1" applyBorder="1" applyAlignment="1" applyProtection="1">
      <alignment/>
      <protection hidden="1"/>
    </xf>
    <xf numFmtId="4" fontId="3" fillId="37" borderId="48" xfId="60" applyNumberFormat="1" applyFont="1" applyFill="1" applyBorder="1" applyAlignment="1" applyProtection="1">
      <alignment/>
      <protection hidden="1"/>
    </xf>
    <xf numFmtId="4" fontId="3" fillId="0" borderId="48" xfId="60" applyNumberFormat="1" applyFont="1" applyFill="1" applyBorder="1" applyAlignment="1" applyProtection="1">
      <alignment/>
      <protection hidden="1"/>
    </xf>
    <xf numFmtId="172" fontId="3" fillId="0" borderId="40" xfId="60" applyNumberFormat="1" applyFont="1" applyFill="1" applyBorder="1" applyAlignment="1" applyProtection="1">
      <alignment/>
      <protection hidden="1"/>
    </xf>
    <xf numFmtId="172" fontId="3" fillId="0" borderId="39" xfId="60" applyNumberFormat="1" applyFont="1" applyFill="1" applyBorder="1" applyAlignment="1" applyProtection="1">
      <alignment/>
      <protection hidden="1"/>
    </xf>
    <xf numFmtId="10" fontId="3" fillId="0" borderId="40" xfId="60" applyNumberFormat="1" applyFont="1" applyFill="1" applyBorder="1" applyAlignment="1" applyProtection="1">
      <alignment/>
      <protection hidden="1"/>
    </xf>
    <xf numFmtId="172" fontId="30" fillId="0" borderId="18" xfId="60" applyNumberFormat="1" applyFont="1" applyFill="1" applyBorder="1" applyAlignment="1" applyProtection="1">
      <alignment wrapText="1"/>
      <protection hidden="1"/>
    </xf>
    <xf numFmtId="172" fontId="30" fillId="0" borderId="12" xfId="60" applyNumberFormat="1" applyFont="1" applyFill="1" applyBorder="1" applyAlignment="1" applyProtection="1">
      <alignment wrapText="1"/>
      <protection hidden="1"/>
    </xf>
    <xf numFmtId="40" fontId="30" fillId="0" borderId="18" xfId="60" applyNumberFormat="1" applyFont="1" applyFill="1" applyBorder="1" applyAlignment="1" applyProtection="1">
      <alignment/>
      <protection hidden="1"/>
    </xf>
    <xf numFmtId="172" fontId="23" fillId="0" borderId="15" xfId="60" applyNumberFormat="1" applyFont="1" applyFill="1" applyBorder="1" applyAlignment="1" applyProtection="1">
      <alignment/>
      <protection hidden="1"/>
    </xf>
    <xf numFmtId="172" fontId="30" fillId="0" borderId="12" xfId="60" applyNumberFormat="1" applyFont="1" applyFill="1" applyBorder="1" applyAlignment="1" applyProtection="1">
      <alignment/>
      <protection hidden="1"/>
    </xf>
    <xf numFmtId="40" fontId="30" fillId="3" borderId="18" xfId="60" applyNumberFormat="1" applyFont="1" applyFill="1" applyBorder="1" applyAlignment="1" applyProtection="1">
      <alignment/>
      <protection hidden="1"/>
    </xf>
    <xf numFmtId="172" fontId="30" fillId="0" borderId="18" xfId="60" applyNumberFormat="1" applyFont="1" applyFill="1" applyBorder="1" applyAlignment="1" applyProtection="1">
      <alignment/>
      <protection hidden="1"/>
    </xf>
    <xf numFmtId="4" fontId="30" fillId="37" borderId="18" xfId="60" applyNumberFormat="1" applyFont="1" applyFill="1" applyBorder="1" applyAlignment="1" applyProtection="1">
      <alignment/>
      <protection hidden="1"/>
    </xf>
    <xf numFmtId="4" fontId="30" fillId="0" borderId="18" xfId="60" applyNumberFormat="1" applyFont="1" applyFill="1" applyBorder="1" applyAlignment="1" applyProtection="1">
      <alignment/>
      <protection hidden="1"/>
    </xf>
    <xf numFmtId="4" fontId="30" fillId="37" borderId="15" xfId="60" applyNumberFormat="1" applyFont="1" applyFill="1" applyBorder="1" applyAlignment="1" applyProtection="1">
      <alignment/>
      <protection hidden="1"/>
    </xf>
    <xf numFmtId="4" fontId="30" fillId="44" borderId="15" xfId="60" applyNumberFormat="1" applyFont="1" applyFill="1" applyBorder="1" applyAlignment="1" applyProtection="1">
      <alignment/>
      <protection hidden="1"/>
    </xf>
    <xf numFmtId="40" fontId="30" fillId="44" borderId="15" xfId="60" applyNumberFormat="1" applyFont="1" applyFill="1" applyBorder="1" applyAlignment="1" applyProtection="1">
      <alignment/>
      <protection hidden="1"/>
    </xf>
    <xf numFmtId="181" fontId="30" fillId="42" borderId="39" xfId="60" applyNumberFormat="1" applyFont="1" applyFill="1" applyBorder="1" applyAlignment="1" applyProtection="1">
      <alignment wrapText="1"/>
      <protection hidden="1"/>
    </xf>
    <xf numFmtId="181" fontId="30" fillId="42" borderId="22" xfId="60" applyNumberFormat="1" applyFont="1" applyFill="1" applyBorder="1" applyAlignment="1" applyProtection="1">
      <alignment wrapText="1"/>
      <protection hidden="1"/>
    </xf>
    <xf numFmtId="181" fontId="30" fillId="42" borderId="40" xfId="60" applyNumberFormat="1" applyFont="1" applyFill="1" applyBorder="1" applyAlignment="1" applyProtection="1">
      <alignment wrapText="1"/>
      <protection hidden="1"/>
    </xf>
    <xf numFmtId="40" fontId="23" fillId="0" borderId="45" xfId="60" applyNumberFormat="1" applyFont="1" applyFill="1" applyBorder="1" applyAlignment="1" applyProtection="1">
      <alignment wrapText="1"/>
      <protection hidden="1"/>
    </xf>
    <xf numFmtId="178" fontId="23" fillId="0" borderId="22" xfId="60" applyNumberFormat="1" applyFont="1" applyFill="1" applyBorder="1" applyAlignment="1" applyProtection="1">
      <alignment/>
      <protection hidden="1"/>
    </xf>
    <xf numFmtId="173" fontId="23" fillId="0" borderId="22" xfId="60" applyNumberFormat="1" applyFont="1" applyFill="1" applyBorder="1" applyAlignment="1" applyProtection="1">
      <alignment wrapText="1"/>
      <protection hidden="1"/>
    </xf>
    <xf numFmtId="174" fontId="23" fillId="0" borderId="22" xfId="60" applyNumberFormat="1" applyFont="1" applyFill="1" applyBorder="1" applyAlignment="1" applyProtection="1">
      <alignment/>
      <protection hidden="1"/>
    </xf>
    <xf numFmtId="173" fontId="23" fillId="0" borderId="22" xfId="60" applyNumberFormat="1" applyFont="1" applyFill="1" applyBorder="1" applyAlignment="1" applyProtection="1">
      <alignment/>
      <protection hidden="1"/>
    </xf>
    <xf numFmtId="49" fontId="23" fillId="0" borderId="22" xfId="60" applyNumberFormat="1" applyFont="1" applyFill="1" applyBorder="1" applyAlignment="1" applyProtection="1">
      <alignment horizontal="center" vertical="center"/>
      <protection hidden="1"/>
    </xf>
    <xf numFmtId="172" fontId="23" fillId="0" borderId="14" xfId="60" applyNumberFormat="1" applyFont="1" applyFill="1" applyBorder="1" applyAlignment="1" applyProtection="1">
      <alignment/>
      <protection hidden="1"/>
    </xf>
    <xf numFmtId="40" fontId="23" fillId="0" borderId="40" xfId="60" applyNumberFormat="1" applyFont="1" applyFill="1" applyBorder="1" applyAlignment="1" applyProtection="1">
      <alignment/>
      <protection hidden="1"/>
    </xf>
    <xf numFmtId="40" fontId="30" fillId="43" borderId="21" xfId="60" applyNumberFormat="1" applyFont="1" applyFill="1" applyBorder="1" applyAlignment="1" applyProtection="1">
      <alignment/>
      <protection hidden="1"/>
    </xf>
    <xf numFmtId="172" fontId="30" fillId="43" borderId="21" xfId="60" applyNumberFormat="1" applyFont="1" applyFill="1" applyBorder="1" applyAlignment="1" applyProtection="1">
      <alignment/>
      <protection hidden="1"/>
    </xf>
    <xf numFmtId="4" fontId="30" fillId="43" borderId="21" xfId="60" applyNumberFormat="1" applyFont="1" applyFill="1" applyBorder="1" applyAlignment="1" applyProtection="1">
      <alignment/>
      <protection hidden="1"/>
    </xf>
    <xf numFmtId="181" fontId="30" fillId="0" borderId="39" xfId="60" applyNumberFormat="1" applyFont="1" applyFill="1" applyBorder="1" applyAlignment="1" applyProtection="1">
      <alignment/>
      <protection hidden="1"/>
    </xf>
    <xf numFmtId="0" fontId="0" fillId="0" borderId="22" xfId="0" applyBorder="1" applyAlignment="1">
      <alignment/>
    </xf>
    <xf numFmtId="4" fontId="0" fillId="37" borderId="22" xfId="0" applyNumberFormat="1" applyFill="1" applyBorder="1" applyAlignment="1">
      <alignment/>
    </xf>
    <xf numFmtId="4" fontId="0" fillId="0" borderId="22" xfId="0" applyNumberFormat="1" applyBorder="1" applyAlignment="1">
      <alignment/>
    </xf>
    <xf numFmtId="0" fontId="0" fillId="0" borderId="40" xfId="0" applyBorder="1" applyAlignment="1">
      <alignment/>
    </xf>
    <xf numFmtId="172" fontId="23" fillId="46" borderId="13" xfId="60" applyNumberFormat="1" applyFont="1" applyFill="1" applyBorder="1" applyAlignment="1" applyProtection="1">
      <alignment wrapText="1"/>
      <protection hidden="1"/>
    </xf>
    <xf numFmtId="172" fontId="23" fillId="35" borderId="13" xfId="60" applyNumberFormat="1" applyFont="1" applyFill="1" applyBorder="1" applyAlignment="1" applyProtection="1">
      <alignment/>
      <protection hidden="1"/>
    </xf>
    <xf numFmtId="40" fontId="23" fillId="46" borderId="13" xfId="60" applyNumberFormat="1" applyFont="1" applyFill="1" applyBorder="1" applyAlignment="1" applyProtection="1">
      <alignment/>
      <protection hidden="1"/>
    </xf>
    <xf numFmtId="172" fontId="23" fillId="46" borderId="13" xfId="60" applyNumberFormat="1" applyFont="1" applyFill="1" applyBorder="1" applyAlignment="1" applyProtection="1">
      <alignment/>
      <protection hidden="1"/>
    </xf>
    <xf numFmtId="4" fontId="23" fillId="46" borderId="13" xfId="60" applyNumberFormat="1" applyFont="1" applyFill="1" applyBorder="1" applyAlignment="1" applyProtection="1">
      <alignment/>
      <protection hidden="1"/>
    </xf>
    <xf numFmtId="172" fontId="30" fillId="46" borderId="13" xfId="60" applyNumberFormat="1" applyFont="1" applyFill="1" applyBorder="1" applyAlignment="1" applyProtection="1">
      <alignment wrapText="1"/>
      <protection hidden="1"/>
    </xf>
    <xf numFmtId="40" fontId="30" fillId="46" borderId="21" xfId="60" applyNumberFormat="1" applyFont="1" applyFill="1" applyBorder="1" applyAlignment="1" applyProtection="1">
      <alignment/>
      <protection hidden="1"/>
    </xf>
    <xf numFmtId="172" fontId="30" fillId="46" borderId="21" xfId="60" applyNumberFormat="1" applyFont="1" applyFill="1" applyBorder="1" applyAlignment="1" applyProtection="1">
      <alignment/>
      <protection hidden="1"/>
    </xf>
    <xf numFmtId="4" fontId="30" fillId="46" borderId="21" xfId="60" applyNumberFormat="1" applyFont="1" applyFill="1" applyBorder="1" applyAlignment="1" applyProtection="1">
      <alignment/>
      <protection hidden="1"/>
    </xf>
    <xf numFmtId="40" fontId="30" fillId="0" borderId="21" xfId="60" applyNumberFormat="1" applyFont="1" applyFill="1" applyBorder="1" applyAlignment="1" applyProtection="1">
      <alignment wrapText="1"/>
      <protection hidden="1"/>
    </xf>
    <xf numFmtId="0" fontId="2" fillId="41" borderId="36" xfId="60" applyFill="1" applyBorder="1" applyProtection="1">
      <alignment/>
      <protection hidden="1"/>
    </xf>
    <xf numFmtId="0" fontId="2" fillId="41" borderId="30" xfId="60" applyNumberFormat="1" applyFont="1" applyFill="1" applyBorder="1" applyAlignment="1" applyProtection="1">
      <alignment/>
      <protection hidden="1"/>
    </xf>
    <xf numFmtId="0" fontId="2" fillId="41" borderId="0" xfId="60" applyFill="1" applyProtection="1">
      <alignment/>
      <protection hidden="1"/>
    </xf>
    <xf numFmtId="0" fontId="2" fillId="41" borderId="0" xfId="60" applyFill="1">
      <alignment/>
      <protection/>
    </xf>
    <xf numFmtId="174" fontId="23" fillId="47" borderId="13" xfId="60" applyNumberFormat="1" applyFont="1" applyFill="1" applyBorder="1" applyAlignment="1" applyProtection="1">
      <alignment/>
      <protection hidden="1"/>
    </xf>
    <xf numFmtId="40" fontId="23" fillId="47" borderId="13" xfId="60" applyNumberFormat="1" applyFont="1" applyFill="1" applyBorder="1" applyAlignment="1" applyProtection="1">
      <alignment/>
      <protection hidden="1"/>
    </xf>
    <xf numFmtId="40" fontId="23" fillId="48" borderId="13" xfId="60" applyNumberFormat="1" applyFont="1" applyFill="1" applyBorder="1" applyAlignment="1" applyProtection="1">
      <alignment/>
      <protection hidden="1"/>
    </xf>
    <xf numFmtId="172" fontId="23" fillId="41" borderId="13" xfId="60" applyNumberFormat="1" applyFont="1" applyFill="1" applyBorder="1" applyAlignment="1" applyProtection="1">
      <alignment/>
      <protection hidden="1"/>
    </xf>
    <xf numFmtId="4" fontId="23" fillId="41" borderId="13" xfId="60" applyNumberFormat="1" applyFont="1" applyFill="1" applyBorder="1" applyAlignment="1" applyProtection="1">
      <alignment/>
      <protection hidden="1"/>
    </xf>
    <xf numFmtId="172" fontId="3" fillId="35" borderId="22" xfId="60" applyNumberFormat="1" applyFont="1" applyFill="1" applyBorder="1" applyAlignment="1" applyProtection="1">
      <alignment/>
      <protection hidden="1"/>
    </xf>
    <xf numFmtId="4" fontId="30" fillId="37" borderId="22" xfId="60" applyNumberFormat="1" applyFont="1" applyFill="1" applyBorder="1" applyAlignment="1" applyProtection="1">
      <alignment/>
      <protection hidden="1"/>
    </xf>
    <xf numFmtId="4" fontId="30" fillId="0" borderId="22" xfId="60" applyNumberFormat="1" applyFont="1" applyFill="1" applyBorder="1" applyAlignment="1" applyProtection="1">
      <alignment/>
      <protection hidden="1"/>
    </xf>
    <xf numFmtId="40" fontId="30" fillId="0" borderId="22" xfId="60" applyNumberFormat="1" applyFont="1" applyFill="1" applyBorder="1" applyAlignment="1" applyProtection="1">
      <alignment wrapText="1"/>
      <protection hidden="1"/>
    </xf>
    <xf numFmtId="172" fontId="30" fillId="34" borderId="16" xfId="60" applyNumberFormat="1" applyFont="1" applyFill="1" applyBorder="1" applyAlignment="1" applyProtection="1">
      <alignment wrapText="1"/>
      <protection hidden="1"/>
    </xf>
    <xf numFmtId="172" fontId="30" fillId="34" borderId="19" xfId="60" applyNumberFormat="1" applyFont="1" applyFill="1" applyBorder="1" applyAlignment="1" applyProtection="1">
      <alignment wrapText="1"/>
      <protection hidden="1"/>
    </xf>
    <xf numFmtId="172" fontId="30" fillId="35" borderId="19" xfId="60" applyNumberFormat="1" applyFont="1" applyFill="1" applyBorder="1" applyAlignment="1" applyProtection="1">
      <alignment/>
      <protection hidden="1"/>
    </xf>
    <xf numFmtId="172" fontId="23" fillId="35" borderId="17" xfId="60" applyNumberFormat="1" applyFont="1" applyFill="1" applyBorder="1" applyAlignment="1" applyProtection="1">
      <alignment/>
      <protection hidden="1"/>
    </xf>
    <xf numFmtId="4" fontId="30" fillId="37" borderId="16" xfId="60" applyNumberFormat="1" applyFont="1" applyFill="1" applyBorder="1" applyAlignment="1" applyProtection="1">
      <alignment/>
      <protection hidden="1"/>
    </xf>
    <xf numFmtId="40" fontId="30" fillId="0" borderId="16" xfId="60" applyNumberFormat="1" applyFont="1" applyFill="1" applyBorder="1" applyAlignment="1" applyProtection="1">
      <alignment wrapText="1"/>
      <protection hidden="1"/>
    </xf>
    <xf numFmtId="4" fontId="30" fillId="42" borderId="0" xfId="60" applyNumberFormat="1" applyFont="1" applyFill="1" applyBorder="1" applyAlignment="1" applyProtection="1">
      <alignment horizontal="center" wrapText="1"/>
      <protection hidden="1"/>
    </xf>
    <xf numFmtId="181" fontId="30" fillId="42" borderId="0" xfId="60" applyNumberFormat="1" applyFont="1" applyFill="1" applyBorder="1" applyAlignment="1" applyProtection="1">
      <alignment horizontal="center" wrapText="1"/>
      <protection hidden="1"/>
    </xf>
    <xf numFmtId="181" fontId="23" fillId="37" borderId="38" xfId="60" applyNumberFormat="1" applyFont="1" applyFill="1" applyBorder="1" applyAlignment="1" applyProtection="1">
      <alignment wrapText="1"/>
      <protection hidden="1"/>
    </xf>
    <xf numFmtId="49" fontId="23" fillId="0" borderId="13" xfId="60" applyNumberFormat="1" applyFont="1" applyFill="1" applyBorder="1" applyAlignment="1" applyProtection="1">
      <alignment/>
      <protection hidden="1"/>
    </xf>
    <xf numFmtId="174" fontId="23" fillId="43" borderId="13" xfId="60" applyNumberFormat="1" applyFont="1" applyFill="1" applyBorder="1" applyAlignment="1" applyProtection="1">
      <alignment/>
      <protection hidden="1"/>
    </xf>
    <xf numFmtId="40" fontId="23" fillId="43" borderId="45" xfId="60" applyNumberFormat="1" applyFont="1" applyFill="1" applyBorder="1" applyAlignment="1" applyProtection="1">
      <alignment wrapText="1"/>
      <protection hidden="1"/>
    </xf>
    <xf numFmtId="0" fontId="2" fillId="43" borderId="30" xfId="60" applyNumberFormat="1" applyFont="1" applyFill="1" applyBorder="1" applyAlignment="1" applyProtection="1">
      <alignment/>
      <protection hidden="1"/>
    </xf>
    <xf numFmtId="172" fontId="30" fillId="43" borderId="21" xfId="60" applyNumberFormat="1" applyFont="1" applyFill="1" applyBorder="1" applyAlignment="1" applyProtection="1">
      <alignment wrapText="1"/>
      <protection hidden="1"/>
    </xf>
    <xf numFmtId="172" fontId="30" fillId="43" borderId="13" xfId="60" applyNumberFormat="1" applyFont="1" applyFill="1" applyBorder="1" applyAlignment="1" applyProtection="1">
      <alignment wrapText="1"/>
      <protection hidden="1"/>
    </xf>
    <xf numFmtId="4" fontId="3" fillId="43" borderId="22" xfId="60" applyNumberFormat="1" applyFont="1" applyFill="1" applyBorder="1" applyAlignment="1" applyProtection="1">
      <alignment wrapText="1"/>
      <protection hidden="1"/>
    </xf>
    <xf numFmtId="172" fontId="23" fillId="43" borderId="22" xfId="60" applyNumberFormat="1" applyFont="1" applyFill="1" applyBorder="1" applyAlignment="1" applyProtection="1">
      <alignment/>
      <protection hidden="1"/>
    </xf>
    <xf numFmtId="40" fontId="30" fillId="43" borderId="21" xfId="60" applyNumberFormat="1" applyFont="1" applyFill="1" applyBorder="1" applyAlignment="1" applyProtection="1">
      <alignment wrapText="1"/>
      <protection hidden="1"/>
    </xf>
    <xf numFmtId="172" fontId="23" fillId="43" borderId="40" xfId="60" applyNumberFormat="1" applyFont="1" applyFill="1" applyBorder="1" applyAlignment="1" applyProtection="1">
      <alignment/>
      <protection hidden="1"/>
    </xf>
    <xf numFmtId="172" fontId="23" fillId="43" borderId="39" xfId="60" applyNumberFormat="1" applyFont="1" applyFill="1" applyBorder="1" applyAlignment="1" applyProtection="1">
      <alignment/>
      <protection hidden="1"/>
    </xf>
    <xf numFmtId="10" fontId="23" fillId="43" borderId="40" xfId="60" applyNumberFormat="1" applyFont="1" applyFill="1" applyBorder="1" applyAlignment="1" applyProtection="1">
      <alignment/>
      <protection hidden="1"/>
    </xf>
    <xf numFmtId="4" fontId="23" fillId="43" borderId="22" xfId="60" applyNumberFormat="1" applyFont="1" applyFill="1" applyBorder="1" applyAlignment="1" applyProtection="1">
      <alignment wrapText="1"/>
      <protection hidden="1"/>
    </xf>
    <xf numFmtId="174" fontId="15" fillId="0" borderId="21" xfId="53" applyNumberFormat="1" applyFont="1" applyFill="1" applyBorder="1" applyAlignment="1" applyProtection="1">
      <alignment horizontal="left"/>
      <protection hidden="1"/>
    </xf>
    <xf numFmtId="40" fontId="23" fillId="49" borderId="13" xfId="60" applyNumberFormat="1" applyFont="1" applyFill="1" applyBorder="1" applyAlignment="1" applyProtection="1">
      <alignment/>
      <protection hidden="1"/>
    </xf>
    <xf numFmtId="40" fontId="30" fillId="49" borderId="21" xfId="60" applyNumberFormat="1" applyFont="1" applyFill="1" applyBorder="1" applyAlignment="1" applyProtection="1">
      <alignment/>
      <protection hidden="1"/>
    </xf>
    <xf numFmtId="181" fontId="30" fillId="43" borderId="22" xfId="60" applyNumberFormat="1" applyFont="1" applyFill="1" applyBorder="1" applyAlignment="1" applyProtection="1">
      <alignment horizontal="center" wrapText="1"/>
      <protection hidden="1"/>
    </xf>
    <xf numFmtId="4" fontId="30" fillId="37" borderId="22" xfId="60" applyNumberFormat="1" applyFont="1" applyFill="1" applyBorder="1" applyAlignment="1" applyProtection="1">
      <alignment horizontal="center" wrapText="1"/>
      <protection hidden="1"/>
    </xf>
    <xf numFmtId="4" fontId="30" fillId="43" borderId="22" xfId="60" applyNumberFormat="1" applyFont="1" applyFill="1" applyBorder="1" applyAlignment="1" applyProtection="1">
      <alignment horizontal="center" wrapText="1"/>
      <protection hidden="1"/>
    </xf>
    <xf numFmtId="174" fontId="38" fillId="0" borderId="21" xfId="53" applyNumberFormat="1" applyFont="1" applyFill="1" applyBorder="1" applyAlignment="1" applyProtection="1">
      <alignment horizontal="left"/>
      <protection hidden="1"/>
    </xf>
    <xf numFmtId="172" fontId="23" fillId="50" borderId="13" xfId="60" applyNumberFormat="1" applyFont="1" applyFill="1" applyBorder="1" applyAlignment="1" applyProtection="1">
      <alignment/>
      <protection hidden="1"/>
    </xf>
    <xf numFmtId="40" fontId="23" fillId="39" borderId="45" xfId="60" applyNumberFormat="1" applyFont="1" applyFill="1" applyBorder="1" applyAlignment="1" applyProtection="1">
      <alignment wrapText="1"/>
      <protection hidden="1"/>
    </xf>
    <xf numFmtId="40" fontId="30" fillId="39" borderId="21" xfId="60" applyNumberFormat="1" applyFont="1" applyFill="1" applyBorder="1" applyAlignment="1" applyProtection="1">
      <alignment/>
      <protection hidden="1"/>
    </xf>
    <xf numFmtId="172" fontId="30" fillId="50" borderId="21" xfId="60" applyNumberFormat="1" applyFont="1" applyFill="1" applyBorder="1" applyAlignment="1" applyProtection="1">
      <alignment/>
      <protection hidden="1"/>
    </xf>
    <xf numFmtId="49" fontId="23" fillId="43" borderId="13" xfId="60" applyNumberFormat="1" applyFont="1" applyFill="1" applyBorder="1" applyAlignment="1" applyProtection="1">
      <alignment/>
      <protection hidden="1"/>
    </xf>
    <xf numFmtId="181" fontId="37" fillId="0" borderId="22" xfId="60" applyNumberFormat="1" applyFont="1" applyFill="1" applyBorder="1" applyAlignment="1" applyProtection="1">
      <alignment wrapText="1"/>
      <protection hidden="1"/>
    </xf>
    <xf numFmtId="181" fontId="30" fillId="37" borderId="22" xfId="60" applyNumberFormat="1" applyFont="1" applyFill="1" applyBorder="1" applyAlignment="1" applyProtection="1">
      <alignment wrapText="1"/>
      <protection hidden="1"/>
    </xf>
    <xf numFmtId="183" fontId="23" fillId="43" borderId="13" xfId="60" applyNumberFormat="1" applyFont="1" applyFill="1" applyBorder="1" applyAlignment="1" applyProtection="1">
      <alignment wrapText="1"/>
      <protection hidden="1"/>
    </xf>
    <xf numFmtId="0" fontId="2" fillId="38" borderId="0" xfId="60" applyFill="1" applyBorder="1">
      <alignment/>
      <protection/>
    </xf>
    <xf numFmtId="40" fontId="23" fillId="43" borderId="21" xfId="60" applyNumberFormat="1" applyFont="1" applyFill="1" applyBorder="1" applyAlignment="1" applyProtection="1">
      <alignment/>
      <protection hidden="1"/>
    </xf>
    <xf numFmtId="40" fontId="23" fillId="37" borderId="13" xfId="60" applyNumberFormat="1" applyFont="1" applyFill="1" applyBorder="1" applyAlignment="1" applyProtection="1">
      <alignment/>
      <protection hidden="1"/>
    </xf>
    <xf numFmtId="172" fontId="39" fillId="0" borderId="13" xfId="60" applyNumberFormat="1" applyFont="1" applyFill="1" applyBorder="1" applyAlignment="1" applyProtection="1">
      <alignment wrapText="1"/>
      <protection hidden="1"/>
    </xf>
    <xf numFmtId="174" fontId="23" fillId="0" borderId="14" xfId="60" applyNumberFormat="1" applyFont="1" applyFill="1" applyBorder="1" applyAlignment="1" applyProtection="1">
      <alignment/>
      <protection hidden="1"/>
    </xf>
    <xf numFmtId="181" fontId="23" fillId="9" borderId="38" xfId="60" applyNumberFormat="1" applyFont="1" applyFill="1" applyBorder="1" applyAlignment="1" applyProtection="1">
      <alignment wrapText="1"/>
      <protection hidden="1"/>
    </xf>
    <xf numFmtId="40" fontId="23" fillId="39" borderId="13" xfId="60" applyNumberFormat="1" applyFont="1" applyFill="1" applyBorder="1" applyAlignment="1" applyProtection="1">
      <alignment/>
      <protection hidden="1"/>
    </xf>
    <xf numFmtId="176" fontId="2" fillId="0" borderId="0" xfId="60" applyNumberFormat="1" applyFill="1">
      <alignment/>
      <protection/>
    </xf>
    <xf numFmtId="178" fontId="23" fillId="37" borderId="13" xfId="60" applyNumberFormat="1" applyFont="1" applyFill="1" applyBorder="1" applyAlignment="1" applyProtection="1">
      <alignment/>
      <protection hidden="1"/>
    </xf>
    <xf numFmtId="173" fontId="23" fillId="37" borderId="13" xfId="60" applyNumberFormat="1" applyFont="1" applyFill="1" applyBorder="1" applyAlignment="1" applyProtection="1">
      <alignment wrapText="1"/>
      <protection hidden="1"/>
    </xf>
    <xf numFmtId="174" fontId="23" fillId="37" borderId="13" xfId="60" applyNumberFormat="1" applyFont="1" applyFill="1" applyBorder="1" applyAlignment="1" applyProtection="1">
      <alignment/>
      <protection hidden="1"/>
    </xf>
    <xf numFmtId="173" fontId="23" fillId="37" borderId="13" xfId="60" applyNumberFormat="1" applyFont="1" applyFill="1" applyBorder="1" applyAlignment="1" applyProtection="1">
      <alignment/>
      <protection hidden="1"/>
    </xf>
    <xf numFmtId="49" fontId="23" fillId="37" borderId="13" xfId="60" applyNumberFormat="1" applyFont="1" applyFill="1" applyBorder="1" applyAlignment="1" applyProtection="1">
      <alignment horizontal="center" vertical="center"/>
      <protection hidden="1"/>
    </xf>
    <xf numFmtId="172" fontId="23" fillId="37" borderId="13" xfId="60" applyNumberFormat="1" applyFont="1" applyFill="1" applyBorder="1" applyAlignment="1" applyProtection="1">
      <alignment/>
      <protection hidden="1"/>
    </xf>
    <xf numFmtId="172" fontId="23" fillId="37" borderId="13" xfId="60" applyNumberFormat="1" applyFont="1" applyFill="1" applyBorder="1" applyAlignment="1" applyProtection="1">
      <alignment wrapText="1"/>
      <protection hidden="1"/>
    </xf>
    <xf numFmtId="40" fontId="3" fillId="0" borderId="13" xfId="60" applyNumberFormat="1" applyFont="1" applyFill="1" applyBorder="1" applyAlignment="1" applyProtection="1">
      <alignment/>
      <protection hidden="1"/>
    </xf>
    <xf numFmtId="40" fontId="3" fillId="43" borderId="13" xfId="60" applyNumberFormat="1" applyFont="1" applyFill="1" applyBorder="1" applyAlignment="1" applyProtection="1">
      <alignment/>
      <protection hidden="1"/>
    </xf>
    <xf numFmtId="40" fontId="3" fillId="37" borderId="13" xfId="60" applyNumberFormat="1" applyFont="1" applyFill="1" applyBorder="1" applyAlignment="1" applyProtection="1">
      <alignment/>
      <protection hidden="1"/>
    </xf>
    <xf numFmtId="172" fontId="23" fillId="43" borderId="37" xfId="60" applyNumberFormat="1" applyFont="1" applyFill="1" applyBorder="1" applyAlignment="1" applyProtection="1">
      <alignment wrapText="1"/>
      <protection hidden="1"/>
    </xf>
    <xf numFmtId="40" fontId="23" fillId="43" borderId="37" xfId="60" applyNumberFormat="1" applyFont="1" applyFill="1" applyBorder="1" applyAlignment="1" applyProtection="1">
      <alignment wrapText="1"/>
      <protection hidden="1"/>
    </xf>
    <xf numFmtId="10" fontId="23" fillId="43" borderId="37" xfId="60" applyNumberFormat="1" applyFont="1" applyFill="1" applyBorder="1" applyAlignment="1" applyProtection="1">
      <alignment wrapText="1"/>
      <protection hidden="1"/>
    </xf>
    <xf numFmtId="0" fontId="2" fillId="0" borderId="30" xfId="60" applyNumberFormat="1" applyFont="1" applyFill="1" applyBorder="1" applyAlignment="1" applyProtection="1">
      <alignment wrapText="1"/>
      <protection hidden="1"/>
    </xf>
    <xf numFmtId="0" fontId="2" fillId="0" borderId="0" xfId="60" applyFill="1" applyAlignment="1" applyProtection="1">
      <alignment wrapText="1"/>
      <protection hidden="1"/>
    </xf>
    <xf numFmtId="0" fontId="2" fillId="0" borderId="0" xfId="60" applyFill="1" applyBorder="1" applyAlignment="1">
      <alignment wrapText="1"/>
      <protection/>
    </xf>
    <xf numFmtId="0" fontId="2" fillId="0" borderId="0" xfId="60" applyFill="1" applyAlignment="1">
      <alignment wrapText="1"/>
      <protection/>
    </xf>
    <xf numFmtId="0" fontId="2" fillId="38" borderId="36" xfId="60" applyFill="1" applyBorder="1" applyProtection="1">
      <alignment/>
      <protection hidden="1"/>
    </xf>
    <xf numFmtId="181" fontId="23" fillId="38" borderId="37" xfId="60" applyNumberFormat="1" applyFont="1" applyFill="1" applyBorder="1" applyAlignment="1" applyProtection="1">
      <alignment wrapText="1"/>
      <protection hidden="1"/>
    </xf>
    <xf numFmtId="181" fontId="30" fillId="38" borderId="37" xfId="60" applyNumberFormat="1" applyFont="1" applyFill="1" applyBorder="1" applyAlignment="1" applyProtection="1">
      <alignment wrapText="1"/>
      <protection hidden="1"/>
    </xf>
    <xf numFmtId="181" fontId="23" fillId="38" borderId="38" xfId="60" applyNumberFormat="1" applyFont="1" applyFill="1" applyBorder="1" applyAlignment="1" applyProtection="1">
      <alignment wrapText="1"/>
      <protection hidden="1"/>
    </xf>
    <xf numFmtId="178" fontId="23" fillId="38" borderId="13" xfId="60" applyNumberFormat="1" applyFont="1" applyFill="1" applyBorder="1" applyAlignment="1" applyProtection="1">
      <alignment/>
      <protection hidden="1"/>
    </xf>
    <xf numFmtId="173" fontId="23" fillId="38" borderId="13" xfId="60" applyNumberFormat="1" applyFont="1" applyFill="1" applyBorder="1" applyAlignment="1" applyProtection="1">
      <alignment wrapText="1"/>
      <protection hidden="1"/>
    </xf>
    <xf numFmtId="174" fontId="23" fillId="38" borderId="13" xfId="60" applyNumberFormat="1" applyFont="1" applyFill="1" applyBorder="1" applyAlignment="1" applyProtection="1">
      <alignment/>
      <protection hidden="1"/>
    </xf>
    <xf numFmtId="173" fontId="23" fillId="38" borderId="13" xfId="60" applyNumberFormat="1" applyFont="1" applyFill="1" applyBorder="1" applyAlignment="1" applyProtection="1">
      <alignment/>
      <protection hidden="1"/>
    </xf>
    <xf numFmtId="49" fontId="23" fillId="38" borderId="13" xfId="60" applyNumberFormat="1" applyFont="1" applyFill="1" applyBorder="1" applyAlignment="1" applyProtection="1">
      <alignment horizontal="center" vertical="center"/>
      <protection hidden="1"/>
    </xf>
    <xf numFmtId="4" fontId="23" fillId="38" borderId="13" xfId="60" applyNumberFormat="1" applyFont="1" applyFill="1" applyBorder="1" applyAlignment="1" applyProtection="1">
      <alignment/>
      <protection hidden="1"/>
    </xf>
    <xf numFmtId="172" fontId="23" fillId="38" borderId="37" xfId="60" applyNumberFormat="1" applyFont="1" applyFill="1" applyBorder="1" applyAlignment="1" applyProtection="1">
      <alignment/>
      <protection hidden="1"/>
    </xf>
    <xf numFmtId="40" fontId="23" fillId="38" borderId="37" xfId="60" applyNumberFormat="1" applyFont="1" applyFill="1" applyBorder="1" applyAlignment="1" applyProtection="1">
      <alignment/>
      <protection hidden="1"/>
    </xf>
    <xf numFmtId="10" fontId="23" fillId="38" borderId="37" xfId="60" applyNumberFormat="1" applyFont="1" applyFill="1" applyBorder="1" applyAlignment="1" applyProtection="1">
      <alignment/>
      <protection hidden="1"/>
    </xf>
    <xf numFmtId="0" fontId="2" fillId="38" borderId="30" xfId="60" applyNumberFormat="1" applyFont="1" applyFill="1" applyBorder="1" applyAlignment="1" applyProtection="1">
      <alignment/>
      <protection hidden="1"/>
    </xf>
    <xf numFmtId="0" fontId="2" fillId="38" borderId="0" xfId="60" applyFill="1" applyProtection="1">
      <alignment/>
      <protection hidden="1"/>
    </xf>
    <xf numFmtId="0" fontId="2" fillId="38" borderId="0" xfId="60" applyFill="1">
      <alignment/>
      <protection/>
    </xf>
    <xf numFmtId="172" fontId="30" fillId="38" borderId="21" xfId="60" applyNumberFormat="1" applyFont="1" applyFill="1" applyBorder="1" applyAlignment="1" applyProtection="1">
      <alignment wrapText="1"/>
      <protection hidden="1"/>
    </xf>
    <xf numFmtId="4" fontId="3" fillId="38" borderId="22" xfId="60" applyNumberFormat="1" applyFont="1" applyFill="1" applyBorder="1" applyAlignment="1" applyProtection="1">
      <alignment wrapText="1"/>
      <protection hidden="1"/>
    </xf>
    <xf numFmtId="4" fontId="30" fillId="38" borderId="21" xfId="60" applyNumberFormat="1" applyFont="1" applyFill="1" applyBorder="1" applyAlignment="1" applyProtection="1">
      <alignment/>
      <protection hidden="1"/>
    </xf>
    <xf numFmtId="172" fontId="23" fillId="38" borderId="40" xfId="60" applyNumberFormat="1" applyFont="1" applyFill="1" applyBorder="1" applyAlignment="1" applyProtection="1">
      <alignment/>
      <protection hidden="1"/>
    </xf>
    <xf numFmtId="172" fontId="23" fillId="38" borderId="39" xfId="60" applyNumberFormat="1" applyFont="1" applyFill="1" applyBorder="1" applyAlignment="1" applyProtection="1">
      <alignment/>
      <protection hidden="1"/>
    </xf>
    <xf numFmtId="10" fontId="23" fillId="38" borderId="40" xfId="60" applyNumberFormat="1" applyFont="1" applyFill="1" applyBorder="1" applyAlignment="1" applyProtection="1">
      <alignment/>
      <protection hidden="1"/>
    </xf>
    <xf numFmtId="176" fontId="2" fillId="38" borderId="0" xfId="60" applyNumberFormat="1" applyFill="1" applyBorder="1">
      <alignment/>
      <protection/>
    </xf>
    <xf numFmtId="181" fontId="30" fillId="43" borderId="39" xfId="60" applyNumberFormat="1" applyFont="1" applyFill="1" applyBorder="1" applyAlignment="1" applyProtection="1">
      <alignment wrapText="1"/>
      <protection hidden="1"/>
    </xf>
    <xf numFmtId="181" fontId="30" fillId="43" borderId="22" xfId="60" applyNumberFormat="1" applyFont="1" applyFill="1" applyBorder="1" applyAlignment="1" applyProtection="1">
      <alignment wrapText="1"/>
      <protection hidden="1"/>
    </xf>
    <xf numFmtId="172" fontId="30" fillId="43" borderId="22" xfId="60" applyNumberFormat="1" applyFont="1" applyFill="1" applyBorder="1" applyAlignment="1" applyProtection="1">
      <alignment/>
      <protection hidden="1"/>
    </xf>
    <xf numFmtId="40" fontId="23" fillId="41" borderId="13" xfId="60" applyNumberFormat="1" applyFont="1" applyFill="1" applyBorder="1" applyAlignment="1" applyProtection="1">
      <alignment/>
      <protection hidden="1"/>
    </xf>
    <xf numFmtId="172" fontId="23" fillId="31" borderId="13" xfId="60" applyNumberFormat="1" applyFont="1" applyFill="1" applyBorder="1" applyAlignment="1" applyProtection="1">
      <alignment/>
      <protection hidden="1"/>
    </xf>
    <xf numFmtId="4" fontId="3" fillId="0" borderId="19" xfId="60" applyNumberFormat="1" applyFont="1" applyFill="1" applyBorder="1" applyAlignment="1" applyProtection="1">
      <alignment wrapText="1"/>
      <protection hidden="1"/>
    </xf>
    <xf numFmtId="4" fontId="23" fillId="0" borderId="53" xfId="60" applyNumberFormat="1" applyFont="1" applyFill="1" applyBorder="1" applyAlignment="1" applyProtection="1">
      <alignment wrapText="1"/>
      <protection hidden="1"/>
    </xf>
    <xf numFmtId="172" fontId="23" fillId="0" borderId="53" xfId="60" applyNumberFormat="1" applyFont="1" applyFill="1" applyBorder="1" applyAlignment="1" applyProtection="1">
      <alignment/>
      <protection hidden="1"/>
    </xf>
    <xf numFmtId="172" fontId="3" fillId="0" borderId="48" xfId="60" applyNumberFormat="1" applyFont="1" applyFill="1" applyBorder="1" applyAlignment="1" applyProtection="1">
      <alignment/>
      <protection hidden="1"/>
    </xf>
    <xf numFmtId="40" fontId="3" fillId="0" borderId="48" xfId="60" applyNumberFormat="1" applyFont="1" applyFill="1" applyBorder="1" applyAlignment="1" applyProtection="1">
      <alignment wrapText="1"/>
      <protection hidden="1"/>
    </xf>
    <xf numFmtId="172" fontId="23" fillId="0" borderId="54" xfId="60" applyNumberFormat="1" applyFont="1" applyFill="1" applyBorder="1" applyAlignment="1" applyProtection="1">
      <alignment/>
      <protection hidden="1"/>
    </xf>
    <xf numFmtId="172" fontId="23" fillId="0" borderId="55" xfId="60" applyNumberFormat="1" applyFont="1" applyFill="1" applyBorder="1" applyAlignment="1" applyProtection="1">
      <alignment/>
      <protection hidden="1"/>
    </xf>
    <xf numFmtId="10" fontId="23" fillId="0" borderId="54" xfId="60" applyNumberFormat="1" applyFont="1" applyFill="1" applyBorder="1" applyAlignment="1" applyProtection="1">
      <alignment/>
      <protection hidden="1"/>
    </xf>
    <xf numFmtId="0" fontId="2" fillId="0" borderId="34" xfId="60" applyNumberFormat="1" applyFont="1" applyFill="1" applyBorder="1" applyAlignment="1" applyProtection="1">
      <alignment/>
      <protection hidden="1"/>
    </xf>
    <xf numFmtId="0" fontId="29" fillId="0" borderId="31" xfId="60" applyNumberFormat="1" applyFont="1" applyFill="1" applyBorder="1" applyAlignment="1" applyProtection="1">
      <alignment/>
      <protection hidden="1"/>
    </xf>
    <xf numFmtId="40" fontId="3" fillId="0" borderId="33" xfId="60" applyNumberFormat="1" applyFont="1" applyFill="1" applyBorder="1" applyAlignment="1" applyProtection="1">
      <alignment/>
      <protection hidden="1"/>
    </xf>
    <xf numFmtId="49" fontId="3" fillId="0" borderId="33" xfId="60" applyNumberFormat="1" applyFont="1" applyFill="1" applyBorder="1" applyAlignment="1" applyProtection="1">
      <alignment horizontal="center" vertical="center"/>
      <protection hidden="1"/>
    </xf>
    <xf numFmtId="40" fontId="3" fillId="0" borderId="56" xfId="60" applyNumberFormat="1" applyFont="1" applyFill="1" applyBorder="1" applyAlignment="1" applyProtection="1">
      <alignment/>
      <protection hidden="1"/>
    </xf>
    <xf numFmtId="40" fontId="3" fillId="34" borderId="33" xfId="60" applyNumberFormat="1" applyFont="1" applyFill="1" applyBorder="1" applyAlignment="1" applyProtection="1">
      <alignment/>
      <protection hidden="1"/>
    </xf>
    <xf numFmtId="40" fontId="3" fillId="34" borderId="57" xfId="60" applyNumberFormat="1" applyFont="1" applyFill="1" applyBorder="1" applyAlignment="1" applyProtection="1">
      <alignment/>
      <protection hidden="1"/>
    </xf>
    <xf numFmtId="4" fontId="3" fillId="48" borderId="22" xfId="60" applyNumberFormat="1" applyFont="1" applyFill="1" applyBorder="1" applyAlignment="1" applyProtection="1">
      <alignment wrapText="1"/>
      <protection hidden="1"/>
    </xf>
    <xf numFmtId="4" fontId="3" fillId="0" borderId="56" xfId="60" applyNumberFormat="1" applyFont="1" applyFill="1" applyBorder="1" applyAlignment="1" applyProtection="1">
      <alignment/>
      <protection hidden="1"/>
    </xf>
    <xf numFmtId="40" fontId="2" fillId="0" borderId="57" xfId="60" applyNumberFormat="1" applyFont="1" applyFill="1" applyBorder="1" applyAlignment="1" applyProtection="1">
      <alignment/>
      <protection hidden="1"/>
    </xf>
    <xf numFmtId="40" fontId="2" fillId="0" borderId="33" xfId="60" applyNumberFormat="1" applyFont="1" applyFill="1" applyBorder="1" applyAlignment="1" applyProtection="1">
      <alignment/>
      <protection hidden="1"/>
    </xf>
    <xf numFmtId="40" fontId="2" fillId="0" borderId="46" xfId="60" applyNumberFormat="1" applyFont="1" applyFill="1" applyBorder="1" applyAlignment="1" applyProtection="1">
      <alignment/>
      <protection hidden="1"/>
    </xf>
    <xf numFmtId="40" fontId="2" fillId="0" borderId="0" xfId="60" applyNumberFormat="1" applyFont="1" applyFill="1" applyAlignment="1" applyProtection="1">
      <alignment/>
      <protection hidden="1"/>
    </xf>
    <xf numFmtId="10" fontId="3" fillId="0" borderId="31" xfId="60" applyNumberFormat="1" applyFont="1" applyFill="1" applyBorder="1" applyAlignment="1" applyProtection="1">
      <alignment/>
      <protection hidden="1"/>
    </xf>
    <xf numFmtId="49" fontId="2" fillId="0" borderId="0" xfId="60" applyNumberFormat="1" applyFont="1" applyFill="1" applyAlignment="1" applyProtection="1">
      <alignment horizontal="center" vertical="center"/>
      <protection hidden="1"/>
    </xf>
    <xf numFmtId="4" fontId="23" fillId="0" borderId="0" xfId="60" applyNumberFormat="1" applyFont="1" applyFill="1" applyAlignment="1" applyProtection="1">
      <alignment/>
      <protection hidden="1"/>
    </xf>
    <xf numFmtId="4" fontId="2" fillId="37" borderId="0" xfId="60" applyNumberFormat="1" applyFont="1" applyFill="1" applyAlignment="1" applyProtection="1">
      <alignment/>
      <protection hidden="1"/>
    </xf>
    <xf numFmtId="4" fontId="2" fillId="0" borderId="0" xfId="60" applyNumberFormat="1" applyFont="1" applyFill="1" applyAlignment="1" applyProtection="1">
      <alignment/>
      <protection hidden="1"/>
    </xf>
    <xf numFmtId="4" fontId="2" fillId="38" borderId="0" xfId="60" applyNumberFormat="1" applyFill="1" applyProtection="1">
      <alignment/>
      <protection hidden="1"/>
    </xf>
    <xf numFmtId="10" fontId="2" fillId="0" borderId="0" xfId="60" applyNumberFormat="1" applyFont="1" applyFill="1" applyAlignment="1" applyProtection="1">
      <alignment/>
      <protection hidden="1"/>
    </xf>
    <xf numFmtId="49" fontId="2" fillId="0" borderId="0" xfId="60" applyNumberFormat="1" applyFill="1" applyAlignment="1" applyProtection="1">
      <alignment horizontal="center" vertical="center"/>
      <protection hidden="1"/>
    </xf>
    <xf numFmtId="4" fontId="2" fillId="0" borderId="0" xfId="60" applyNumberFormat="1" applyFill="1" applyProtection="1">
      <alignment/>
      <protection hidden="1"/>
    </xf>
    <xf numFmtId="4" fontId="23" fillId="0" borderId="0" xfId="60" applyNumberFormat="1" applyFont="1" applyFill="1" applyProtection="1">
      <alignment/>
      <protection hidden="1"/>
    </xf>
    <xf numFmtId="0" fontId="2" fillId="0" borderId="0" xfId="60" applyNumberFormat="1" applyFont="1" applyFill="1" applyAlignment="1" applyProtection="1">
      <alignment horizontal="left"/>
      <protection hidden="1"/>
    </xf>
    <xf numFmtId="0" fontId="2" fillId="0" borderId="13" xfId="60" applyNumberFormat="1" applyFont="1" applyFill="1" applyBorder="1" applyAlignment="1" applyProtection="1">
      <alignment horizontal="left"/>
      <protection hidden="1"/>
    </xf>
    <xf numFmtId="176" fontId="2" fillId="51" borderId="13" xfId="60" applyNumberFormat="1" applyFont="1" applyFill="1" applyBorder="1" applyAlignment="1" applyProtection="1">
      <alignment horizontal="left"/>
      <protection hidden="1"/>
    </xf>
    <xf numFmtId="2" fontId="2" fillId="0" borderId="0" xfId="60" applyNumberFormat="1" applyFill="1" applyProtection="1">
      <alignment/>
      <protection hidden="1"/>
    </xf>
    <xf numFmtId="0" fontId="2" fillId="0" borderId="0" xfId="60" applyFont="1" applyFill="1" applyProtection="1">
      <alignment/>
      <protection hidden="1"/>
    </xf>
    <xf numFmtId="4" fontId="2" fillId="0" borderId="0" xfId="60" applyNumberFormat="1" applyFill="1" applyAlignment="1" applyProtection="1">
      <alignment wrapText="1"/>
      <protection hidden="1"/>
    </xf>
    <xf numFmtId="40" fontId="2" fillId="51" borderId="13" xfId="60" applyNumberFormat="1" applyFont="1" applyFill="1" applyBorder="1" applyAlignment="1" applyProtection="1">
      <alignment horizontal="left"/>
      <protection hidden="1"/>
    </xf>
    <xf numFmtId="4" fontId="29" fillId="0" borderId="0" xfId="60" applyNumberFormat="1" applyFont="1" applyFill="1" applyProtection="1">
      <alignment/>
      <protection hidden="1"/>
    </xf>
    <xf numFmtId="176" fontId="2" fillId="0" borderId="13" xfId="60" applyNumberFormat="1" applyFont="1" applyFill="1" applyBorder="1" applyAlignment="1" applyProtection="1">
      <alignment horizontal="left"/>
      <protection hidden="1"/>
    </xf>
    <xf numFmtId="4" fontId="2" fillId="0" borderId="16" xfId="60" applyNumberFormat="1" applyFill="1" applyBorder="1" applyProtection="1">
      <alignment/>
      <protection hidden="1"/>
    </xf>
    <xf numFmtId="0" fontId="2" fillId="0" borderId="17" xfId="60" applyFill="1" applyBorder="1" applyProtection="1">
      <alignment/>
      <protection hidden="1"/>
    </xf>
    <xf numFmtId="0" fontId="2" fillId="37" borderId="17" xfId="60" applyFill="1" applyBorder="1" applyProtection="1">
      <alignment/>
      <protection hidden="1"/>
    </xf>
    <xf numFmtId="4" fontId="2" fillId="0" borderId="17" xfId="60" applyNumberFormat="1" applyFill="1" applyBorder="1" applyProtection="1">
      <alignment/>
      <protection hidden="1"/>
    </xf>
    <xf numFmtId="4" fontId="2" fillId="0" borderId="58" xfId="60" applyNumberFormat="1" applyFill="1" applyBorder="1" applyProtection="1">
      <alignment/>
      <protection hidden="1"/>
    </xf>
    <xf numFmtId="4" fontId="2" fillId="0" borderId="49" xfId="60" applyNumberFormat="1" applyFill="1" applyBorder="1" applyProtection="1">
      <alignment/>
      <protection hidden="1"/>
    </xf>
    <xf numFmtId="4" fontId="2" fillId="0" borderId="0" xfId="60" applyNumberFormat="1" applyFill="1" applyBorder="1" applyProtection="1">
      <alignment/>
      <protection hidden="1"/>
    </xf>
    <xf numFmtId="4" fontId="2" fillId="37" borderId="0" xfId="60" applyNumberFormat="1" applyFill="1" applyBorder="1" applyProtection="1">
      <alignment/>
      <protection hidden="1"/>
    </xf>
    <xf numFmtId="4" fontId="2" fillId="0" borderId="59" xfId="60" applyNumberFormat="1" applyFill="1" applyBorder="1" applyProtection="1">
      <alignment/>
      <protection hidden="1"/>
    </xf>
    <xf numFmtId="4" fontId="2" fillId="0" borderId="49" xfId="60" applyNumberFormat="1" applyFill="1" applyBorder="1" applyAlignment="1" applyProtection="1">
      <alignment wrapText="1"/>
      <protection hidden="1"/>
    </xf>
    <xf numFmtId="4" fontId="2" fillId="0" borderId="18" xfId="60" applyNumberFormat="1" applyFill="1" applyBorder="1" applyProtection="1">
      <alignment/>
      <protection hidden="1"/>
    </xf>
    <xf numFmtId="4" fontId="29" fillId="0" borderId="15" xfId="60" applyNumberFormat="1" applyFont="1" applyFill="1" applyBorder="1" applyProtection="1">
      <alignment/>
      <protection hidden="1"/>
    </xf>
    <xf numFmtId="4" fontId="29" fillId="37" borderId="15" xfId="60" applyNumberFormat="1" applyFont="1" applyFill="1" applyBorder="1" applyProtection="1">
      <alignment/>
      <protection hidden="1"/>
    </xf>
    <xf numFmtId="4" fontId="2" fillId="0" borderId="15" xfId="60" applyNumberFormat="1" applyFill="1" applyBorder="1" applyProtection="1">
      <alignment/>
      <protection hidden="1"/>
    </xf>
    <xf numFmtId="4" fontId="2" fillId="0" borderId="60" xfId="60" applyNumberFormat="1" applyFill="1" applyBorder="1" applyProtection="1">
      <alignment/>
      <protection hidden="1"/>
    </xf>
    <xf numFmtId="0" fontId="9" fillId="0" borderId="13" xfId="61" applyNumberFormat="1" applyFont="1" applyFill="1" applyBorder="1" applyAlignment="1" applyProtection="1">
      <alignment horizontal="centerContinuous" vertical="top"/>
      <protection hidden="1"/>
    </xf>
    <xf numFmtId="0" fontId="2" fillId="38" borderId="13" xfId="60" applyFill="1" applyBorder="1">
      <alignment/>
      <protection/>
    </xf>
    <xf numFmtId="0" fontId="15" fillId="0" borderId="13" xfId="61" applyNumberFormat="1" applyFont="1" applyFill="1" applyBorder="1" applyAlignment="1" applyProtection="1">
      <alignment horizontal="center" wrapText="1"/>
      <protection hidden="1"/>
    </xf>
    <xf numFmtId="0" fontId="9" fillId="0" borderId="13" xfId="61" applyNumberFormat="1" applyFont="1" applyFill="1" applyBorder="1" applyAlignment="1" applyProtection="1">
      <alignment horizontal="center" wrapText="1"/>
      <protection hidden="1"/>
    </xf>
    <xf numFmtId="0" fontId="9" fillId="0" borderId="13" xfId="61" applyNumberFormat="1" applyFont="1" applyFill="1" applyBorder="1" applyAlignment="1" applyProtection="1">
      <alignment horizontal="center" vertical="top"/>
      <protection hidden="1"/>
    </xf>
    <xf numFmtId="0" fontId="15" fillId="0" borderId="13" xfId="61" applyFont="1" applyFill="1" applyBorder="1" applyAlignment="1">
      <alignment horizontal="center"/>
      <protection/>
    </xf>
    <xf numFmtId="0" fontId="15" fillId="0" borderId="13" xfId="61" applyFont="1" applyFill="1" applyBorder="1">
      <alignment/>
      <protection/>
    </xf>
    <xf numFmtId="0" fontId="2" fillId="0" borderId="13" xfId="60" applyFill="1" applyBorder="1">
      <alignment/>
      <protection/>
    </xf>
    <xf numFmtId="4" fontId="2" fillId="37" borderId="13" xfId="60" applyNumberFormat="1" applyFill="1" applyBorder="1">
      <alignment/>
      <protection/>
    </xf>
    <xf numFmtId="4" fontId="2" fillId="38" borderId="13" xfId="60" applyNumberFormat="1" applyFill="1" applyBorder="1">
      <alignment/>
      <protection/>
    </xf>
    <xf numFmtId="1" fontId="41" fillId="0" borderId="20" xfId="61" applyNumberFormat="1" applyFont="1" applyFill="1" applyBorder="1" applyAlignment="1" applyProtection="1">
      <alignment horizontal="left" vertical="top" wrapText="1"/>
      <protection hidden="1"/>
    </xf>
    <xf numFmtId="1" fontId="41" fillId="0" borderId="49" xfId="61" applyNumberFormat="1" applyFont="1" applyFill="1" applyBorder="1" applyAlignment="1" applyProtection="1">
      <alignment horizontal="left" vertical="top" wrapText="1"/>
      <protection hidden="1"/>
    </xf>
    <xf numFmtId="4" fontId="38" fillId="38" borderId="13" xfId="61" applyNumberFormat="1" applyFont="1" applyFill="1" applyBorder="1" applyAlignment="1" applyProtection="1">
      <alignment horizontal="center" vertical="center" wrapText="1"/>
      <protection hidden="1"/>
    </xf>
    <xf numFmtId="4" fontId="38" fillId="0" borderId="13" xfId="61" applyNumberFormat="1" applyFont="1" applyFill="1" applyBorder="1" applyAlignment="1" applyProtection="1">
      <alignment horizontal="center" vertical="center" wrapText="1"/>
      <protection hidden="1"/>
    </xf>
    <xf numFmtId="4" fontId="15" fillId="0" borderId="13" xfId="53" applyNumberFormat="1" applyFont="1" applyFill="1" applyBorder="1" applyAlignment="1" applyProtection="1">
      <alignment horizontal="center" vertical="center"/>
      <protection hidden="1"/>
    </xf>
    <xf numFmtId="4" fontId="38" fillId="0" borderId="13" xfId="61" applyNumberFormat="1" applyFont="1" applyFill="1" applyBorder="1" applyAlignment="1" applyProtection="1">
      <alignment horizontal="center" vertical="center"/>
      <protection hidden="1"/>
    </xf>
    <xf numFmtId="4" fontId="15" fillId="0" borderId="13" xfId="61" applyNumberFormat="1" applyFont="1" applyFill="1" applyBorder="1" applyAlignment="1" applyProtection="1">
      <alignment horizontal="center" vertical="center"/>
      <protection hidden="1"/>
    </xf>
    <xf numFmtId="4" fontId="15" fillId="0" borderId="13" xfId="60" applyNumberFormat="1" applyFont="1" applyFill="1" applyBorder="1" applyAlignment="1">
      <alignment horizontal="center" vertical="center"/>
      <protection/>
    </xf>
    <xf numFmtId="1" fontId="40" fillId="0" borderId="13" xfId="53" applyNumberFormat="1" applyFont="1" applyFill="1" applyBorder="1" applyAlignment="1" applyProtection="1">
      <alignment horizontal="left" vertical="top" wrapText="1"/>
      <protection hidden="1"/>
    </xf>
    <xf numFmtId="4" fontId="38" fillId="38" borderId="13" xfId="53" applyNumberFormat="1" applyFont="1" applyFill="1" applyBorder="1" applyAlignment="1" applyProtection="1">
      <alignment horizontal="center" vertical="center" wrapText="1"/>
      <protection hidden="1"/>
    </xf>
    <xf numFmtId="4" fontId="38" fillId="0" borderId="13" xfId="53" applyNumberFormat="1" applyFont="1" applyFill="1" applyBorder="1" applyAlignment="1" applyProtection="1">
      <alignment horizontal="center" vertical="center" wrapText="1"/>
      <protection hidden="1"/>
    </xf>
    <xf numFmtId="0" fontId="40" fillId="0" borderId="33" xfId="61" applyNumberFormat="1" applyFont="1" applyFill="1" applyBorder="1" applyAlignment="1" applyProtection="1">
      <alignment horizontal="left" vertical="top" wrapText="1"/>
      <protection hidden="1"/>
    </xf>
    <xf numFmtId="0" fontId="40" fillId="0" borderId="56" xfId="61" applyNumberFormat="1" applyFont="1" applyFill="1" applyBorder="1" applyAlignment="1" applyProtection="1">
      <alignment horizontal="left" vertical="top" wrapText="1"/>
      <protection hidden="1"/>
    </xf>
    <xf numFmtId="0" fontId="40" fillId="0" borderId="11" xfId="61" applyNumberFormat="1" applyFont="1" applyFill="1" applyBorder="1" applyAlignment="1" applyProtection="1">
      <alignment horizontal="left" vertical="top" wrapText="1"/>
      <protection hidden="1"/>
    </xf>
    <xf numFmtId="0" fontId="40" fillId="0" borderId="61" xfId="61" applyNumberFormat="1" applyFont="1" applyFill="1" applyBorder="1" applyAlignment="1" applyProtection="1">
      <alignment horizontal="left" vertical="top" wrapText="1"/>
      <protection hidden="1"/>
    </xf>
    <xf numFmtId="4" fontId="15" fillId="0" borderId="13" xfId="53" applyNumberFormat="1" applyFont="1" applyFill="1" applyBorder="1" applyAlignment="1" applyProtection="1">
      <alignment horizontal="center" vertical="center" wrapText="1"/>
      <protection hidden="1"/>
    </xf>
    <xf numFmtId="4" fontId="15" fillId="0" borderId="13" xfId="62" applyNumberFormat="1" applyFont="1" applyFill="1" applyBorder="1" applyAlignment="1" applyProtection="1">
      <alignment horizontal="center" vertical="center"/>
      <protection hidden="1"/>
    </xf>
    <xf numFmtId="0" fontId="40" fillId="0" borderId="28" xfId="61" applyNumberFormat="1" applyFont="1" applyFill="1" applyBorder="1" applyAlignment="1" applyProtection="1">
      <alignment horizontal="left" vertical="top" wrapText="1"/>
      <protection hidden="1"/>
    </xf>
    <xf numFmtId="0" fontId="40" fillId="0" borderId="62" xfId="61" applyNumberFormat="1" applyFont="1" applyFill="1" applyBorder="1" applyAlignment="1" applyProtection="1">
      <alignment horizontal="left" vertical="top" wrapText="1"/>
      <protection hidden="1"/>
    </xf>
    <xf numFmtId="0" fontId="40" fillId="0" borderId="13" xfId="53" applyNumberFormat="1" applyFont="1" applyFill="1" applyBorder="1" applyAlignment="1" applyProtection="1">
      <alignment horizontal="left" vertical="top" wrapText="1"/>
      <protection hidden="1"/>
    </xf>
    <xf numFmtId="0" fontId="2" fillId="37" borderId="13" xfId="60" applyFill="1" applyBorder="1">
      <alignment/>
      <protection/>
    </xf>
    <xf numFmtId="0" fontId="40" fillId="0" borderId="20" xfId="61" applyNumberFormat="1" applyFont="1" applyFill="1" applyBorder="1" applyAlignment="1" applyProtection="1">
      <alignment horizontal="left" vertical="top" wrapText="1"/>
      <protection hidden="1"/>
    </xf>
    <xf numFmtId="0" fontId="40" fillId="0" borderId="49" xfId="61" applyNumberFormat="1" applyFont="1" applyFill="1" applyBorder="1" applyAlignment="1" applyProtection="1">
      <alignment horizontal="left" vertical="top" wrapText="1"/>
      <protection hidden="1"/>
    </xf>
    <xf numFmtId="0" fontId="40" fillId="0" borderId="31" xfId="61" applyNumberFormat="1" applyFont="1" applyFill="1" applyBorder="1" applyAlignment="1" applyProtection="1">
      <alignment horizontal="left" vertical="top" wrapText="1"/>
      <protection hidden="1"/>
    </xf>
    <xf numFmtId="0" fontId="40" fillId="0" borderId="34" xfId="61" applyNumberFormat="1" applyFont="1" applyFill="1" applyBorder="1" applyAlignment="1" applyProtection="1">
      <alignment horizontal="left" vertical="top" wrapText="1"/>
      <protection hidden="1"/>
    </xf>
    <xf numFmtId="4" fontId="15" fillId="0" borderId="13" xfId="0" applyNumberFormat="1" applyFont="1" applyFill="1" applyBorder="1" applyAlignment="1">
      <alignment horizontal="center" vertical="center"/>
    </xf>
    <xf numFmtId="4" fontId="38" fillId="37" borderId="13" xfId="61" applyNumberFormat="1" applyFont="1" applyFill="1" applyBorder="1" applyAlignment="1" applyProtection="1">
      <alignment horizontal="center" vertical="center" wrapText="1"/>
      <protection hidden="1"/>
    </xf>
    <xf numFmtId="4" fontId="2" fillId="0" borderId="0" xfId="60" applyNumberFormat="1" applyFill="1">
      <alignment/>
      <protection/>
    </xf>
    <xf numFmtId="4" fontId="2" fillId="0" borderId="0" xfId="60" applyNumberFormat="1" applyFill="1" applyAlignment="1">
      <alignment horizontal="center" vertical="center"/>
      <protection/>
    </xf>
    <xf numFmtId="0" fontId="42" fillId="0" borderId="17" xfId="62" applyNumberFormat="1" applyFont="1" applyFill="1" applyBorder="1" applyAlignment="1" applyProtection="1">
      <alignment/>
      <protection hidden="1"/>
    </xf>
    <xf numFmtId="0" fontId="42" fillId="0" borderId="58" xfId="62" applyFont="1" applyFill="1" applyBorder="1">
      <alignment/>
      <protection/>
    </xf>
    <xf numFmtId="0" fontId="42" fillId="0" borderId="13" xfId="62" applyNumberFormat="1" applyFont="1" applyFill="1" applyBorder="1" applyAlignment="1" applyProtection="1">
      <alignment/>
      <protection hidden="1"/>
    </xf>
    <xf numFmtId="0" fontId="42" fillId="0" borderId="13" xfId="62" applyFont="1" applyFill="1" applyBorder="1">
      <alignment/>
      <protection/>
    </xf>
    <xf numFmtId="0" fontId="43" fillId="0" borderId="49" xfId="62" applyNumberFormat="1" applyFont="1" applyFill="1" applyBorder="1" applyAlignment="1" applyProtection="1">
      <alignment horizontal="center" vertical="center" wrapText="1"/>
      <protection hidden="1"/>
    </xf>
    <xf numFmtId="0" fontId="43" fillId="0" borderId="59" xfId="62" applyNumberFormat="1" applyFont="1" applyFill="1" applyBorder="1" applyAlignment="1" applyProtection="1">
      <alignment horizontal="center" vertical="center"/>
      <protection hidden="1"/>
    </xf>
    <xf numFmtId="0" fontId="44" fillId="0" borderId="20" xfId="62" applyNumberFormat="1" applyFont="1" applyFill="1" applyBorder="1" applyAlignment="1" applyProtection="1">
      <alignment horizontal="center"/>
      <protection hidden="1"/>
    </xf>
    <xf numFmtId="0" fontId="44" fillId="0" borderId="20" xfId="62" applyFont="1" applyFill="1" applyBorder="1" applyAlignment="1">
      <alignment horizontal="center"/>
      <protection/>
    </xf>
    <xf numFmtId="175" fontId="31" fillId="0" borderId="25" xfId="62" applyNumberFormat="1" applyFont="1" applyFill="1" applyBorder="1" applyAlignment="1" applyProtection="1">
      <alignment wrapText="1"/>
      <protection hidden="1"/>
    </xf>
    <xf numFmtId="4" fontId="45" fillId="0" borderId="63" xfId="62" applyNumberFormat="1" applyFont="1" applyFill="1" applyBorder="1" applyAlignment="1" applyProtection="1">
      <alignment horizontal="right" vertical="center"/>
      <protection hidden="1"/>
    </xf>
    <xf numFmtId="4" fontId="45" fillId="0" borderId="11" xfId="62" applyNumberFormat="1" applyFont="1" applyFill="1" applyBorder="1" applyAlignment="1" applyProtection="1">
      <alignment horizontal="right" vertical="center"/>
      <protection hidden="1"/>
    </xf>
    <xf numFmtId="4" fontId="45" fillId="0" borderId="64" xfId="62" applyNumberFormat="1" applyFont="1" applyFill="1" applyBorder="1" applyAlignment="1" applyProtection="1">
      <alignment horizontal="right" vertical="center"/>
      <protection hidden="1"/>
    </xf>
    <xf numFmtId="0" fontId="31" fillId="0" borderId="13" xfId="62" applyNumberFormat="1" applyFont="1" applyFill="1" applyBorder="1" applyAlignment="1" applyProtection="1">
      <alignment wrapText="1"/>
      <protection hidden="1"/>
    </xf>
    <xf numFmtId="175" fontId="31" fillId="0" borderId="18" xfId="62" applyNumberFormat="1" applyFont="1" applyFill="1" applyBorder="1" applyAlignment="1" applyProtection="1">
      <alignment wrapText="1"/>
      <protection hidden="1"/>
    </xf>
    <xf numFmtId="4" fontId="31" fillId="0" borderId="60" xfId="62" applyNumberFormat="1" applyFont="1" applyFill="1" applyBorder="1" applyAlignment="1" applyProtection="1">
      <alignment/>
      <protection hidden="1"/>
    </xf>
    <xf numFmtId="4" fontId="31" fillId="0" borderId="12" xfId="62" applyNumberFormat="1" applyFont="1" applyFill="1" applyBorder="1" applyAlignment="1" applyProtection="1">
      <alignment/>
      <protection hidden="1"/>
    </xf>
    <xf numFmtId="0" fontId="46" fillId="0" borderId="13" xfId="62" applyNumberFormat="1" applyFont="1" applyFill="1" applyBorder="1" applyAlignment="1" applyProtection="1">
      <alignment wrapText="1"/>
      <protection hidden="1"/>
    </xf>
    <xf numFmtId="175" fontId="46" fillId="0" borderId="21" xfId="62" applyNumberFormat="1" applyFont="1" applyFill="1" applyBorder="1" applyAlignment="1" applyProtection="1">
      <alignment wrapText="1"/>
      <protection hidden="1"/>
    </xf>
    <xf numFmtId="4" fontId="46" fillId="0" borderId="14" xfId="62" applyNumberFormat="1" applyFont="1" applyFill="1" applyBorder="1" applyAlignment="1" applyProtection="1">
      <alignment/>
      <protection hidden="1"/>
    </xf>
    <xf numFmtId="4" fontId="46" fillId="0" borderId="13" xfId="62" applyNumberFormat="1" applyFont="1" applyFill="1" applyBorder="1" applyAlignment="1" applyProtection="1">
      <alignment/>
      <protection hidden="1"/>
    </xf>
    <xf numFmtId="175" fontId="46" fillId="0" borderId="13" xfId="62" applyNumberFormat="1" applyFont="1" applyFill="1" applyBorder="1" applyAlignment="1" applyProtection="1">
      <alignment wrapText="1"/>
      <protection hidden="1"/>
    </xf>
    <xf numFmtId="0" fontId="45" fillId="0" borderId="13" xfId="62" applyNumberFormat="1" applyFont="1" applyFill="1" applyBorder="1" applyAlignment="1" applyProtection="1">
      <alignment wrapText="1"/>
      <protection hidden="1"/>
    </xf>
    <xf numFmtId="175" fontId="45" fillId="0" borderId="21" xfId="62" applyNumberFormat="1" applyFont="1" applyFill="1" applyBorder="1" applyAlignment="1" applyProtection="1">
      <alignment wrapText="1"/>
      <protection hidden="1"/>
    </xf>
    <xf numFmtId="4" fontId="45" fillId="0" borderId="14" xfId="62" applyNumberFormat="1" applyFont="1" applyFill="1" applyBorder="1" applyAlignment="1" applyProtection="1">
      <alignment/>
      <protection hidden="1"/>
    </xf>
    <xf numFmtId="4" fontId="45" fillId="0" borderId="13" xfId="62" applyNumberFormat="1" applyFont="1" applyFill="1" applyBorder="1" applyAlignment="1" applyProtection="1">
      <alignment/>
      <protection hidden="1"/>
    </xf>
    <xf numFmtId="175" fontId="31" fillId="0" borderId="21" xfId="62" applyNumberFormat="1" applyFont="1" applyFill="1" applyBorder="1" applyAlignment="1" applyProtection="1">
      <alignment wrapText="1"/>
      <protection hidden="1"/>
    </xf>
    <xf numFmtId="4" fontId="31" fillId="0" borderId="14" xfId="62" applyNumberFormat="1" applyFont="1" applyFill="1" applyBorder="1" applyAlignment="1" applyProtection="1">
      <alignment/>
      <protection hidden="1"/>
    </xf>
    <xf numFmtId="4" fontId="31" fillId="0" borderId="13" xfId="62" applyNumberFormat="1" applyFont="1" applyFill="1" applyBorder="1" applyAlignment="1" applyProtection="1">
      <alignment/>
      <protection hidden="1"/>
    </xf>
    <xf numFmtId="0" fontId="47" fillId="0" borderId="13" xfId="62" applyNumberFormat="1" applyFont="1" applyFill="1" applyBorder="1" applyAlignment="1" applyProtection="1">
      <alignment wrapText="1"/>
      <protection hidden="1"/>
    </xf>
    <xf numFmtId="175" fontId="47" fillId="0" borderId="21" xfId="62" applyNumberFormat="1" applyFont="1" applyFill="1" applyBorder="1" applyAlignment="1" applyProtection="1">
      <alignment wrapText="1"/>
      <protection hidden="1"/>
    </xf>
    <xf numFmtId="4" fontId="47" fillId="0" borderId="14" xfId="62" applyNumberFormat="1" applyFont="1" applyFill="1" applyBorder="1" applyAlignment="1" applyProtection="1">
      <alignment/>
      <protection hidden="1"/>
    </xf>
    <xf numFmtId="4" fontId="47" fillId="0" borderId="13" xfId="62" applyNumberFormat="1" applyFont="1" applyFill="1" applyBorder="1" applyAlignment="1" applyProtection="1">
      <alignment/>
      <protection hidden="1"/>
    </xf>
    <xf numFmtId="0" fontId="48" fillId="0" borderId="13" xfId="62" applyNumberFormat="1" applyFont="1" applyFill="1" applyBorder="1" applyAlignment="1" applyProtection="1">
      <alignment wrapText="1"/>
      <protection hidden="1"/>
    </xf>
    <xf numFmtId="175" fontId="48" fillId="0" borderId="21" xfId="62" applyNumberFormat="1" applyFont="1" applyFill="1" applyBorder="1" applyAlignment="1" applyProtection="1">
      <alignment wrapText="1"/>
      <protection hidden="1"/>
    </xf>
    <xf numFmtId="175" fontId="48" fillId="0" borderId="13" xfId="62" applyNumberFormat="1" applyFont="1" applyFill="1" applyBorder="1" applyAlignment="1" applyProtection="1">
      <alignment wrapText="1"/>
      <protection hidden="1"/>
    </xf>
    <xf numFmtId="4" fontId="48" fillId="0" borderId="14" xfId="62" applyNumberFormat="1" applyFont="1" applyFill="1" applyBorder="1" applyAlignment="1" applyProtection="1">
      <alignment/>
      <protection hidden="1"/>
    </xf>
    <xf numFmtId="4" fontId="48" fillId="0" borderId="13" xfId="62" applyNumberFormat="1" applyFont="1" applyFill="1" applyBorder="1" applyAlignment="1" applyProtection="1">
      <alignment/>
      <protection hidden="1"/>
    </xf>
    <xf numFmtId="0" fontId="40" fillId="0" borderId="13" xfId="0" applyFont="1" applyFill="1" applyBorder="1" applyAlignment="1">
      <alignment wrapText="1"/>
    </xf>
    <xf numFmtId="49" fontId="40" fillId="0" borderId="21" xfId="0" applyNumberFormat="1" applyFont="1" applyFill="1" applyBorder="1" applyAlignment="1">
      <alignment horizontal="right"/>
    </xf>
    <xf numFmtId="0" fontId="38" fillId="0" borderId="13" xfId="0" applyFont="1" applyFill="1" applyBorder="1" applyAlignment="1">
      <alignment wrapText="1"/>
    </xf>
    <xf numFmtId="49" fontId="38" fillId="0" borderId="21" xfId="0" applyNumberFormat="1" applyFont="1" applyFill="1" applyBorder="1" applyAlignment="1">
      <alignment horizontal="right"/>
    </xf>
    <xf numFmtId="4" fontId="38" fillId="0" borderId="14" xfId="62" applyNumberFormat="1" applyFont="1" applyFill="1" applyBorder="1" applyAlignment="1" applyProtection="1">
      <alignment/>
      <protection hidden="1"/>
    </xf>
    <xf numFmtId="4" fontId="38" fillId="0" borderId="13" xfId="62" applyNumberFormat="1" applyFont="1" applyFill="1" applyBorder="1" applyAlignment="1" applyProtection="1">
      <alignment/>
      <protection hidden="1"/>
    </xf>
    <xf numFmtId="175" fontId="31" fillId="0" borderId="21" xfId="62" applyNumberFormat="1" applyFont="1" applyFill="1" applyBorder="1" applyAlignment="1" applyProtection="1">
      <alignment horizontal="right" wrapText="1"/>
      <protection hidden="1"/>
    </xf>
    <xf numFmtId="0" fontId="46" fillId="0" borderId="19" xfId="62" applyNumberFormat="1" applyFont="1" applyFill="1" applyBorder="1" applyAlignment="1" applyProtection="1">
      <alignment wrapText="1"/>
      <protection hidden="1"/>
    </xf>
    <xf numFmtId="175" fontId="46" fillId="0" borderId="16" xfId="62" applyNumberFormat="1" applyFont="1" applyFill="1" applyBorder="1" applyAlignment="1" applyProtection="1">
      <alignment wrapText="1"/>
      <protection hidden="1"/>
    </xf>
    <xf numFmtId="4" fontId="46" fillId="0" borderId="58" xfId="63" applyNumberFormat="1" applyFont="1" applyFill="1" applyBorder="1" applyAlignment="1" applyProtection="1">
      <alignment/>
      <protection hidden="1"/>
    </xf>
    <xf numFmtId="4" fontId="46" fillId="0" borderId="19" xfId="63" applyNumberFormat="1" applyFont="1" applyFill="1" applyBorder="1" applyAlignment="1" applyProtection="1">
      <alignment/>
      <protection hidden="1"/>
    </xf>
    <xf numFmtId="0" fontId="2" fillId="0" borderId="26" xfId="60" applyFill="1" applyBorder="1">
      <alignment/>
      <protection/>
    </xf>
    <xf numFmtId="0" fontId="31" fillId="0" borderId="26" xfId="62" applyNumberFormat="1" applyFont="1" applyFill="1" applyBorder="1" applyAlignment="1" applyProtection="1">
      <alignment horizontal="left"/>
      <protection hidden="1"/>
    </xf>
    <xf numFmtId="4" fontId="40" fillId="0" borderId="26" xfId="0" applyNumberFormat="1" applyFont="1" applyFill="1" applyBorder="1" applyAlignment="1">
      <alignment/>
    </xf>
    <xf numFmtId="4" fontId="40" fillId="0" borderId="25" xfId="0" applyNumberFormat="1" applyFont="1" applyFill="1" applyBorder="1" applyAlignment="1">
      <alignment/>
    </xf>
    <xf numFmtId="4" fontId="2" fillId="0" borderId="26" xfId="60" applyNumberFormat="1" applyFill="1" applyBorder="1">
      <alignment/>
      <protection/>
    </xf>
    <xf numFmtId="49" fontId="2" fillId="0" borderId="0" xfId="60" applyNumberFormat="1" applyFill="1" applyAlignment="1">
      <alignment horizontal="center" vertical="center"/>
      <protection/>
    </xf>
    <xf numFmtId="0" fontId="49" fillId="0" borderId="0" xfId="62" applyFont="1" applyFill="1" applyProtection="1">
      <alignment/>
      <protection hidden="1"/>
    </xf>
    <xf numFmtId="0" fontId="49" fillId="0" borderId="0" xfId="62" applyFont="1" applyFill="1" applyAlignment="1" applyProtection="1">
      <alignment/>
      <protection hidden="1"/>
    </xf>
    <xf numFmtId="0" fontId="49" fillId="0" borderId="0" xfId="62" applyFont="1" applyFill="1">
      <alignment/>
      <protection/>
    </xf>
    <xf numFmtId="0" fontId="42" fillId="0" borderId="0" xfId="62" applyNumberFormat="1" applyFont="1" applyFill="1" applyAlignment="1" applyProtection="1">
      <alignment horizontal="center" wrapText="1"/>
      <protection hidden="1"/>
    </xf>
    <xf numFmtId="0" fontId="42" fillId="0" borderId="0" xfId="62" applyFont="1" applyFill="1">
      <alignment/>
      <protection/>
    </xf>
    <xf numFmtId="0" fontId="49" fillId="0" borderId="0" xfId="62" applyNumberFormat="1" applyFont="1" applyFill="1" applyBorder="1" applyAlignment="1" applyProtection="1">
      <alignment/>
      <protection hidden="1"/>
    </xf>
    <xf numFmtId="0" fontId="44" fillId="0" borderId="0" xfId="62" applyNumberFormat="1" applyFont="1" applyFill="1" applyBorder="1" applyAlignment="1" applyProtection="1">
      <alignment horizontal="centerContinuous"/>
      <protection hidden="1"/>
    </xf>
    <xf numFmtId="0" fontId="43" fillId="0" borderId="12" xfId="62" applyNumberFormat="1" applyFont="1" applyFill="1" applyBorder="1" applyAlignment="1" applyProtection="1">
      <alignment horizontal="center" vertical="center"/>
      <protection hidden="1"/>
    </xf>
    <xf numFmtId="0" fontId="43" fillId="0" borderId="20" xfId="62" applyNumberFormat="1" applyFont="1" applyFill="1" applyBorder="1" applyAlignment="1" applyProtection="1">
      <alignment horizontal="center" vertical="center" wrapText="1"/>
      <protection hidden="1"/>
    </xf>
    <xf numFmtId="49" fontId="40" fillId="0" borderId="25" xfId="61" applyNumberFormat="1" applyFont="1" applyFill="1" applyBorder="1" applyAlignment="1" applyProtection="1">
      <alignment wrapText="1"/>
      <protection hidden="1"/>
    </xf>
    <xf numFmtId="175" fontId="31" fillId="0" borderId="10" xfId="62" applyNumberFormat="1" applyFont="1" applyFill="1" applyBorder="1" applyAlignment="1" applyProtection="1">
      <alignment wrapText="1"/>
      <protection hidden="1"/>
    </xf>
    <xf numFmtId="175" fontId="31" fillId="0" borderId="11" xfId="62" applyNumberFormat="1" applyFont="1" applyFill="1" applyBorder="1" applyAlignment="1" applyProtection="1">
      <alignment wrapText="1"/>
      <protection hidden="1"/>
    </xf>
    <xf numFmtId="0" fontId="31" fillId="0" borderId="12" xfId="62" applyNumberFormat="1" applyFont="1" applyFill="1" applyBorder="1" applyAlignment="1" applyProtection="1">
      <alignment wrapText="1"/>
      <protection hidden="1"/>
    </xf>
    <xf numFmtId="175" fontId="31" fillId="0" borderId="12" xfId="62" applyNumberFormat="1" applyFont="1" applyFill="1" applyBorder="1" applyAlignment="1" applyProtection="1">
      <alignment wrapText="1"/>
      <protection hidden="1"/>
    </xf>
    <xf numFmtId="0" fontId="31" fillId="0" borderId="0" xfId="62" applyFont="1" applyFill="1">
      <alignment/>
      <protection/>
    </xf>
    <xf numFmtId="0" fontId="46" fillId="0" borderId="0" xfId="62" applyFont="1" applyFill="1">
      <alignment/>
      <protection/>
    </xf>
    <xf numFmtId="175" fontId="45" fillId="0" borderId="13" xfId="62" applyNumberFormat="1" applyFont="1" applyFill="1" applyBorder="1" applyAlignment="1" applyProtection="1">
      <alignment wrapText="1"/>
      <protection hidden="1"/>
    </xf>
    <xf numFmtId="0" fontId="45" fillId="0" borderId="0" xfId="62" applyFont="1" applyFill="1">
      <alignment/>
      <protection/>
    </xf>
    <xf numFmtId="175" fontId="31" fillId="0" borderId="13" xfId="62" applyNumberFormat="1" applyFont="1" applyFill="1" applyBorder="1" applyAlignment="1" applyProtection="1">
      <alignment wrapText="1"/>
      <protection hidden="1"/>
    </xf>
    <xf numFmtId="49" fontId="38" fillId="0" borderId="38" xfId="53" applyNumberFormat="1" applyFont="1" applyFill="1" applyBorder="1" applyAlignment="1" applyProtection="1">
      <alignment horizontal="left" wrapText="1"/>
      <protection hidden="1"/>
    </xf>
    <xf numFmtId="175" fontId="47" fillId="0" borderId="13" xfId="62" applyNumberFormat="1" applyFont="1" applyFill="1" applyBorder="1" applyAlignment="1" applyProtection="1">
      <alignment wrapText="1"/>
      <protection hidden="1"/>
    </xf>
    <xf numFmtId="49" fontId="40" fillId="0" borderId="13" xfId="0" applyNumberFormat="1" applyFont="1" applyFill="1" applyBorder="1" applyAlignment="1">
      <alignment horizontal="right"/>
    </xf>
    <xf numFmtId="175" fontId="31" fillId="0" borderId="13" xfId="62" applyNumberFormat="1" applyFont="1" applyFill="1" applyBorder="1" applyAlignment="1" applyProtection="1">
      <alignment horizontal="right" wrapText="1"/>
      <protection hidden="1"/>
    </xf>
    <xf numFmtId="49" fontId="38" fillId="0" borderId="13" xfId="0" applyNumberFormat="1" applyFont="1" applyFill="1" applyBorder="1" applyAlignment="1">
      <alignment horizontal="right"/>
    </xf>
    <xf numFmtId="175" fontId="46" fillId="0" borderId="19" xfId="62" applyNumberFormat="1" applyFont="1" applyFill="1" applyBorder="1" applyAlignment="1" applyProtection="1">
      <alignment wrapText="1"/>
      <protection hidden="1"/>
    </xf>
    <xf numFmtId="0" fontId="31" fillId="0" borderId="25" xfId="62" applyNumberFormat="1" applyFont="1" applyFill="1" applyBorder="1" applyAlignment="1" applyProtection="1">
      <alignment horizontal="left"/>
      <protection hidden="1"/>
    </xf>
    <xf numFmtId="0" fontId="31" fillId="0" borderId="63" xfId="62" applyNumberFormat="1" applyFont="1" applyFill="1" applyBorder="1" applyAlignment="1" applyProtection="1">
      <alignment horizontal="left"/>
      <protection hidden="1"/>
    </xf>
    <xf numFmtId="0" fontId="49" fillId="0" borderId="0" xfId="62" applyFont="1" applyFill="1" applyBorder="1">
      <alignment/>
      <protection/>
    </xf>
    <xf numFmtId="0" fontId="43" fillId="0" borderId="0" xfId="62" applyNumberFormat="1" applyFont="1" applyFill="1" applyBorder="1" applyAlignment="1" applyProtection="1">
      <alignment wrapText="1"/>
      <protection hidden="1"/>
    </xf>
    <xf numFmtId="175" fontId="43" fillId="0" borderId="0" xfId="62" applyNumberFormat="1" applyFont="1" applyFill="1" applyBorder="1" applyAlignment="1" applyProtection="1">
      <alignment wrapText="1"/>
      <protection hidden="1"/>
    </xf>
    <xf numFmtId="0" fontId="44" fillId="0" borderId="0" xfId="62" applyFont="1" applyFill="1">
      <alignment/>
      <protection/>
    </xf>
    <xf numFmtId="0" fontId="42" fillId="0" borderId="0" xfId="62" applyNumberFormat="1" applyFont="1" applyFill="1" applyBorder="1" applyAlignment="1" applyProtection="1">
      <alignment wrapText="1"/>
      <protection hidden="1"/>
    </xf>
    <xf numFmtId="175" fontId="42" fillId="0" borderId="0" xfId="62" applyNumberFormat="1" applyFont="1" applyFill="1" applyBorder="1" applyAlignment="1" applyProtection="1">
      <alignment wrapText="1"/>
      <protection hidden="1"/>
    </xf>
    <xf numFmtId="0" fontId="43" fillId="0" borderId="0" xfId="62" applyNumberFormat="1" applyFont="1" applyFill="1" applyBorder="1" applyAlignment="1" applyProtection="1">
      <alignment wrapText="1"/>
      <protection hidden="1"/>
    </xf>
    <xf numFmtId="0" fontId="49" fillId="0" borderId="0" xfId="62" applyFont="1" applyFill="1" applyAlignment="1">
      <alignment/>
      <protection/>
    </xf>
    <xf numFmtId="0" fontId="102" fillId="0" borderId="0" xfId="0" applyFont="1" applyAlignment="1">
      <alignment horizontal="center" wrapText="1"/>
    </xf>
    <xf numFmtId="181" fontId="30" fillId="42" borderId="39" xfId="60" applyNumberFormat="1" applyFont="1" applyFill="1" applyBorder="1" applyAlignment="1" applyProtection="1">
      <alignment wrapText="1"/>
      <protection hidden="1"/>
    </xf>
    <xf numFmtId="181" fontId="30" fillId="42" borderId="22" xfId="60" applyNumberFormat="1" applyFont="1" applyFill="1" applyBorder="1" applyAlignment="1" applyProtection="1">
      <alignment wrapText="1"/>
      <protection hidden="1"/>
    </xf>
    <xf numFmtId="181" fontId="30" fillId="42" borderId="40" xfId="60" applyNumberFormat="1" applyFont="1" applyFill="1" applyBorder="1" applyAlignment="1" applyProtection="1">
      <alignment wrapText="1"/>
      <protection hidden="1"/>
    </xf>
    <xf numFmtId="181" fontId="30" fillId="0" borderId="65" xfId="60" applyNumberFormat="1" applyFont="1" applyFill="1" applyBorder="1" applyAlignment="1" applyProtection="1">
      <alignment wrapText="1"/>
      <protection hidden="1"/>
    </xf>
    <xf numFmtId="181" fontId="3" fillId="42" borderId="26" xfId="60" applyNumberFormat="1" applyFont="1" applyFill="1" applyBorder="1" applyAlignment="1" applyProtection="1">
      <alignment horizontal="center" wrapText="1"/>
      <protection hidden="1"/>
    </xf>
    <xf numFmtId="181" fontId="3" fillId="42" borderId="27" xfId="60" applyNumberFormat="1" applyFont="1" applyFill="1" applyBorder="1" applyAlignment="1" applyProtection="1">
      <alignment horizontal="center" wrapText="1"/>
      <protection hidden="1"/>
    </xf>
    <xf numFmtId="181" fontId="23" fillId="44" borderId="22" xfId="60" applyNumberFormat="1" applyFont="1" applyFill="1" applyBorder="1" applyAlignment="1" applyProtection="1">
      <alignment horizontal="left" wrapText="1"/>
      <protection hidden="1"/>
    </xf>
    <xf numFmtId="181" fontId="23" fillId="43" borderId="22" xfId="60" applyNumberFormat="1" applyFont="1" applyFill="1" applyBorder="1" applyAlignment="1" applyProtection="1">
      <alignment horizontal="left" wrapText="1"/>
      <protection hidden="1"/>
    </xf>
    <xf numFmtId="181" fontId="30" fillId="43" borderId="37" xfId="60" applyNumberFormat="1" applyFont="1" applyFill="1" applyBorder="1" applyAlignment="1" applyProtection="1">
      <alignment wrapText="1"/>
      <protection hidden="1"/>
    </xf>
    <xf numFmtId="181" fontId="30" fillId="38" borderId="37" xfId="60" applyNumberFormat="1" applyFont="1" applyFill="1" applyBorder="1" applyAlignment="1" applyProtection="1">
      <alignment wrapText="1"/>
      <protection hidden="1"/>
    </xf>
    <xf numFmtId="181" fontId="30" fillId="42" borderId="26" xfId="60" applyNumberFormat="1" applyFont="1" applyFill="1" applyBorder="1" applyAlignment="1" applyProtection="1">
      <alignment horizontal="center" wrapText="1"/>
      <protection hidden="1"/>
    </xf>
    <xf numFmtId="181" fontId="30" fillId="42" borderId="27" xfId="60" applyNumberFormat="1" applyFont="1" applyFill="1" applyBorder="1" applyAlignment="1" applyProtection="1">
      <alignment horizontal="center" wrapText="1"/>
      <protection hidden="1"/>
    </xf>
    <xf numFmtId="181" fontId="30" fillId="0" borderId="22" xfId="60" applyNumberFormat="1" applyFont="1" applyFill="1" applyBorder="1" applyAlignment="1" applyProtection="1">
      <alignment horizontal="center" wrapText="1"/>
      <protection hidden="1"/>
    </xf>
    <xf numFmtId="181" fontId="30" fillId="45" borderId="22" xfId="60" applyNumberFormat="1" applyFont="1" applyFill="1" applyBorder="1" applyAlignment="1" applyProtection="1">
      <alignment wrapText="1"/>
      <protection hidden="1"/>
    </xf>
    <xf numFmtId="181" fontId="30" fillId="42" borderId="22" xfId="60" applyNumberFormat="1" applyFont="1" applyFill="1" applyBorder="1" applyAlignment="1" applyProtection="1">
      <alignment horizontal="center" wrapText="1"/>
      <protection hidden="1"/>
    </xf>
    <xf numFmtId="49" fontId="30" fillId="43" borderId="39" xfId="60" applyNumberFormat="1" applyFont="1" applyFill="1" applyBorder="1" applyAlignment="1" applyProtection="1">
      <alignment horizontal="center" vertical="center" wrapText="1"/>
      <protection hidden="1"/>
    </xf>
    <xf numFmtId="49" fontId="30" fillId="43" borderId="22" xfId="60" applyNumberFormat="1" applyFont="1" applyFill="1" applyBorder="1" applyAlignment="1" applyProtection="1">
      <alignment horizontal="center" vertical="center" wrapText="1"/>
      <protection hidden="1"/>
    </xf>
    <xf numFmtId="49" fontId="30" fillId="43" borderId="40" xfId="60" applyNumberFormat="1" applyFont="1" applyFill="1" applyBorder="1" applyAlignment="1" applyProtection="1">
      <alignment horizontal="center" vertical="center" wrapText="1"/>
      <protection hidden="1"/>
    </xf>
    <xf numFmtId="181" fontId="37" fillId="44" borderId="22" xfId="60" applyNumberFormat="1" applyFont="1" applyFill="1" applyBorder="1" applyAlignment="1" applyProtection="1">
      <alignment horizontal="left" wrapText="1"/>
      <protection hidden="1"/>
    </xf>
    <xf numFmtId="181" fontId="30" fillId="44" borderId="39" xfId="60" applyNumberFormat="1" applyFont="1" applyFill="1" applyBorder="1" applyAlignment="1" applyProtection="1">
      <alignment horizontal="center" wrapText="1"/>
      <protection hidden="1"/>
    </xf>
    <xf numFmtId="181" fontId="30" fillId="44" borderId="22" xfId="60" applyNumberFormat="1" applyFont="1" applyFill="1" applyBorder="1" applyAlignment="1" applyProtection="1">
      <alignment horizontal="center" wrapText="1"/>
      <protection hidden="1"/>
    </xf>
    <xf numFmtId="181" fontId="30" fillId="44" borderId="40" xfId="60" applyNumberFormat="1" applyFont="1" applyFill="1" applyBorder="1" applyAlignment="1" applyProtection="1">
      <alignment horizontal="center" wrapText="1"/>
      <protection hidden="1"/>
    </xf>
    <xf numFmtId="181" fontId="30" fillId="43" borderId="39" xfId="60" applyNumberFormat="1" applyFont="1" applyFill="1" applyBorder="1" applyAlignment="1" applyProtection="1">
      <alignment horizontal="center" wrapText="1"/>
      <protection hidden="1"/>
    </xf>
    <xf numFmtId="181" fontId="30" fillId="43" borderId="22" xfId="60" applyNumberFormat="1" applyFont="1" applyFill="1" applyBorder="1" applyAlignment="1" applyProtection="1">
      <alignment horizontal="center" wrapText="1"/>
      <protection hidden="1"/>
    </xf>
    <xf numFmtId="181" fontId="30" fillId="43" borderId="40" xfId="60" applyNumberFormat="1" applyFont="1" applyFill="1" applyBorder="1" applyAlignment="1" applyProtection="1">
      <alignment horizontal="center" wrapText="1"/>
      <protection hidden="1"/>
    </xf>
    <xf numFmtId="181" fontId="30" fillId="0" borderId="39" xfId="60" applyNumberFormat="1" applyFont="1" applyFill="1" applyBorder="1" applyAlignment="1" applyProtection="1">
      <alignment horizontal="center" wrapText="1"/>
      <protection hidden="1"/>
    </xf>
    <xf numFmtId="181" fontId="30" fillId="0" borderId="15" xfId="60" applyNumberFormat="1" applyFont="1" applyFill="1" applyBorder="1" applyAlignment="1" applyProtection="1">
      <alignment horizontal="center" wrapText="1"/>
      <protection hidden="1"/>
    </xf>
    <xf numFmtId="181" fontId="30" fillId="0" borderId="40" xfId="60" applyNumberFormat="1" applyFont="1" applyFill="1" applyBorder="1" applyAlignment="1" applyProtection="1">
      <alignment horizontal="center" wrapText="1"/>
      <protection hidden="1"/>
    </xf>
    <xf numFmtId="181" fontId="30" fillId="41" borderId="39" xfId="60" applyNumberFormat="1" applyFont="1" applyFill="1" applyBorder="1" applyAlignment="1" applyProtection="1">
      <alignment wrapText="1"/>
      <protection hidden="1"/>
    </xf>
    <xf numFmtId="181" fontId="30" fillId="41" borderId="22" xfId="60" applyNumberFormat="1" applyFont="1" applyFill="1" applyBorder="1" applyAlignment="1" applyProtection="1">
      <alignment wrapText="1"/>
      <protection hidden="1"/>
    </xf>
    <xf numFmtId="181" fontId="30" fillId="41" borderId="40" xfId="60" applyNumberFormat="1" applyFont="1" applyFill="1" applyBorder="1" applyAlignment="1" applyProtection="1">
      <alignment wrapText="1"/>
      <protection hidden="1"/>
    </xf>
    <xf numFmtId="181" fontId="30" fillId="44" borderId="22" xfId="60" applyNumberFormat="1" applyFont="1" applyFill="1" applyBorder="1" applyAlignment="1" applyProtection="1">
      <alignment horizontal="left" wrapText="1"/>
      <protection hidden="1"/>
    </xf>
    <xf numFmtId="181" fontId="30" fillId="42" borderId="21" xfId="60" applyNumberFormat="1" applyFont="1" applyFill="1" applyBorder="1" applyAlignment="1" applyProtection="1">
      <alignment horizontal="center" wrapText="1"/>
      <protection hidden="1"/>
    </xf>
    <xf numFmtId="181" fontId="30" fillId="42" borderId="14" xfId="60" applyNumberFormat="1" applyFont="1" applyFill="1" applyBorder="1" applyAlignment="1" applyProtection="1">
      <alignment horizontal="center" wrapText="1"/>
      <protection hidden="1"/>
    </xf>
    <xf numFmtId="49" fontId="29" fillId="42" borderId="22" xfId="60" applyNumberFormat="1" applyFont="1" applyFill="1" applyBorder="1" applyAlignment="1">
      <alignment horizontal="left" wrapText="1"/>
      <protection/>
    </xf>
    <xf numFmtId="181" fontId="30" fillId="33" borderId="22" xfId="60" applyNumberFormat="1" applyFont="1" applyFill="1" applyBorder="1" applyAlignment="1" applyProtection="1">
      <alignment horizontal="center" wrapText="1"/>
      <protection hidden="1"/>
    </xf>
    <xf numFmtId="10" fontId="23" fillId="0" borderId="22" xfId="60" applyNumberFormat="1" applyFont="1" applyFill="1" applyBorder="1" applyAlignment="1" applyProtection="1">
      <alignment/>
      <protection hidden="1"/>
    </xf>
    <xf numFmtId="0" fontId="2" fillId="0" borderId="0" xfId="60" applyNumberFormat="1" applyFont="1" applyFill="1" applyBorder="1" applyAlignment="1" applyProtection="1">
      <alignment/>
      <protection hidden="1"/>
    </xf>
    <xf numFmtId="181" fontId="30" fillId="33" borderId="22" xfId="60" applyNumberFormat="1" applyFont="1" applyFill="1" applyBorder="1" applyAlignment="1" applyProtection="1">
      <alignment wrapText="1"/>
      <protection hidden="1"/>
    </xf>
    <xf numFmtId="181" fontId="30" fillId="33" borderId="40" xfId="60" applyNumberFormat="1" applyFont="1" applyFill="1" applyBorder="1" applyAlignment="1" applyProtection="1">
      <alignment wrapText="1"/>
      <protection hidden="1"/>
    </xf>
    <xf numFmtId="0" fontId="2" fillId="52" borderId="0" xfId="60" applyFill="1" applyBorder="1">
      <alignment/>
      <protection/>
    </xf>
    <xf numFmtId="0" fontId="2" fillId="10" borderId="0" xfId="60" applyFill="1" applyBorder="1">
      <alignment/>
      <protection/>
    </xf>
    <xf numFmtId="181" fontId="23" fillId="33" borderId="37" xfId="60" applyNumberFormat="1" applyFont="1" applyFill="1" applyBorder="1" applyAlignment="1" applyProtection="1">
      <alignment wrapText="1"/>
      <protection hidden="1"/>
    </xf>
    <xf numFmtId="181" fontId="30" fillId="33" borderId="37" xfId="60" applyNumberFormat="1" applyFont="1" applyFill="1" applyBorder="1" applyAlignment="1" applyProtection="1">
      <alignment wrapText="1"/>
      <protection hidden="1"/>
    </xf>
    <xf numFmtId="181" fontId="23" fillId="33" borderId="38" xfId="60" applyNumberFormat="1" applyFont="1" applyFill="1" applyBorder="1" applyAlignment="1" applyProtection="1">
      <alignment wrapText="1"/>
      <protection hidden="1"/>
    </xf>
    <xf numFmtId="178" fontId="23" fillId="33" borderId="13" xfId="60" applyNumberFormat="1" applyFont="1" applyFill="1" applyBorder="1" applyAlignment="1" applyProtection="1">
      <alignment/>
      <protection hidden="1"/>
    </xf>
    <xf numFmtId="173" fontId="23" fillId="33" borderId="13" xfId="60" applyNumberFormat="1" applyFont="1" applyFill="1" applyBorder="1" applyAlignment="1" applyProtection="1">
      <alignment wrapText="1"/>
      <protection hidden="1"/>
    </xf>
    <xf numFmtId="174" fontId="23" fillId="33" borderId="13" xfId="60" applyNumberFormat="1" applyFont="1" applyFill="1" applyBorder="1" applyAlignment="1" applyProtection="1">
      <alignment/>
      <protection hidden="1"/>
    </xf>
    <xf numFmtId="173" fontId="23" fillId="33" borderId="13" xfId="60" applyNumberFormat="1" applyFont="1" applyFill="1" applyBorder="1" applyAlignment="1" applyProtection="1">
      <alignment/>
      <protection hidden="1"/>
    </xf>
    <xf numFmtId="182" fontId="23" fillId="33" borderId="13" xfId="60" applyNumberFormat="1" applyFont="1" applyFill="1" applyBorder="1" applyAlignment="1" applyProtection="1">
      <alignment/>
      <protection hidden="1"/>
    </xf>
    <xf numFmtId="172" fontId="23" fillId="33" borderId="13" xfId="60" applyNumberFormat="1" applyFont="1" applyFill="1" applyBorder="1" applyAlignment="1" applyProtection="1">
      <alignment/>
      <protection hidden="1"/>
    </xf>
    <xf numFmtId="172" fontId="23" fillId="33" borderId="13" xfId="60" applyNumberFormat="1" applyFont="1" applyFill="1" applyBorder="1" applyAlignment="1" applyProtection="1">
      <alignment wrapText="1"/>
      <protection hidden="1"/>
    </xf>
    <xf numFmtId="4" fontId="23" fillId="33" borderId="13" xfId="60" applyNumberFormat="1" applyFont="1" applyFill="1" applyBorder="1" applyAlignment="1" applyProtection="1">
      <alignment wrapText="1"/>
      <protection hidden="1"/>
    </xf>
    <xf numFmtId="40" fontId="23" fillId="33" borderId="13" xfId="60" applyNumberFormat="1" applyFont="1" applyFill="1" applyBorder="1" applyAlignment="1" applyProtection="1">
      <alignment/>
      <protection hidden="1"/>
    </xf>
    <xf numFmtId="172" fontId="23" fillId="33" borderId="21" xfId="60" applyNumberFormat="1" applyFont="1" applyFill="1" applyBorder="1" applyAlignment="1" applyProtection="1">
      <alignment/>
      <protection hidden="1"/>
    </xf>
    <xf numFmtId="4" fontId="23" fillId="33" borderId="13" xfId="60" applyNumberFormat="1" applyFont="1" applyFill="1" applyBorder="1" applyAlignment="1" applyProtection="1">
      <alignment/>
      <protection hidden="1"/>
    </xf>
    <xf numFmtId="40" fontId="23" fillId="33" borderId="21" xfId="60" applyNumberFormat="1" applyFont="1" applyFill="1" applyBorder="1" applyAlignment="1" applyProtection="1">
      <alignment/>
      <protection hidden="1"/>
    </xf>
    <xf numFmtId="4" fontId="23" fillId="33" borderId="21" xfId="60" applyNumberFormat="1" applyFont="1" applyFill="1" applyBorder="1" applyAlignment="1" applyProtection="1">
      <alignment/>
      <protection hidden="1"/>
    </xf>
    <xf numFmtId="49" fontId="23" fillId="33" borderId="13" xfId="60" applyNumberFormat="1" applyFont="1" applyFill="1" applyBorder="1" applyAlignment="1" applyProtection="1">
      <alignment horizontal="center" vertical="center"/>
      <protection hidden="1"/>
    </xf>
    <xf numFmtId="172" fontId="30" fillId="33" borderId="21" xfId="60" applyNumberFormat="1" applyFont="1" applyFill="1" applyBorder="1" applyAlignment="1" applyProtection="1">
      <alignment wrapText="1"/>
      <protection hidden="1"/>
    </xf>
    <xf numFmtId="172" fontId="30" fillId="33" borderId="13" xfId="60" applyNumberFormat="1" applyFont="1" applyFill="1" applyBorder="1" applyAlignment="1" applyProtection="1">
      <alignment wrapText="1"/>
      <protection hidden="1"/>
    </xf>
    <xf numFmtId="4" fontId="3" fillId="33" borderId="13" xfId="60" applyNumberFormat="1" applyFont="1" applyFill="1" applyBorder="1" applyAlignment="1" applyProtection="1">
      <alignment wrapText="1"/>
      <protection hidden="1"/>
    </xf>
    <xf numFmtId="172" fontId="30" fillId="33" borderId="21" xfId="60" applyNumberFormat="1" applyFont="1" applyFill="1" applyBorder="1" applyAlignment="1" applyProtection="1">
      <alignment/>
      <protection hidden="1"/>
    </xf>
    <xf numFmtId="4" fontId="30" fillId="33" borderId="21" xfId="60" applyNumberFormat="1" applyFont="1" applyFill="1" applyBorder="1" applyAlignment="1" applyProtection="1">
      <alignment/>
      <protection hidden="1"/>
    </xf>
    <xf numFmtId="0" fontId="2" fillId="33" borderId="36" xfId="60" applyFill="1" applyBorder="1" applyProtection="1">
      <alignment/>
      <protection hidden="1"/>
    </xf>
    <xf numFmtId="0" fontId="2" fillId="33" borderId="30" xfId="60" applyNumberFormat="1" applyFont="1" applyFill="1" applyBorder="1" applyAlignment="1" applyProtection="1">
      <alignment/>
      <protection hidden="1"/>
    </xf>
    <xf numFmtId="0" fontId="2" fillId="33" borderId="0" xfId="60" applyFill="1" applyProtection="1">
      <alignment/>
      <protection hidden="1"/>
    </xf>
    <xf numFmtId="0" fontId="2" fillId="33" borderId="0" xfId="60" applyFill="1" applyBorder="1">
      <alignment/>
      <protection/>
    </xf>
    <xf numFmtId="0" fontId="2" fillId="33" borderId="0" xfId="60" applyFill="1">
      <alignment/>
      <protection/>
    </xf>
    <xf numFmtId="172" fontId="23" fillId="33" borderId="37" xfId="60" applyNumberFormat="1" applyFont="1" applyFill="1" applyBorder="1" applyAlignment="1" applyProtection="1">
      <alignment/>
      <protection hidden="1"/>
    </xf>
    <xf numFmtId="40" fontId="23" fillId="33" borderId="37" xfId="60" applyNumberFormat="1" applyFont="1" applyFill="1" applyBorder="1" applyAlignment="1" applyProtection="1">
      <alignment/>
      <protection hidden="1"/>
    </xf>
    <xf numFmtId="10" fontId="23" fillId="33" borderId="37" xfId="60" applyNumberFormat="1" applyFont="1" applyFill="1" applyBorder="1" applyAlignment="1" applyProtection="1">
      <alignment/>
      <protection hidden="1"/>
    </xf>
    <xf numFmtId="172" fontId="23" fillId="33" borderId="40" xfId="60" applyNumberFormat="1" applyFont="1" applyFill="1" applyBorder="1" applyAlignment="1" applyProtection="1">
      <alignment/>
      <protection hidden="1"/>
    </xf>
    <xf numFmtId="172" fontId="23" fillId="33" borderId="39" xfId="60" applyNumberFormat="1" applyFont="1" applyFill="1" applyBorder="1" applyAlignment="1" applyProtection="1">
      <alignment/>
      <protection hidden="1"/>
    </xf>
    <xf numFmtId="10" fontId="23" fillId="33" borderId="40" xfId="60" applyNumberFormat="1" applyFont="1" applyFill="1" applyBorder="1" applyAlignment="1" applyProtection="1">
      <alignment/>
      <protection hidden="1"/>
    </xf>
    <xf numFmtId="181" fontId="23" fillId="19" borderId="38" xfId="60" applyNumberFormat="1" applyFont="1" applyFill="1" applyBorder="1" applyAlignment="1" applyProtection="1">
      <alignment wrapText="1"/>
      <protection hidden="1"/>
    </xf>
    <xf numFmtId="0" fontId="2" fillId="43" borderId="0" xfId="60" applyNumberFormat="1" applyFont="1" applyFill="1" applyBorder="1" applyAlignment="1" applyProtection="1">
      <alignment horizontal="centerContinuous"/>
      <protection hidden="1"/>
    </xf>
    <xf numFmtId="0" fontId="3" fillId="43" borderId="13" xfId="60" applyNumberFormat="1" applyFont="1" applyFill="1" applyBorder="1" applyAlignment="1" applyProtection="1">
      <alignment horizontal="center"/>
      <protection hidden="1"/>
    </xf>
    <xf numFmtId="0" fontId="2" fillId="43" borderId="13" xfId="60" applyNumberFormat="1" applyFont="1" applyFill="1" applyBorder="1" applyAlignment="1" applyProtection="1">
      <alignment horizontal="centerContinuous"/>
      <protection hidden="1"/>
    </xf>
    <xf numFmtId="4" fontId="2" fillId="43" borderId="13" xfId="60" applyNumberFormat="1" applyFont="1" applyFill="1" applyBorder="1" applyAlignment="1" applyProtection="1">
      <alignment horizontal="centerContinuous"/>
      <protection hidden="1"/>
    </xf>
    <xf numFmtId="1" fontId="3" fillId="43" borderId="13" xfId="60" applyNumberFormat="1" applyFont="1" applyFill="1" applyBorder="1" applyAlignment="1" applyProtection="1">
      <alignment horizontal="center" vertical="center"/>
      <protection hidden="1"/>
    </xf>
    <xf numFmtId="0" fontId="3" fillId="43" borderId="13" xfId="60" applyNumberFormat="1" applyFont="1" applyFill="1" applyBorder="1" applyAlignment="1" applyProtection="1">
      <alignment horizontal="center" vertical="center"/>
      <protection hidden="1"/>
    </xf>
    <xf numFmtId="4" fontId="3" fillId="43" borderId="13" xfId="60" applyNumberFormat="1" applyFont="1" applyFill="1" applyBorder="1" applyAlignment="1" applyProtection="1">
      <alignment horizontal="center" vertical="center"/>
      <protection hidden="1"/>
    </xf>
    <xf numFmtId="0" fontId="3" fillId="43" borderId="0" xfId="60" applyNumberFormat="1" applyFont="1" applyFill="1" applyBorder="1" applyAlignment="1" applyProtection="1">
      <alignment/>
      <protection hidden="1"/>
    </xf>
    <xf numFmtId="0" fontId="3" fillId="43" borderId="0" xfId="60" applyNumberFormat="1" applyFont="1" applyFill="1" applyBorder="1" applyAlignment="1" applyProtection="1">
      <alignment horizontal="center"/>
      <protection hidden="1"/>
    </xf>
    <xf numFmtId="181" fontId="30" fillId="0" borderId="0" xfId="60" applyNumberFormat="1" applyFont="1" applyFill="1" applyBorder="1" applyAlignment="1" applyProtection="1">
      <alignment wrapText="1"/>
      <protection hidden="1"/>
    </xf>
    <xf numFmtId="0" fontId="2" fillId="0" borderId="0" xfId="60" applyFill="1" applyBorder="1" applyProtection="1">
      <alignment/>
      <protection hidden="1"/>
    </xf>
    <xf numFmtId="181" fontId="23" fillId="45" borderId="39" xfId="60" applyNumberFormat="1" applyFont="1" applyFill="1" applyBorder="1" applyAlignment="1" applyProtection="1">
      <alignment wrapText="1"/>
      <protection hidden="1"/>
    </xf>
    <xf numFmtId="181" fontId="23" fillId="45" borderId="22" xfId="60" applyNumberFormat="1" applyFont="1" applyFill="1" applyBorder="1" applyAlignment="1" applyProtection="1">
      <alignment wrapText="1"/>
      <protection hidden="1"/>
    </xf>
    <xf numFmtId="178" fontId="23" fillId="45" borderId="22" xfId="60" applyNumberFormat="1" applyFont="1" applyFill="1" applyBorder="1" applyAlignment="1" applyProtection="1">
      <alignment/>
      <protection hidden="1"/>
    </xf>
    <xf numFmtId="173" fontId="23" fillId="45" borderId="22" xfId="60" applyNumberFormat="1" applyFont="1" applyFill="1" applyBorder="1" applyAlignment="1" applyProtection="1">
      <alignment wrapText="1"/>
      <protection hidden="1"/>
    </xf>
    <xf numFmtId="174" fontId="23" fillId="45" borderId="15" xfId="60" applyNumberFormat="1" applyFont="1" applyFill="1" applyBorder="1" applyAlignment="1" applyProtection="1">
      <alignment/>
      <protection hidden="1"/>
    </xf>
    <xf numFmtId="173" fontId="23" fillId="45" borderId="22" xfId="60" applyNumberFormat="1" applyFont="1" applyFill="1" applyBorder="1" applyAlignment="1" applyProtection="1">
      <alignment horizontal="center"/>
      <protection hidden="1"/>
    </xf>
    <xf numFmtId="173" fontId="23" fillId="45" borderId="22" xfId="60" applyNumberFormat="1" applyFont="1" applyFill="1" applyBorder="1" applyAlignment="1" applyProtection="1">
      <alignment/>
      <protection hidden="1"/>
    </xf>
    <xf numFmtId="182" fontId="23" fillId="45" borderId="22" xfId="60" applyNumberFormat="1" applyFont="1" applyFill="1" applyBorder="1" applyAlignment="1" applyProtection="1">
      <alignment/>
      <protection hidden="1"/>
    </xf>
    <xf numFmtId="172" fontId="23" fillId="45" borderId="22" xfId="60" applyNumberFormat="1" applyFont="1" applyFill="1" applyBorder="1" applyAlignment="1" applyProtection="1">
      <alignment/>
      <protection hidden="1"/>
    </xf>
    <xf numFmtId="172" fontId="23" fillId="45" borderId="22" xfId="60" applyNumberFormat="1" applyFont="1" applyFill="1" applyBorder="1" applyAlignment="1" applyProtection="1">
      <alignment wrapText="1"/>
      <protection hidden="1"/>
    </xf>
    <xf numFmtId="4" fontId="23" fillId="45" borderId="22" xfId="60" applyNumberFormat="1" applyFont="1" applyFill="1" applyBorder="1" applyAlignment="1" applyProtection="1">
      <alignment wrapText="1"/>
      <protection hidden="1"/>
    </xf>
    <xf numFmtId="40" fontId="23" fillId="45" borderId="22" xfId="60" applyNumberFormat="1" applyFont="1" applyFill="1" applyBorder="1" applyAlignment="1" applyProtection="1">
      <alignment/>
      <protection hidden="1"/>
    </xf>
    <xf numFmtId="181" fontId="30" fillId="43" borderId="39" xfId="60" applyNumberFormat="1" applyFont="1" applyFill="1" applyBorder="1" applyAlignment="1" applyProtection="1">
      <alignment wrapText="1"/>
      <protection hidden="1"/>
    </xf>
    <xf numFmtId="0" fontId="0" fillId="33" borderId="0" xfId="0" applyFill="1" applyAlignment="1">
      <alignment/>
    </xf>
    <xf numFmtId="0" fontId="16" fillId="33" borderId="0" xfId="0" applyFont="1" applyFill="1" applyAlignment="1">
      <alignment/>
    </xf>
    <xf numFmtId="0" fontId="16" fillId="33" borderId="0" xfId="0" applyFont="1" applyFill="1" applyBorder="1" applyAlignment="1">
      <alignment/>
    </xf>
    <xf numFmtId="4" fontId="16" fillId="0" borderId="0" xfId="0" applyNumberFormat="1" applyFont="1" applyAlignment="1">
      <alignment/>
    </xf>
    <xf numFmtId="0" fontId="14" fillId="53" borderId="13" xfId="0" applyNumberFormat="1" applyFont="1" applyFill="1" applyBorder="1" applyAlignment="1">
      <alignment horizontal="left" vertical="center" wrapText="1"/>
    </xf>
    <xf numFmtId="49" fontId="14" fillId="53" borderId="13" xfId="0" applyNumberFormat="1" applyFont="1" applyFill="1" applyBorder="1" applyAlignment="1">
      <alignment horizontal="center" vertical="center"/>
    </xf>
    <xf numFmtId="0" fontId="14" fillId="54" borderId="13" xfId="0" applyNumberFormat="1" applyFont="1" applyFill="1" applyBorder="1" applyAlignment="1">
      <alignment horizontal="left" vertical="center" wrapText="1"/>
    </xf>
    <xf numFmtId="49" fontId="14" fillId="54" borderId="13" xfId="0" applyNumberFormat="1" applyFont="1" applyFill="1" applyBorder="1" applyAlignment="1">
      <alignment horizontal="center" vertical="center"/>
    </xf>
    <xf numFmtId="0" fontId="14" fillId="33" borderId="13" xfId="0" applyFont="1" applyFill="1" applyBorder="1" applyAlignment="1">
      <alignment horizontal="center" vertical="center"/>
    </xf>
    <xf numFmtId="0" fontId="14" fillId="53" borderId="13" xfId="0" applyFont="1" applyFill="1" applyBorder="1" applyAlignment="1">
      <alignment vertical="center" wrapText="1"/>
    </xf>
    <xf numFmtId="49" fontId="14" fillId="53" borderId="13" xfId="0" applyNumberFormat="1" applyFont="1" applyFill="1" applyBorder="1" applyAlignment="1">
      <alignment horizontal="left" vertical="center" wrapText="1"/>
    </xf>
    <xf numFmtId="49" fontId="14" fillId="54" borderId="13" xfId="0" applyNumberFormat="1" applyFont="1" applyFill="1" applyBorder="1" applyAlignment="1">
      <alignment horizontal="left" vertical="center" wrapText="1"/>
    </xf>
    <xf numFmtId="173" fontId="12" fillId="54" borderId="13" xfId="53" applyNumberFormat="1" applyFont="1" applyFill="1" applyBorder="1" applyAlignment="1" applyProtection="1">
      <alignment horizontal="center" vertical="center" wrapText="1"/>
      <protection hidden="1"/>
    </xf>
    <xf numFmtId="0" fontId="14" fillId="54" borderId="12" xfId="0" applyNumberFormat="1" applyFont="1" applyFill="1" applyBorder="1" applyAlignment="1">
      <alignment horizontal="left" vertical="center" wrapText="1"/>
    </xf>
    <xf numFmtId="0" fontId="54" fillId="54" borderId="13" xfId="0" applyNumberFormat="1" applyFont="1" applyFill="1" applyBorder="1" applyAlignment="1">
      <alignment horizontal="left" vertical="center" wrapText="1"/>
    </xf>
    <xf numFmtId="49" fontId="54" fillId="54" borderId="13" xfId="0" applyNumberFormat="1" applyFont="1" applyFill="1" applyBorder="1" applyAlignment="1">
      <alignment horizontal="center" vertical="center"/>
    </xf>
    <xf numFmtId="49" fontId="14" fillId="54" borderId="12" xfId="0" applyNumberFormat="1" applyFont="1" applyFill="1" applyBorder="1" applyAlignment="1">
      <alignment horizontal="center" vertical="center"/>
    </xf>
    <xf numFmtId="49" fontId="14" fillId="54" borderId="13" xfId="0" applyNumberFormat="1" applyFont="1" applyFill="1" applyBorder="1" applyAlignment="1">
      <alignment vertical="center" wrapText="1"/>
    </xf>
    <xf numFmtId="0" fontId="12" fillId="54" borderId="13" xfId="0" applyFont="1" applyFill="1" applyBorder="1" applyAlignment="1">
      <alignment vertical="center" wrapText="1"/>
    </xf>
    <xf numFmtId="0" fontId="12" fillId="54" borderId="13" xfId="0" applyFont="1" applyFill="1" applyBorder="1" applyAlignment="1">
      <alignment horizontal="center" vertical="center"/>
    </xf>
    <xf numFmtId="0" fontId="14" fillId="0" borderId="13" xfId="0" applyFont="1" applyFill="1" applyBorder="1" applyAlignment="1">
      <alignment vertical="center" wrapText="1"/>
    </xf>
    <xf numFmtId="4" fontId="16" fillId="33" borderId="0" xfId="0" applyNumberFormat="1" applyFont="1" applyFill="1" applyBorder="1" applyAlignment="1">
      <alignment/>
    </xf>
    <xf numFmtId="40" fontId="23" fillId="17" borderId="13" xfId="60" applyNumberFormat="1" applyFont="1" applyFill="1" applyBorder="1" applyAlignment="1" applyProtection="1">
      <alignment/>
      <protection hidden="1"/>
    </xf>
    <xf numFmtId="40" fontId="23" fillId="17" borderId="21" xfId="60" applyNumberFormat="1" applyFont="1" applyFill="1" applyBorder="1" applyAlignment="1" applyProtection="1">
      <alignment/>
      <protection hidden="1"/>
    </xf>
    <xf numFmtId="4" fontId="23" fillId="17" borderId="13" xfId="60" applyNumberFormat="1" applyFont="1" applyFill="1" applyBorder="1" applyAlignment="1" applyProtection="1">
      <alignment/>
      <protection hidden="1"/>
    </xf>
    <xf numFmtId="172" fontId="30" fillId="17" borderId="13" xfId="60" applyNumberFormat="1" applyFont="1" applyFill="1" applyBorder="1" applyAlignment="1" applyProtection="1">
      <alignment wrapText="1"/>
      <protection hidden="1"/>
    </xf>
    <xf numFmtId="177" fontId="15" fillId="0" borderId="0" xfId="53" applyNumberFormat="1" applyFont="1">
      <alignment/>
      <protection/>
    </xf>
    <xf numFmtId="177" fontId="17" fillId="0" borderId="0" xfId="53" applyNumberFormat="1" applyFont="1" applyAlignment="1">
      <alignment horizontal="center" wrapText="1"/>
      <protection/>
    </xf>
    <xf numFmtId="177" fontId="15" fillId="0" borderId="11" xfId="53" applyNumberFormat="1" applyFont="1" applyFill="1" applyBorder="1" applyAlignment="1" applyProtection="1">
      <alignment horizontal="center" vertical="center" wrapText="1"/>
      <protection hidden="1"/>
    </xf>
    <xf numFmtId="177" fontId="15" fillId="0" borderId="64" xfId="53" applyNumberFormat="1" applyFont="1" applyFill="1" applyBorder="1" applyAlignment="1" applyProtection="1">
      <alignment horizontal="center" vertical="center" wrapText="1"/>
      <protection hidden="1"/>
    </xf>
    <xf numFmtId="177" fontId="103" fillId="0" borderId="12" xfId="0" applyNumberFormat="1" applyFont="1" applyBorder="1" applyAlignment="1">
      <alignment horizontal="right" vertical="center" wrapText="1"/>
    </xf>
    <xf numFmtId="177" fontId="12" fillId="33" borderId="12" xfId="53" applyNumberFormat="1" applyFont="1" applyFill="1" applyBorder="1" applyAlignment="1" applyProtection="1">
      <alignment horizontal="right" vertical="center" wrapText="1"/>
      <protection hidden="1"/>
    </xf>
    <xf numFmtId="177" fontId="12" fillId="33" borderId="13" xfId="53" applyNumberFormat="1" applyFont="1" applyFill="1" applyBorder="1" applyAlignment="1" applyProtection="1">
      <alignment horizontal="center" vertical="center" wrapText="1"/>
      <protection hidden="1"/>
    </xf>
    <xf numFmtId="177" fontId="12" fillId="54" borderId="13" xfId="0" applyNumberFormat="1" applyFont="1" applyFill="1" applyBorder="1" applyAlignment="1">
      <alignment horizontal="right" vertical="center"/>
    </xf>
    <xf numFmtId="177" fontId="14" fillId="33" borderId="13" xfId="0" applyNumberFormat="1" applyFont="1" applyFill="1" applyBorder="1" applyAlignment="1">
      <alignment horizontal="right" vertical="center"/>
    </xf>
    <xf numFmtId="177" fontId="13" fillId="33" borderId="13" xfId="0" applyNumberFormat="1" applyFont="1" applyFill="1" applyBorder="1" applyAlignment="1">
      <alignment horizontal="right" vertical="center"/>
    </xf>
    <xf numFmtId="177" fontId="12" fillId="33" borderId="13" xfId="53" applyNumberFormat="1" applyFont="1" applyFill="1" applyBorder="1" applyAlignment="1" applyProtection="1">
      <alignment horizontal="right" vertical="center" wrapText="1"/>
      <protection hidden="1"/>
    </xf>
    <xf numFmtId="177" fontId="11" fillId="33" borderId="13" xfId="53" applyNumberFormat="1" applyFont="1" applyFill="1" applyBorder="1" applyAlignment="1" applyProtection="1">
      <alignment horizontal="center" vertical="center" wrapText="1"/>
      <protection hidden="1"/>
    </xf>
    <xf numFmtId="177" fontId="11" fillId="33" borderId="13" xfId="53" applyNumberFormat="1" applyFont="1" applyFill="1" applyBorder="1" applyAlignment="1" applyProtection="1">
      <alignment horizontal="right" vertical="center" wrapText="1"/>
      <protection hidden="1"/>
    </xf>
    <xf numFmtId="177" fontId="12" fillId="54" borderId="13" xfId="53" applyNumberFormat="1" applyFont="1" applyFill="1" applyBorder="1" applyAlignment="1">
      <alignment horizontal="right" vertical="center"/>
      <protection/>
    </xf>
    <xf numFmtId="177" fontId="12" fillId="33" borderId="13" xfId="53" applyNumberFormat="1" applyFont="1" applyFill="1" applyBorder="1" applyAlignment="1">
      <alignment horizontal="right" vertical="center"/>
      <protection/>
    </xf>
    <xf numFmtId="177" fontId="11" fillId="33" borderId="13" xfId="53" applyNumberFormat="1" applyFont="1" applyFill="1" applyBorder="1" applyAlignment="1">
      <alignment horizontal="right" vertical="center"/>
      <protection/>
    </xf>
    <xf numFmtId="177" fontId="11" fillId="33" borderId="0" xfId="53" applyNumberFormat="1" applyFont="1" applyFill="1" applyBorder="1" applyAlignment="1">
      <alignment horizontal="right" vertical="center"/>
      <protection/>
    </xf>
    <xf numFmtId="177" fontId="12" fillId="33" borderId="0" xfId="53" applyNumberFormat="1" applyFont="1" applyFill="1" applyAlignment="1">
      <alignment vertical="center"/>
      <protection/>
    </xf>
    <xf numFmtId="177" fontId="11" fillId="33" borderId="13" xfId="53" applyNumberFormat="1" applyFont="1" applyFill="1" applyBorder="1" applyAlignment="1">
      <alignment vertical="center"/>
      <protection/>
    </xf>
    <xf numFmtId="177" fontId="12" fillId="33" borderId="13" xfId="53" applyNumberFormat="1" applyFont="1" applyFill="1" applyBorder="1" applyAlignment="1">
      <alignment vertical="center"/>
      <protection/>
    </xf>
    <xf numFmtId="177" fontId="11" fillId="33" borderId="0" xfId="53" applyNumberFormat="1" applyFont="1" applyFill="1" applyAlignment="1">
      <alignment vertical="center"/>
      <protection/>
    </xf>
    <xf numFmtId="177" fontId="12" fillId="53" borderId="13" xfId="53" applyNumberFormat="1" applyFont="1" applyFill="1" applyBorder="1" applyAlignment="1">
      <alignment horizontal="right" vertical="center"/>
      <protection/>
    </xf>
    <xf numFmtId="177" fontId="12" fillId="54" borderId="13" xfId="53" applyNumberFormat="1" applyFont="1" applyFill="1" applyBorder="1" applyAlignment="1" applyProtection="1">
      <alignment horizontal="right" vertical="center" wrapText="1"/>
      <protection hidden="1"/>
    </xf>
    <xf numFmtId="177" fontId="55" fillId="54" borderId="13" xfId="53" applyNumberFormat="1" applyFont="1" applyFill="1" applyBorder="1" applyAlignment="1">
      <alignment horizontal="right" vertical="center"/>
      <protection/>
    </xf>
    <xf numFmtId="179" fontId="16" fillId="0" borderId="0" xfId="0" applyNumberFormat="1" applyFont="1" applyAlignment="1">
      <alignment/>
    </xf>
    <xf numFmtId="179" fontId="16" fillId="38" borderId="0" xfId="0" applyNumberFormat="1" applyFont="1" applyFill="1" applyAlignment="1">
      <alignment/>
    </xf>
    <xf numFmtId="179" fontId="16" fillId="53" borderId="0" xfId="0" applyNumberFormat="1" applyFont="1" applyFill="1" applyAlignment="1">
      <alignment/>
    </xf>
    <xf numFmtId="179" fontId="49" fillId="0" borderId="0" xfId="62" applyNumberFormat="1" applyFont="1" applyFill="1">
      <alignment/>
      <protection/>
    </xf>
    <xf numFmtId="179" fontId="50" fillId="0" borderId="0" xfId="62" applyNumberFormat="1" applyFont="1" applyFill="1" applyAlignment="1" applyProtection="1">
      <alignment/>
      <protection hidden="1"/>
    </xf>
    <xf numFmtId="179" fontId="49" fillId="0" borderId="0" xfId="62" applyNumberFormat="1" applyFont="1" applyFill="1" applyProtection="1">
      <alignment/>
      <protection hidden="1"/>
    </xf>
    <xf numFmtId="179" fontId="42" fillId="0" borderId="0" xfId="62" applyNumberFormat="1" applyFont="1" applyFill="1">
      <alignment/>
      <protection/>
    </xf>
    <xf numFmtId="179" fontId="49" fillId="0" borderId="0" xfId="62" applyNumberFormat="1" applyFont="1" applyFill="1" applyBorder="1" applyAlignment="1" applyProtection="1">
      <alignment horizontal="right"/>
      <protection hidden="1"/>
    </xf>
    <xf numFmtId="179" fontId="49" fillId="0" borderId="0" xfId="62" applyNumberFormat="1" applyFont="1" applyFill="1" applyBorder="1">
      <alignment/>
      <protection/>
    </xf>
    <xf numFmtId="179" fontId="43" fillId="0" borderId="0" xfId="62" applyNumberFormat="1" applyFont="1" applyFill="1" applyBorder="1" applyAlignment="1" applyProtection="1">
      <alignment/>
      <protection hidden="1"/>
    </xf>
    <xf numFmtId="179" fontId="43" fillId="0" borderId="0" xfId="63" applyNumberFormat="1" applyFont="1" applyFill="1" applyBorder="1" applyAlignment="1" applyProtection="1">
      <alignment/>
      <protection hidden="1"/>
    </xf>
    <xf numFmtId="179" fontId="44" fillId="0" borderId="0" xfId="62" applyNumberFormat="1" applyFont="1" applyFill="1">
      <alignment/>
      <protection/>
    </xf>
    <xf numFmtId="179" fontId="42" fillId="0" borderId="0" xfId="62" applyNumberFormat="1" applyFont="1" applyFill="1" applyBorder="1" applyAlignment="1" applyProtection="1">
      <alignment/>
      <protection hidden="1"/>
    </xf>
    <xf numFmtId="179" fontId="16" fillId="6" borderId="0" xfId="0" applyNumberFormat="1" applyFont="1" applyFill="1" applyAlignment="1">
      <alignment/>
    </xf>
    <xf numFmtId="173" fontId="12" fillId="53" borderId="13" xfId="53" applyNumberFormat="1" applyFont="1" applyFill="1" applyBorder="1" applyAlignment="1" applyProtection="1">
      <alignment horizontal="center" vertical="center" wrapText="1"/>
      <protection hidden="1"/>
    </xf>
    <xf numFmtId="177" fontId="12" fillId="53" borderId="13" xfId="53" applyNumberFormat="1" applyFont="1" applyFill="1" applyBorder="1" applyAlignment="1" applyProtection="1">
      <alignment horizontal="right" vertical="center" wrapText="1"/>
      <protection hidden="1"/>
    </xf>
    <xf numFmtId="0" fontId="16" fillId="0" borderId="0" xfId="0" applyFont="1" applyFill="1" applyAlignment="1">
      <alignment/>
    </xf>
    <xf numFmtId="177" fontId="16" fillId="0" borderId="0" xfId="0" applyNumberFormat="1" applyFont="1" applyAlignment="1">
      <alignment/>
    </xf>
    <xf numFmtId="179" fontId="16" fillId="52" borderId="0" xfId="0" applyNumberFormat="1" applyFont="1" applyFill="1" applyAlignment="1">
      <alignment/>
    </xf>
    <xf numFmtId="0" fontId="22" fillId="0" borderId="21" xfId="53" applyNumberFormat="1" applyFont="1" applyFill="1" applyBorder="1" applyAlignment="1" applyProtection="1">
      <alignment horizontal="left" wrapText="1"/>
      <protection hidden="1"/>
    </xf>
    <xf numFmtId="49" fontId="14" fillId="53" borderId="12" xfId="0" applyNumberFormat="1" applyFont="1" applyFill="1" applyBorder="1" applyAlignment="1">
      <alignment horizontal="center" vertical="center"/>
    </xf>
    <xf numFmtId="177" fontId="11" fillId="0" borderId="13" xfId="53" applyNumberFormat="1" applyFont="1" applyFill="1" applyBorder="1" applyAlignment="1">
      <alignment horizontal="right" vertical="center"/>
      <protection/>
    </xf>
    <xf numFmtId="0" fontId="14" fillId="53" borderId="12" xfId="0" applyNumberFormat="1" applyFont="1" applyFill="1" applyBorder="1" applyAlignment="1">
      <alignment horizontal="left" vertical="center" wrapText="1"/>
    </xf>
    <xf numFmtId="3" fontId="15" fillId="0" borderId="0" xfId="53" applyNumberFormat="1" applyFont="1">
      <alignment/>
      <protection/>
    </xf>
    <xf numFmtId="3" fontId="17" fillId="0" borderId="0" xfId="53" applyNumberFormat="1" applyFont="1" applyAlignment="1">
      <alignment horizontal="center" wrapText="1"/>
      <protection/>
    </xf>
    <xf numFmtId="3" fontId="15" fillId="0" borderId="11" xfId="53" applyNumberFormat="1" applyFont="1" applyFill="1" applyBorder="1" applyAlignment="1" applyProtection="1">
      <alignment horizontal="center" vertical="center" wrapText="1"/>
      <protection hidden="1"/>
    </xf>
    <xf numFmtId="3" fontId="12" fillId="33" borderId="12" xfId="53" applyNumberFormat="1" applyFont="1" applyFill="1" applyBorder="1" applyAlignment="1" applyProtection="1">
      <alignment horizontal="center" vertical="center" wrapText="1"/>
      <protection hidden="1"/>
    </xf>
    <xf numFmtId="3" fontId="12" fillId="33" borderId="13" xfId="53" applyNumberFormat="1" applyFont="1" applyFill="1" applyBorder="1" applyAlignment="1" applyProtection="1">
      <alignment horizontal="center" vertical="center" wrapText="1"/>
      <protection hidden="1"/>
    </xf>
    <xf numFmtId="3" fontId="12" fillId="54" borderId="13" xfId="0" applyNumberFormat="1" applyFont="1" applyFill="1" applyBorder="1" applyAlignment="1">
      <alignment horizontal="center" vertical="center"/>
    </xf>
    <xf numFmtId="3" fontId="13" fillId="33" borderId="13" xfId="0" applyNumberFormat="1" applyFont="1" applyFill="1" applyBorder="1" applyAlignment="1">
      <alignment horizontal="center" vertical="center"/>
    </xf>
    <xf numFmtId="3" fontId="11" fillId="33" borderId="13" xfId="53" applyNumberFormat="1" applyFont="1" applyFill="1" applyBorder="1" applyAlignment="1" applyProtection="1">
      <alignment horizontal="center" vertical="center" wrapText="1"/>
      <protection hidden="1"/>
    </xf>
    <xf numFmtId="3" fontId="14" fillId="54" borderId="13" xfId="0" applyNumberFormat="1" applyFont="1" applyFill="1" applyBorder="1" applyAlignment="1">
      <alignment horizontal="center" vertical="center"/>
    </xf>
    <xf numFmtId="3" fontId="14" fillId="53" borderId="13" xfId="0" applyNumberFormat="1" applyFont="1" applyFill="1" applyBorder="1" applyAlignment="1">
      <alignment horizontal="center" vertical="center"/>
    </xf>
    <xf numFmtId="3" fontId="14" fillId="33" borderId="13" xfId="0" applyNumberFormat="1" applyFont="1" applyFill="1" applyBorder="1" applyAlignment="1">
      <alignment horizontal="center" vertical="center"/>
    </xf>
    <xf numFmtId="3" fontId="11" fillId="33" borderId="13" xfId="0" applyNumberFormat="1" applyFont="1" applyFill="1" applyBorder="1" applyAlignment="1">
      <alignment horizontal="center" vertical="center"/>
    </xf>
    <xf numFmtId="3" fontId="12" fillId="54" borderId="13" xfId="53" applyNumberFormat="1" applyFont="1" applyFill="1" applyBorder="1" applyAlignment="1" applyProtection="1">
      <alignment horizontal="center" vertical="center" wrapText="1"/>
      <protection hidden="1"/>
    </xf>
    <xf numFmtId="3" fontId="12" fillId="53" borderId="13" xfId="53" applyNumberFormat="1" applyFont="1" applyFill="1" applyBorder="1" applyAlignment="1" applyProtection="1">
      <alignment horizontal="center" vertical="center" wrapText="1"/>
      <protection hidden="1"/>
    </xf>
    <xf numFmtId="3" fontId="54" fillId="54" borderId="13" xfId="0" applyNumberFormat="1" applyFont="1" applyFill="1" applyBorder="1" applyAlignment="1">
      <alignment horizontal="center" vertical="center"/>
    </xf>
    <xf numFmtId="177" fontId="12" fillId="53" borderId="13" xfId="53" applyNumberFormat="1" applyFont="1" applyFill="1" applyBorder="1" applyAlignment="1">
      <alignment vertical="center"/>
      <protection/>
    </xf>
    <xf numFmtId="3" fontId="13" fillId="53" borderId="13" xfId="0" applyNumberFormat="1" applyFont="1" applyFill="1" applyBorder="1" applyAlignment="1">
      <alignment horizontal="center" vertical="center"/>
    </xf>
    <xf numFmtId="177" fontId="13" fillId="0" borderId="13" xfId="0" applyNumberFormat="1" applyFont="1" applyFill="1" applyBorder="1" applyAlignment="1">
      <alignment horizontal="right" vertical="center"/>
    </xf>
    <xf numFmtId="174" fontId="15" fillId="33" borderId="13" xfId="53" applyNumberFormat="1" applyFont="1" applyFill="1" applyBorder="1" applyAlignment="1" applyProtection="1">
      <alignment vertical="center" wrapText="1" shrinkToFit="1"/>
      <protection hidden="1"/>
    </xf>
    <xf numFmtId="181" fontId="23" fillId="0" borderId="38" xfId="60" applyNumberFormat="1" applyFont="1" applyFill="1" applyBorder="1" applyAlignment="1" applyProtection="1">
      <alignment horizontal="left" wrapText="1"/>
      <protection hidden="1"/>
    </xf>
    <xf numFmtId="4" fontId="102" fillId="0" borderId="0" xfId="0" applyNumberFormat="1" applyFont="1" applyAlignment="1">
      <alignment horizontal="center" wrapText="1"/>
    </xf>
    <xf numFmtId="172" fontId="23" fillId="49" borderId="13" xfId="60" applyNumberFormat="1" applyFont="1" applyFill="1" applyBorder="1" applyAlignment="1" applyProtection="1">
      <alignment/>
      <protection hidden="1"/>
    </xf>
    <xf numFmtId="40" fontId="23" fillId="49" borderId="45" xfId="60" applyNumberFormat="1" applyFont="1" applyFill="1" applyBorder="1" applyAlignment="1" applyProtection="1">
      <alignment wrapText="1"/>
      <protection hidden="1"/>
    </xf>
    <xf numFmtId="172" fontId="30" fillId="49" borderId="21" xfId="60" applyNumberFormat="1" applyFont="1" applyFill="1" applyBorder="1" applyAlignment="1" applyProtection="1">
      <alignment/>
      <protection hidden="1"/>
    </xf>
    <xf numFmtId="40" fontId="30" fillId="49" borderId="21" xfId="60" applyNumberFormat="1" applyFont="1" applyFill="1" applyBorder="1" applyAlignment="1" applyProtection="1">
      <alignment wrapText="1"/>
      <protection hidden="1"/>
    </xf>
    <xf numFmtId="181" fontId="23" fillId="11" borderId="38" xfId="60" applyNumberFormat="1" applyFont="1" applyFill="1" applyBorder="1" applyAlignment="1" applyProtection="1">
      <alignment wrapText="1"/>
      <protection hidden="1"/>
    </xf>
    <xf numFmtId="178" fontId="23" fillId="11" borderId="13" xfId="60" applyNumberFormat="1" applyFont="1" applyFill="1" applyBorder="1" applyAlignment="1" applyProtection="1">
      <alignment/>
      <protection hidden="1"/>
    </xf>
    <xf numFmtId="173" fontId="23" fillId="11" borderId="13" xfId="60" applyNumberFormat="1" applyFont="1" applyFill="1" applyBorder="1" applyAlignment="1" applyProtection="1">
      <alignment wrapText="1"/>
      <protection hidden="1"/>
    </xf>
    <xf numFmtId="49" fontId="3" fillId="11" borderId="13" xfId="60" applyNumberFormat="1" applyFont="1" applyFill="1" applyBorder="1" applyAlignment="1" applyProtection="1">
      <alignment/>
      <protection hidden="1"/>
    </xf>
    <xf numFmtId="173" fontId="23" fillId="11" borderId="13" xfId="60" applyNumberFormat="1" applyFont="1" applyFill="1" applyBorder="1" applyAlignment="1" applyProtection="1">
      <alignment/>
      <protection hidden="1"/>
    </xf>
    <xf numFmtId="49" fontId="23" fillId="11" borderId="13" xfId="60" applyNumberFormat="1" applyFont="1" applyFill="1" applyBorder="1" applyAlignment="1" applyProtection="1">
      <alignment horizontal="center" vertical="center"/>
      <protection hidden="1"/>
    </xf>
    <xf numFmtId="172" fontId="23" fillId="11" borderId="13" xfId="60" applyNumberFormat="1" applyFont="1" applyFill="1" applyBorder="1" applyAlignment="1" applyProtection="1">
      <alignment/>
      <protection hidden="1"/>
    </xf>
    <xf numFmtId="172" fontId="23" fillId="11" borderId="13" xfId="60" applyNumberFormat="1" applyFont="1" applyFill="1" applyBorder="1" applyAlignment="1" applyProtection="1">
      <alignment wrapText="1"/>
      <protection hidden="1"/>
    </xf>
    <xf numFmtId="4" fontId="23" fillId="11" borderId="13" xfId="60" applyNumberFormat="1" applyFont="1" applyFill="1" applyBorder="1" applyAlignment="1" applyProtection="1">
      <alignment wrapText="1"/>
      <protection hidden="1"/>
    </xf>
    <xf numFmtId="40" fontId="23" fillId="11" borderId="13" xfId="60" applyNumberFormat="1" applyFont="1" applyFill="1" applyBorder="1" applyAlignment="1" applyProtection="1">
      <alignment/>
      <protection hidden="1"/>
    </xf>
    <xf numFmtId="40" fontId="30" fillId="11" borderId="21" xfId="60" applyNumberFormat="1" applyFont="1" applyFill="1" applyBorder="1" applyAlignment="1" applyProtection="1">
      <alignment/>
      <protection hidden="1"/>
    </xf>
    <xf numFmtId="183" fontId="23" fillId="11" borderId="13" xfId="60" applyNumberFormat="1" applyFont="1" applyFill="1" applyBorder="1" applyAlignment="1" applyProtection="1">
      <alignment wrapText="1"/>
      <protection hidden="1"/>
    </xf>
    <xf numFmtId="40" fontId="23" fillId="3" borderId="21" xfId="60" applyNumberFormat="1" applyFont="1" applyFill="1" applyBorder="1" applyAlignment="1" applyProtection="1">
      <alignment/>
      <protection hidden="1"/>
    </xf>
    <xf numFmtId="181" fontId="23" fillId="37" borderId="22" xfId="60" applyNumberFormat="1" applyFont="1" applyFill="1" applyBorder="1" applyAlignment="1" applyProtection="1">
      <alignment wrapText="1"/>
      <protection hidden="1"/>
    </xf>
    <xf numFmtId="49" fontId="23" fillId="0" borderId="22" xfId="60" applyNumberFormat="1" applyFont="1" applyFill="1" applyBorder="1" applyAlignment="1" applyProtection="1">
      <alignment/>
      <protection hidden="1"/>
    </xf>
    <xf numFmtId="4" fontId="3" fillId="0" borderId="0" xfId="60" applyNumberFormat="1" applyFont="1" applyFill="1" applyBorder="1" applyAlignment="1" applyProtection="1">
      <alignment wrapText="1"/>
      <protection hidden="1"/>
    </xf>
    <xf numFmtId="176" fontId="23" fillId="0" borderId="13" xfId="60" applyNumberFormat="1" applyFont="1" applyFill="1" applyBorder="1" applyAlignment="1" applyProtection="1">
      <alignment wrapText="1"/>
      <protection hidden="1"/>
    </xf>
    <xf numFmtId="0" fontId="2" fillId="40" borderId="0" xfId="60" applyFont="1" applyFill="1" applyAlignment="1" applyProtection="1">
      <alignment wrapText="1"/>
      <protection hidden="1"/>
    </xf>
    <xf numFmtId="3" fontId="27" fillId="38" borderId="13" xfId="60" applyNumberFormat="1" applyFont="1" applyFill="1" applyBorder="1" applyProtection="1">
      <alignment/>
      <protection hidden="1"/>
    </xf>
    <xf numFmtId="4" fontId="27" fillId="12" borderId="0" xfId="60" applyNumberFormat="1" applyFont="1" applyFill="1" applyBorder="1" applyProtection="1">
      <alignment/>
      <protection hidden="1"/>
    </xf>
    <xf numFmtId="176" fontId="23" fillId="38" borderId="13" xfId="60" applyNumberFormat="1" applyFont="1" applyFill="1" applyBorder="1" applyAlignment="1" applyProtection="1">
      <alignment wrapText="1"/>
      <protection hidden="1"/>
    </xf>
    <xf numFmtId="176" fontId="2" fillId="0" borderId="0" xfId="60" applyNumberFormat="1" applyFill="1" applyBorder="1" applyAlignment="1">
      <alignment wrapText="1"/>
      <protection/>
    </xf>
    <xf numFmtId="40" fontId="23" fillId="0" borderId="13" xfId="60" applyNumberFormat="1" applyFont="1" applyFill="1" applyBorder="1" applyAlignment="1" applyProtection="1">
      <alignment wrapText="1"/>
      <protection hidden="1"/>
    </xf>
    <xf numFmtId="174" fontId="23" fillId="13" borderId="13" xfId="60" applyNumberFormat="1" applyFont="1" applyFill="1" applyBorder="1" applyAlignment="1" applyProtection="1">
      <alignment/>
      <protection hidden="1"/>
    </xf>
    <xf numFmtId="172" fontId="23" fillId="3" borderId="13" xfId="60" applyNumberFormat="1" applyFont="1" applyFill="1" applyBorder="1" applyAlignment="1" applyProtection="1">
      <alignment/>
      <protection hidden="1"/>
    </xf>
    <xf numFmtId="40" fontId="23" fillId="3" borderId="45" xfId="60" applyNumberFormat="1" applyFont="1" applyFill="1" applyBorder="1" applyAlignment="1" applyProtection="1">
      <alignment wrapText="1"/>
      <protection hidden="1"/>
    </xf>
    <xf numFmtId="172" fontId="23" fillId="3" borderId="13" xfId="60" applyNumberFormat="1" applyFont="1" applyFill="1" applyBorder="1" applyAlignment="1" applyProtection="1">
      <alignment wrapText="1"/>
      <protection hidden="1"/>
    </xf>
    <xf numFmtId="172" fontId="30" fillId="3" borderId="13" xfId="60" applyNumberFormat="1" applyFont="1" applyFill="1" applyBorder="1" applyAlignment="1" applyProtection="1">
      <alignment wrapText="1"/>
      <protection hidden="1"/>
    </xf>
    <xf numFmtId="173" fontId="23" fillId="39" borderId="13" xfId="60" applyNumberFormat="1" applyFont="1" applyFill="1" applyBorder="1" applyAlignment="1" applyProtection="1">
      <alignment/>
      <protection hidden="1"/>
    </xf>
    <xf numFmtId="4" fontId="23" fillId="3" borderId="13" xfId="60" applyNumberFormat="1" applyFont="1" applyFill="1" applyBorder="1" applyAlignment="1" applyProtection="1">
      <alignment wrapText="1"/>
      <protection hidden="1"/>
    </xf>
    <xf numFmtId="3" fontId="23" fillId="3" borderId="0" xfId="60" applyNumberFormat="1" applyFont="1" applyFill="1" applyAlignment="1" applyProtection="1">
      <alignment/>
      <protection hidden="1"/>
    </xf>
    <xf numFmtId="176" fontId="23" fillId="3" borderId="13" xfId="60" applyNumberFormat="1" applyFont="1" applyFill="1" applyBorder="1" applyAlignment="1" applyProtection="1">
      <alignment wrapText="1"/>
      <protection hidden="1"/>
    </xf>
    <xf numFmtId="179" fontId="16" fillId="3" borderId="0" xfId="0" applyNumberFormat="1" applyFont="1" applyFill="1" applyAlignment="1">
      <alignment/>
    </xf>
    <xf numFmtId="40" fontId="23" fillId="45" borderId="13" xfId="60" applyNumberFormat="1" applyFont="1" applyFill="1" applyBorder="1" applyAlignment="1" applyProtection="1">
      <alignment wrapText="1"/>
      <protection hidden="1"/>
    </xf>
    <xf numFmtId="49" fontId="3" fillId="43" borderId="13" xfId="60" applyNumberFormat="1" applyFont="1" applyFill="1" applyBorder="1" applyAlignment="1" applyProtection="1">
      <alignment horizontal="center"/>
      <protection hidden="1"/>
    </xf>
    <xf numFmtId="49" fontId="3" fillId="0" borderId="13" xfId="60" applyNumberFormat="1" applyFont="1" applyFill="1" applyBorder="1" applyAlignment="1" applyProtection="1">
      <alignment horizontal="center" vertical="center"/>
      <protection hidden="1"/>
    </xf>
    <xf numFmtId="40" fontId="3" fillId="45" borderId="13" xfId="60" applyNumberFormat="1" applyFont="1" applyFill="1" applyBorder="1" applyAlignment="1" applyProtection="1">
      <alignment/>
      <protection hidden="1"/>
    </xf>
    <xf numFmtId="49" fontId="23" fillId="43" borderId="13" xfId="60" applyNumberFormat="1" applyFont="1" applyFill="1" applyBorder="1" applyAlignment="1" applyProtection="1">
      <alignment horizontal="center"/>
      <protection hidden="1"/>
    </xf>
    <xf numFmtId="49" fontId="23" fillId="39" borderId="13" xfId="60" applyNumberFormat="1" applyFont="1" applyFill="1" applyBorder="1" applyAlignment="1" applyProtection="1">
      <alignment horizontal="center" vertical="center"/>
      <protection hidden="1"/>
    </xf>
    <xf numFmtId="40" fontId="3" fillId="3" borderId="13" xfId="60" applyNumberFormat="1" applyFont="1" applyFill="1" applyBorder="1" applyAlignment="1" applyProtection="1">
      <alignment/>
      <protection hidden="1"/>
    </xf>
    <xf numFmtId="179" fontId="16" fillId="45" borderId="0" xfId="0" applyNumberFormat="1" applyFont="1" applyFill="1" applyAlignment="1">
      <alignment/>
    </xf>
    <xf numFmtId="0" fontId="14" fillId="33" borderId="21" xfId="0" applyNumberFormat="1" applyFont="1" applyFill="1" applyBorder="1" applyAlignment="1">
      <alignment horizontal="left" vertical="center" wrapText="1"/>
    </xf>
    <xf numFmtId="179" fontId="16" fillId="33" borderId="0" xfId="0" applyNumberFormat="1" applyFont="1" applyFill="1" applyAlignment="1">
      <alignment/>
    </xf>
    <xf numFmtId="173" fontId="23" fillId="55" borderId="13" xfId="60" applyNumberFormat="1" applyFont="1" applyFill="1" applyBorder="1" applyAlignment="1" applyProtection="1">
      <alignment/>
      <protection hidden="1"/>
    </xf>
    <xf numFmtId="49" fontId="23" fillId="55" borderId="13" xfId="60" applyNumberFormat="1" applyFont="1" applyFill="1" applyBorder="1" applyAlignment="1" applyProtection="1">
      <alignment horizontal="center" vertical="center"/>
      <protection hidden="1"/>
    </xf>
    <xf numFmtId="178" fontId="23" fillId="55" borderId="13" xfId="60" applyNumberFormat="1" applyFont="1" applyFill="1" applyBorder="1" applyAlignment="1" applyProtection="1">
      <alignment/>
      <protection hidden="1"/>
    </xf>
    <xf numFmtId="173" fontId="23" fillId="55" borderId="13" xfId="60" applyNumberFormat="1" applyFont="1" applyFill="1" applyBorder="1" applyAlignment="1" applyProtection="1">
      <alignment wrapText="1"/>
      <protection hidden="1"/>
    </xf>
    <xf numFmtId="174" fontId="23" fillId="55" borderId="13" xfId="60" applyNumberFormat="1" applyFont="1" applyFill="1" applyBorder="1" applyAlignment="1" applyProtection="1">
      <alignment/>
      <protection hidden="1"/>
    </xf>
    <xf numFmtId="172" fontId="23" fillId="55" borderId="14" xfId="60" applyNumberFormat="1" applyFont="1" applyFill="1" applyBorder="1" applyAlignment="1" applyProtection="1">
      <alignment/>
      <protection hidden="1"/>
    </xf>
    <xf numFmtId="172" fontId="23" fillId="55" borderId="21" xfId="60" applyNumberFormat="1" applyFont="1" applyFill="1" applyBorder="1" applyAlignment="1" applyProtection="1">
      <alignment wrapText="1"/>
      <protection hidden="1"/>
    </xf>
    <xf numFmtId="172" fontId="23" fillId="55" borderId="13" xfId="60" applyNumberFormat="1" applyFont="1" applyFill="1" applyBorder="1" applyAlignment="1" applyProtection="1">
      <alignment wrapText="1"/>
      <protection hidden="1"/>
    </xf>
    <xf numFmtId="4" fontId="23" fillId="55" borderId="22" xfId="60" applyNumberFormat="1" applyFont="1" applyFill="1" applyBorder="1" applyAlignment="1" applyProtection="1">
      <alignment wrapText="1"/>
      <protection hidden="1"/>
    </xf>
    <xf numFmtId="172" fontId="23" fillId="55" borderId="21" xfId="60" applyNumberFormat="1" applyFont="1" applyFill="1" applyBorder="1" applyAlignment="1" applyProtection="1">
      <alignment/>
      <protection hidden="1"/>
    </xf>
    <xf numFmtId="40" fontId="23" fillId="55" borderId="21" xfId="60" applyNumberFormat="1" applyFont="1" applyFill="1" applyBorder="1" applyAlignment="1" applyProtection="1">
      <alignment/>
      <protection hidden="1"/>
    </xf>
    <xf numFmtId="176" fontId="23" fillId="55" borderId="21" xfId="60" applyNumberFormat="1" applyFont="1" applyFill="1" applyBorder="1" applyAlignment="1" applyProtection="1">
      <alignment wrapText="1"/>
      <protection hidden="1"/>
    </xf>
    <xf numFmtId="172" fontId="23" fillId="55" borderId="13" xfId="60" applyNumberFormat="1" applyFont="1" applyFill="1" applyBorder="1" applyAlignment="1" applyProtection="1">
      <alignment/>
      <protection hidden="1"/>
    </xf>
    <xf numFmtId="4" fontId="23" fillId="55" borderId="13" xfId="60" applyNumberFormat="1" applyFont="1" applyFill="1" applyBorder="1" applyAlignment="1" applyProtection="1">
      <alignment wrapText="1"/>
      <protection hidden="1"/>
    </xf>
    <xf numFmtId="40" fontId="23" fillId="55" borderId="13" xfId="60" applyNumberFormat="1" applyFont="1" applyFill="1" applyBorder="1" applyAlignment="1" applyProtection="1">
      <alignment/>
      <protection hidden="1"/>
    </xf>
    <xf numFmtId="4" fontId="23" fillId="55" borderId="13" xfId="60" applyNumberFormat="1" applyFont="1" applyFill="1" applyBorder="1" applyAlignment="1" applyProtection="1">
      <alignment/>
      <protection hidden="1"/>
    </xf>
    <xf numFmtId="181" fontId="23" fillId="49" borderId="38" xfId="60" applyNumberFormat="1" applyFont="1" applyFill="1" applyBorder="1" applyAlignment="1" applyProtection="1">
      <alignment wrapText="1"/>
      <protection hidden="1"/>
    </xf>
    <xf numFmtId="0" fontId="16" fillId="55" borderId="0" xfId="0" applyFont="1" applyFill="1" applyBorder="1" applyAlignment="1">
      <alignment/>
    </xf>
    <xf numFmtId="179" fontId="16" fillId="55" borderId="0" xfId="0" applyNumberFormat="1" applyFont="1" applyFill="1" applyAlignment="1">
      <alignment/>
    </xf>
    <xf numFmtId="49" fontId="13" fillId="53" borderId="13" xfId="0" applyNumberFormat="1" applyFont="1" applyFill="1" applyBorder="1" applyAlignment="1">
      <alignment horizontal="center" vertical="center"/>
    </xf>
    <xf numFmtId="173" fontId="22" fillId="0" borderId="13" xfId="61" applyNumberFormat="1" applyFont="1" applyFill="1" applyBorder="1" applyAlignment="1" applyProtection="1">
      <alignment vertical="top" wrapText="1"/>
      <protection hidden="1"/>
    </xf>
    <xf numFmtId="173" fontId="11" fillId="0" borderId="13" xfId="61" applyNumberFormat="1" applyFont="1" applyFill="1" applyBorder="1" applyAlignment="1" applyProtection="1">
      <alignment vertical="top" wrapText="1"/>
      <protection hidden="1"/>
    </xf>
    <xf numFmtId="179" fontId="11" fillId="0" borderId="13" xfId="53" applyNumberFormat="1" applyFont="1" applyFill="1" applyBorder="1" applyAlignment="1" applyProtection="1">
      <alignment vertical="top" wrapText="1"/>
      <protection hidden="1"/>
    </xf>
    <xf numFmtId="0" fontId="22" fillId="0" borderId="13" xfId="53" applyNumberFormat="1" applyFont="1" applyFill="1" applyBorder="1" applyAlignment="1" applyProtection="1">
      <alignment vertical="top" wrapText="1"/>
      <protection hidden="1"/>
    </xf>
    <xf numFmtId="0" fontId="11" fillId="0" borderId="13" xfId="53" applyNumberFormat="1" applyFont="1" applyFill="1" applyBorder="1" applyAlignment="1" applyProtection="1">
      <alignment vertical="top" wrapText="1"/>
      <protection hidden="1"/>
    </xf>
    <xf numFmtId="177" fontId="11" fillId="0" borderId="13" xfId="53" applyNumberFormat="1" applyFont="1" applyFill="1" applyBorder="1" applyAlignment="1" applyProtection="1">
      <alignment vertical="top" wrapText="1"/>
      <protection hidden="1"/>
    </xf>
    <xf numFmtId="173" fontId="12" fillId="53" borderId="14" xfId="53" applyNumberFormat="1" applyFont="1" applyFill="1" applyBorder="1" applyAlignment="1" applyProtection="1">
      <alignment horizontal="center" vertical="center" wrapText="1"/>
      <protection hidden="1"/>
    </xf>
    <xf numFmtId="182" fontId="23" fillId="37" borderId="13" xfId="60" applyNumberFormat="1" applyFont="1" applyFill="1" applyBorder="1" applyAlignment="1" applyProtection="1">
      <alignment/>
      <protection hidden="1"/>
    </xf>
    <xf numFmtId="177" fontId="14" fillId="0" borderId="13" xfId="0" applyNumberFormat="1" applyFont="1" applyFill="1" applyBorder="1" applyAlignment="1">
      <alignment horizontal="right" vertical="center"/>
    </xf>
    <xf numFmtId="4" fontId="16" fillId="37" borderId="0" xfId="0" applyNumberFormat="1" applyFont="1" applyFill="1" applyAlignment="1">
      <alignment/>
    </xf>
    <xf numFmtId="4" fontId="16" fillId="0" borderId="0" xfId="0" applyNumberFormat="1" applyFont="1" applyFill="1" applyAlignment="1">
      <alignment/>
    </xf>
    <xf numFmtId="181" fontId="30" fillId="43" borderId="39" xfId="60" applyNumberFormat="1" applyFont="1" applyFill="1" applyBorder="1" applyAlignment="1" applyProtection="1">
      <alignment wrapText="1"/>
      <protection hidden="1"/>
    </xf>
    <xf numFmtId="181" fontId="30" fillId="43" borderId="22" xfId="60" applyNumberFormat="1" applyFont="1" applyFill="1" applyBorder="1" applyAlignment="1" applyProtection="1">
      <alignment wrapText="1"/>
      <protection hidden="1"/>
    </xf>
    <xf numFmtId="40" fontId="23" fillId="10" borderId="21" xfId="60" applyNumberFormat="1" applyFont="1" applyFill="1" applyBorder="1" applyAlignment="1" applyProtection="1">
      <alignment/>
      <protection hidden="1"/>
    </xf>
    <xf numFmtId="172" fontId="23" fillId="10" borderId="14" xfId="60" applyNumberFormat="1" applyFont="1" applyFill="1" applyBorder="1" applyAlignment="1" applyProtection="1">
      <alignment/>
      <protection hidden="1"/>
    </xf>
    <xf numFmtId="172" fontId="23" fillId="10" borderId="21" xfId="60" applyNumberFormat="1" applyFont="1" applyFill="1" applyBorder="1" applyAlignment="1" applyProtection="1">
      <alignment wrapText="1"/>
      <protection hidden="1"/>
    </xf>
    <xf numFmtId="172" fontId="23" fillId="10" borderId="13" xfId="60" applyNumberFormat="1" applyFont="1" applyFill="1" applyBorder="1" applyAlignment="1" applyProtection="1">
      <alignment wrapText="1"/>
      <protection hidden="1"/>
    </xf>
    <xf numFmtId="4" fontId="23" fillId="10" borderId="22" xfId="60" applyNumberFormat="1" applyFont="1" applyFill="1" applyBorder="1" applyAlignment="1" applyProtection="1">
      <alignment wrapText="1"/>
      <protection hidden="1"/>
    </xf>
    <xf numFmtId="172" fontId="23" fillId="10" borderId="21" xfId="60" applyNumberFormat="1" applyFont="1" applyFill="1" applyBorder="1" applyAlignment="1" applyProtection="1">
      <alignment/>
      <protection hidden="1"/>
    </xf>
    <xf numFmtId="176" fontId="23" fillId="10" borderId="21" xfId="60" applyNumberFormat="1" applyFont="1" applyFill="1" applyBorder="1" applyAlignment="1" applyProtection="1">
      <alignment wrapText="1"/>
      <protection hidden="1"/>
    </xf>
    <xf numFmtId="4" fontId="30" fillId="10" borderId="21" xfId="60" applyNumberFormat="1" applyFont="1" applyFill="1" applyBorder="1" applyAlignment="1" applyProtection="1">
      <alignment/>
      <protection hidden="1"/>
    </xf>
    <xf numFmtId="40" fontId="30" fillId="10" borderId="21" xfId="60" applyNumberFormat="1" applyFont="1" applyFill="1" applyBorder="1" applyAlignment="1" applyProtection="1">
      <alignment/>
      <protection hidden="1"/>
    </xf>
    <xf numFmtId="172" fontId="23" fillId="10" borderId="40" xfId="60" applyNumberFormat="1" applyFont="1" applyFill="1" applyBorder="1" applyAlignment="1" applyProtection="1">
      <alignment/>
      <protection hidden="1"/>
    </xf>
    <xf numFmtId="172" fontId="23" fillId="10" borderId="39" xfId="60" applyNumberFormat="1" applyFont="1" applyFill="1" applyBorder="1" applyAlignment="1" applyProtection="1">
      <alignment/>
      <protection hidden="1"/>
    </xf>
    <xf numFmtId="10" fontId="23" fillId="10" borderId="40" xfId="60" applyNumberFormat="1" applyFont="1" applyFill="1" applyBorder="1" applyAlignment="1" applyProtection="1">
      <alignment/>
      <protection hidden="1"/>
    </xf>
    <xf numFmtId="0" fontId="2" fillId="10" borderId="30" xfId="60" applyNumberFormat="1" applyFont="1" applyFill="1" applyBorder="1" applyAlignment="1" applyProtection="1">
      <alignment/>
      <protection hidden="1"/>
    </xf>
    <xf numFmtId="40" fontId="23" fillId="11" borderId="21" xfId="60" applyNumberFormat="1" applyFont="1" applyFill="1" applyBorder="1" applyAlignment="1" applyProtection="1">
      <alignment/>
      <protection hidden="1"/>
    </xf>
    <xf numFmtId="4" fontId="23" fillId="11" borderId="13" xfId="60" applyNumberFormat="1" applyFont="1" applyFill="1" applyBorder="1" applyAlignment="1" applyProtection="1">
      <alignment/>
      <protection hidden="1"/>
    </xf>
    <xf numFmtId="4" fontId="23" fillId="11" borderId="21" xfId="60" applyNumberFormat="1" applyFont="1" applyFill="1" applyBorder="1" applyAlignment="1" applyProtection="1">
      <alignment/>
      <protection hidden="1"/>
    </xf>
    <xf numFmtId="0" fontId="57" fillId="0" borderId="47" xfId="0" applyFont="1" applyFill="1" applyBorder="1" applyAlignment="1">
      <alignment horizontal="center" wrapText="1"/>
    </xf>
    <xf numFmtId="172" fontId="23" fillId="3" borderId="21" xfId="60" applyNumberFormat="1" applyFont="1" applyFill="1" applyBorder="1" applyAlignment="1" applyProtection="1">
      <alignment/>
      <protection hidden="1"/>
    </xf>
    <xf numFmtId="40" fontId="30" fillId="3" borderId="22" xfId="60" applyNumberFormat="1" applyFont="1" applyFill="1" applyBorder="1" applyAlignment="1" applyProtection="1">
      <alignment/>
      <protection hidden="1"/>
    </xf>
    <xf numFmtId="176" fontId="2" fillId="0" borderId="0" xfId="60" applyNumberFormat="1" applyFont="1" applyFill="1" applyAlignment="1" applyProtection="1">
      <alignment/>
      <protection hidden="1"/>
    </xf>
    <xf numFmtId="176" fontId="2" fillId="0" borderId="0" xfId="60" applyNumberFormat="1" applyFill="1" applyProtection="1">
      <alignment/>
      <protection hidden="1"/>
    </xf>
    <xf numFmtId="4" fontId="30" fillId="0" borderId="14" xfId="60" applyNumberFormat="1" applyFont="1" applyFill="1" applyBorder="1" applyAlignment="1" applyProtection="1">
      <alignment/>
      <protection hidden="1"/>
    </xf>
    <xf numFmtId="172" fontId="30" fillId="0" borderId="39" xfId="60" applyNumberFormat="1" applyFont="1" applyFill="1" applyBorder="1" applyAlignment="1" applyProtection="1">
      <alignment/>
      <protection hidden="1"/>
    </xf>
    <xf numFmtId="172" fontId="30" fillId="0" borderId="40" xfId="60" applyNumberFormat="1" applyFont="1" applyFill="1" applyBorder="1" applyAlignment="1" applyProtection="1">
      <alignment/>
      <protection hidden="1"/>
    </xf>
    <xf numFmtId="0" fontId="60" fillId="33" borderId="13" xfId="0" applyFont="1" applyFill="1" applyBorder="1" applyAlignment="1">
      <alignment horizontal="center" vertical="center"/>
    </xf>
    <xf numFmtId="49" fontId="60" fillId="33" borderId="13" xfId="0" applyNumberFormat="1" applyFont="1" applyFill="1" applyBorder="1" applyAlignment="1">
      <alignment horizontal="center" vertical="center"/>
    </xf>
    <xf numFmtId="178" fontId="23" fillId="24" borderId="13" xfId="60" applyNumberFormat="1" applyFont="1" applyFill="1" applyBorder="1" applyAlignment="1" applyProtection="1">
      <alignment/>
      <protection hidden="1"/>
    </xf>
    <xf numFmtId="172" fontId="30" fillId="43" borderId="37" xfId="60" applyNumberFormat="1" applyFont="1" applyFill="1" applyBorder="1" applyAlignment="1" applyProtection="1">
      <alignment/>
      <protection hidden="1"/>
    </xf>
    <xf numFmtId="181" fontId="30" fillId="43" borderId="39" xfId="60" applyNumberFormat="1" applyFont="1" applyFill="1" applyBorder="1" applyAlignment="1" applyProtection="1">
      <alignment wrapText="1"/>
      <protection hidden="1"/>
    </xf>
    <xf numFmtId="181" fontId="30" fillId="43" borderId="22" xfId="60" applyNumberFormat="1" applyFont="1" applyFill="1" applyBorder="1" applyAlignment="1" applyProtection="1">
      <alignment wrapText="1"/>
      <protection hidden="1"/>
    </xf>
    <xf numFmtId="181" fontId="30" fillId="43" borderId="14" xfId="60" applyNumberFormat="1" applyFont="1" applyFill="1" applyBorder="1" applyAlignment="1" applyProtection="1">
      <alignment wrapText="1"/>
      <protection hidden="1"/>
    </xf>
    <xf numFmtId="181" fontId="30" fillId="43" borderId="38" xfId="60" applyNumberFormat="1" applyFont="1" applyFill="1" applyBorder="1" applyAlignment="1" applyProtection="1">
      <alignment wrapText="1"/>
      <protection hidden="1"/>
    </xf>
    <xf numFmtId="181" fontId="30" fillId="33" borderId="22" xfId="60" applyNumberFormat="1" applyFont="1" applyFill="1" applyBorder="1" applyAlignment="1" applyProtection="1">
      <alignment wrapText="1"/>
      <protection hidden="1"/>
    </xf>
    <xf numFmtId="49" fontId="23" fillId="0" borderId="21" xfId="60" applyNumberFormat="1" applyFont="1" applyFill="1" applyBorder="1" applyAlignment="1" applyProtection="1">
      <alignment horizontal="center" vertical="center"/>
      <protection hidden="1"/>
    </xf>
    <xf numFmtId="4" fontId="37" fillId="43" borderId="21" xfId="60" applyNumberFormat="1" applyFont="1" applyFill="1" applyBorder="1" applyAlignment="1" applyProtection="1">
      <alignment/>
      <protection hidden="1"/>
    </xf>
    <xf numFmtId="4" fontId="37" fillId="43" borderId="21" xfId="60" applyNumberFormat="1" applyFont="1" applyFill="1" applyBorder="1" applyAlignment="1" applyProtection="1">
      <alignment wrapText="1"/>
      <protection hidden="1"/>
    </xf>
    <xf numFmtId="176" fontId="30" fillId="3" borderId="13" xfId="60" applyNumberFormat="1" applyFont="1" applyFill="1" applyBorder="1" applyAlignment="1" applyProtection="1">
      <alignment wrapText="1"/>
      <protection hidden="1"/>
    </xf>
    <xf numFmtId="0" fontId="2" fillId="21" borderId="36" xfId="60" applyFill="1" applyBorder="1" applyProtection="1">
      <alignment/>
      <protection hidden="1"/>
    </xf>
    <xf numFmtId="181" fontId="23" fillId="21" borderId="37" xfId="60" applyNumberFormat="1" applyFont="1" applyFill="1" applyBorder="1" applyAlignment="1" applyProtection="1">
      <alignment wrapText="1"/>
      <protection hidden="1"/>
    </xf>
    <xf numFmtId="181" fontId="30" fillId="21" borderId="37" xfId="60" applyNumberFormat="1" applyFont="1" applyFill="1" applyBorder="1" applyAlignment="1" applyProtection="1">
      <alignment wrapText="1"/>
      <protection hidden="1"/>
    </xf>
    <xf numFmtId="181" fontId="23" fillId="21" borderId="38" xfId="60" applyNumberFormat="1" applyFont="1" applyFill="1" applyBorder="1" applyAlignment="1" applyProtection="1">
      <alignment wrapText="1"/>
      <protection hidden="1"/>
    </xf>
    <xf numFmtId="178" fontId="23" fillId="21" borderId="13" xfId="60" applyNumberFormat="1" applyFont="1" applyFill="1" applyBorder="1" applyAlignment="1" applyProtection="1">
      <alignment/>
      <protection hidden="1"/>
    </xf>
    <xf numFmtId="173" fontId="23" fillId="21" borderId="13" xfId="60" applyNumberFormat="1" applyFont="1" applyFill="1" applyBorder="1" applyAlignment="1" applyProtection="1">
      <alignment wrapText="1"/>
      <protection hidden="1"/>
    </xf>
    <xf numFmtId="174" fontId="23" fillId="21" borderId="13" xfId="60" applyNumberFormat="1" applyFont="1" applyFill="1" applyBorder="1" applyAlignment="1" applyProtection="1">
      <alignment/>
      <protection hidden="1"/>
    </xf>
    <xf numFmtId="173" fontId="23" fillId="21" borderId="13" xfId="60" applyNumberFormat="1" applyFont="1" applyFill="1" applyBorder="1" applyAlignment="1" applyProtection="1">
      <alignment/>
      <protection hidden="1"/>
    </xf>
    <xf numFmtId="49" fontId="23" fillId="21" borderId="13" xfId="60" applyNumberFormat="1" applyFont="1" applyFill="1" applyBorder="1" applyAlignment="1" applyProtection="1">
      <alignment horizontal="center" vertical="center"/>
      <protection hidden="1"/>
    </xf>
    <xf numFmtId="172" fontId="23" fillId="21" borderId="13" xfId="60" applyNumberFormat="1" applyFont="1" applyFill="1" applyBorder="1" applyAlignment="1" applyProtection="1">
      <alignment/>
      <protection hidden="1"/>
    </xf>
    <xf numFmtId="172" fontId="23" fillId="21" borderId="13" xfId="60" applyNumberFormat="1" applyFont="1" applyFill="1" applyBorder="1" applyAlignment="1" applyProtection="1">
      <alignment wrapText="1"/>
      <protection hidden="1"/>
    </xf>
    <xf numFmtId="4" fontId="23" fillId="21" borderId="13" xfId="60" applyNumberFormat="1" applyFont="1" applyFill="1" applyBorder="1" applyAlignment="1" applyProtection="1">
      <alignment wrapText="1"/>
      <protection hidden="1"/>
    </xf>
    <xf numFmtId="40" fontId="23" fillId="21" borderId="13" xfId="60" applyNumberFormat="1" applyFont="1" applyFill="1" applyBorder="1" applyAlignment="1" applyProtection="1">
      <alignment/>
      <protection hidden="1"/>
    </xf>
    <xf numFmtId="4" fontId="23" fillId="21" borderId="13" xfId="60" applyNumberFormat="1" applyFont="1" applyFill="1" applyBorder="1" applyAlignment="1" applyProtection="1">
      <alignment/>
      <protection hidden="1"/>
    </xf>
    <xf numFmtId="172" fontId="23" fillId="21" borderId="37" xfId="60" applyNumberFormat="1" applyFont="1" applyFill="1" applyBorder="1" applyAlignment="1" applyProtection="1">
      <alignment/>
      <protection hidden="1"/>
    </xf>
    <xf numFmtId="40" fontId="23" fillId="21" borderId="37" xfId="60" applyNumberFormat="1" applyFont="1" applyFill="1" applyBorder="1" applyAlignment="1" applyProtection="1">
      <alignment/>
      <protection hidden="1"/>
    </xf>
    <xf numFmtId="10" fontId="23" fillId="21" borderId="37" xfId="60" applyNumberFormat="1" applyFont="1" applyFill="1" applyBorder="1" applyAlignment="1" applyProtection="1">
      <alignment/>
      <protection hidden="1"/>
    </xf>
    <xf numFmtId="0" fontId="2" fillId="21" borderId="30" xfId="60" applyNumberFormat="1" applyFont="1" applyFill="1" applyBorder="1" applyAlignment="1" applyProtection="1">
      <alignment/>
      <protection hidden="1"/>
    </xf>
    <xf numFmtId="0" fontId="2" fillId="21" borderId="0" xfId="60" applyFill="1" applyProtection="1">
      <alignment/>
      <protection hidden="1"/>
    </xf>
    <xf numFmtId="0" fontId="2" fillId="21" borderId="0" xfId="60" applyFill="1" applyBorder="1">
      <alignment/>
      <protection/>
    </xf>
    <xf numFmtId="176" fontId="2" fillId="21" borderId="0" xfId="60" applyNumberFormat="1" applyFill="1" applyBorder="1">
      <alignment/>
      <protection/>
    </xf>
    <xf numFmtId="0" fontId="2" fillId="21" borderId="0" xfId="60" applyFill="1">
      <alignment/>
      <protection/>
    </xf>
    <xf numFmtId="4" fontId="30" fillId="21" borderId="21" xfId="60" applyNumberFormat="1" applyFont="1" applyFill="1" applyBorder="1" applyAlignment="1" applyProtection="1">
      <alignment/>
      <protection hidden="1"/>
    </xf>
    <xf numFmtId="40" fontId="30" fillId="21" borderId="21" xfId="60" applyNumberFormat="1" applyFont="1" applyFill="1" applyBorder="1" applyAlignment="1" applyProtection="1">
      <alignment/>
      <protection hidden="1"/>
    </xf>
    <xf numFmtId="172" fontId="23" fillId="21" borderId="40" xfId="60" applyNumberFormat="1" applyFont="1" applyFill="1" applyBorder="1" applyAlignment="1" applyProtection="1">
      <alignment/>
      <protection hidden="1"/>
    </xf>
    <xf numFmtId="172" fontId="23" fillId="21" borderId="39" xfId="60" applyNumberFormat="1" applyFont="1" applyFill="1" applyBorder="1" applyAlignment="1" applyProtection="1">
      <alignment/>
      <protection hidden="1"/>
    </xf>
    <xf numFmtId="10" fontId="23" fillId="21" borderId="40" xfId="60" applyNumberFormat="1" applyFont="1" applyFill="1" applyBorder="1" applyAlignment="1" applyProtection="1">
      <alignment/>
      <protection hidden="1"/>
    </xf>
    <xf numFmtId="172" fontId="30" fillId="21" borderId="21" xfId="60" applyNumberFormat="1" applyFont="1" applyFill="1" applyBorder="1" applyAlignment="1" applyProtection="1">
      <alignment wrapText="1"/>
      <protection hidden="1"/>
    </xf>
    <xf numFmtId="172" fontId="30" fillId="21" borderId="13" xfId="60" applyNumberFormat="1" applyFont="1" applyFill="1" applyBorder="1" applyAlignment="1" applyProtection="1">
      <alignment wrapText="1"/>
      <protection hidden="1"/>
    </xf>
    <xf numFmtId="4" fontId="3" fillId="21" borderId="22" xfId="60" applyNumberFormat="1" applyFont="1" applyFill="1" applyBorder="1" applyAlignment="1" applyProtection="1">
      <alignment wrapText="1"/>
      <protection hidden="1"/>
    </xf>
    <xf numFmtId="181" fontId="30" fillId="21" borderId="39" xfId="60" applyNumberFormat="1" applyFont="1" applyFill="1" applyBorder="1" applyAlignment="1" applyProtection="1">
      <alignment wrapText="1"/>
      <protection hidden="1"/>
    </xf>
    <xf numFmtId="181" fontId="30" fillId="21" borderId="22" xfId="60" applyNumberFormat="1" applyFont="1" applyFill="1" applyBorder="1" applyAlignment="1" applyProtection="1">
      <alignment wrapText="1"/>
      <protection hidden="1"/>
    </xf>
    <xf numFmtId="40" fontId="23" fillId="21" borderId="45" xfId="60" applyNumberFormat="1" applyFont="1" applyFill="1" applyBorder="1" applyAlignment="1" applyProtection="1">
      <alignment wrapText="1"/>
      <protection hidden="1"/>
    </xf>
    <xf numFmtId="172" fontId="30" fillId="21" borderId="21" xfId="60" applyNumberFormat="1" applyFont="1" applyFill="1" applyBorder="1" applyAlignment="1" applyProtection="1">
      <alignment/>
      <protection hidden="1"/>
    </xf>
    <xf numFmtId="40" fontId="30" fillId="21" borderId="21" xfId="60" applyNumberFormat="1" applyFont="1" applyFill="1" applyBorder="1" applyAlignment="1" applyProtection="1">
      <alignment wrapText="1"/>
      <protection hidden="1"/>
    </xf>
    <xf numFmtId="172" fontId="30" fillId="21" borderId="37" xfId="60" applyNumberFormat="1" applyFont="1" applyFill="1" applyBorder="1" applyAlignment="1" applyProtection="1">
      <alignment/>
      <protection hidden="1"/>
    </xf>
    <xf numFmtId="181" fontId="30" fillId="21" borderId="39" xfId="60" applyNumberFormat="1" applyFont="1" applyFill="1" applyBorder="1" applyAlignment="1" applyProtection="1">
      <alignment wrapText="1"/>
      <protection hidden="1"/>
    </xf>
    <xf numFmtId="181" fontId="23" fillId="21" borderId="39" xfId="60" applyNumberFormat="1" applyFont="1" applyFill="1" applyBorder="1" applyAlignment="1" applyProtection="1">
      <alignment wrapText="1"/>
      <protection hidden="1"/>
    </xf>
    <xf numFmtId="178" fontId="23" fillId="21" borderId="14" xfId="60" applyNumberFormat="1" applyFont="1" applyFill="1" applyBorder="1" applyAlignment="1" applyProtection="1">
      <alignment/>
      <protection hidden="1"/>
    </xf>
    <xf numFmtId="173" fontId="23" fillId="21" borderId="14" xfId="60" applyNumberFormat="1" applyFont="1" applyFill="1" applyBorder="1" applyAlignment="1" applyProtection="1">
      <alignment wrapText="1"/>
      <protection hidden="1"/>
    </xf>
    <xf numFmtId="174" fontId="23" fillId="21" borderId="14" xfId="60" applyNumberFormat="1" applyFont="1" applyFill="1" applyBorder="1" applyAlignment="1" applyProtection="1">
      <alignment/>
      <protection hidden="1"/>
    </xf>
    <xf numFmtId="173" fontId="23" fillId="21" borderId="14" xfId="60" applyNumberFormat="1" applyFont="1" applyFill="1" applyBorder="1" applyAlignment="1" applyProtection="1">
      <alignment/>
      <protection hidden="1"/>
    </xf>
    <xf numFmtId="49" fontId="23" fillId="21" borderId="14" xfId="60" applyNumberFormat="1" applyFont="1" applyFill="1" applyBorder="1" applyAlignment="1" applyProtection="1">
      <alignment horizontal="center" vertical="center"/>
      <protection hidden="1"/>
    </xf>
    <xf numFmtId="172" fontId="23" fillId="21" borderId="22" xfId="60" applyNumberFormat="1" applyFont="1" applyFill="1" applyBorder="1" applyAlignment="1" applyProtection="1">
      <alignment/>
      <protection hidden="1"/>
    </xf>
    <xf numFmtId="172" fontId="23" fillId="21" borderId="21" xfId="60" applyNumberFormat="1" applyFont="1" applyFill="1" applyBorder="1" applyAlignment="1" applyProtection="1">
      <alignment wrapText="1"/>
      <protection hidden="1"/>
    </xf>
    <xf numFmtId="172" fontId="23" fillId="21" borderId="21" xfId="60" applyNumberFormat="1" applyFont="1" applyFill="1" applyBorder="1" applyAlignment="1" applyProtection="1">
      <alignment/>
      <protection hidden="1"/>
    </xf>
    <xf numFmtId="40" fontId="23" fillId="21" borderId="21" xfId="60" applyNumberFormat="1" applyFont="1" applyFill="1" applyBorder="1" applyAlignment="1" applyProtection="1">
      <alignment/>
      <protection hidden="1"/>
    </xf>
    <xf numFmtId="4" fontId="23" fillId="21" borderId="21" xfId="60" applyNumberFormat="1" applyFont="1" applyFill="1" applyBorder="1" applyAlignment="1" applyProtection="1">
      <alignment/>
      <protection hidden="1"/>
    </xf>
    <xf numFmtId="40" fontId="30" fillId="21" borderId="22" xfId="60" applyNumberFormat="1" applyFont="1" applyFill="1" applyBorder="1" applyAlignment="1" applyProtection="1">
      <alignment/>
      <protection hidden="1"/>
    </xf>
    <xf numFmtId="4" fontId="23" fillId="38" borderId="21" xfId="60" applyNumberFormat="1" applyFont="1" applyFill="1" applyBorder="1" applyAlignment="1" applyProtection="1">
      <alignment/>
      <protection hidden="1"/>
    </xf>
    <xf numFmtId="181" fontId="30" fillId="37" borderId="22" xfId="60" applyNumberFormat="1" applyFont="1" applyFill="1" applyBorder="1" applyAlignment="1" applyProtection="1">
      <alignment horizontal="center" wrapText="1"/>
      <protection hidden="1"/>
    </xf>
    <xf numFmtId="179" fontId="16" fillId="25" borderId="0" xfId="0" applyNumberFormat="1" applyFont="1" applyFill="1" applyAlignment="1">
      <alignment/>
    </xf>
    <xf numFmtId="172" fontId="30" fillId="43" borderId="37" xfId="60" applyNumberFormat="1" applyFont="1" applyFill="1" applyBorder="1" applyAlignment="1" applyProtection="1">
      <alignment/>
      <protection hidden="1"/>
    </xf>
    <xf numFmtId="181" fontId="30" fillId="43" borderId="39" xfId="60" applyNumberFormat="1" applyFont="1" applyFill="1" applyBorder="1" applyAlignment="1" applyProtection="1">
      <alignment wrapText="1"/>
      <protection hidden="1"/>
    </xf>
    <xf numFmtId="49" fontId="23" fillId="45" borderId="13" xfId="60" applyNumberFormat="1" applyFont="1" applyFill="1" applyBorder="1" applyAlignment="1" applyProtection="1">
      <alignment/>
      <protection hidden="1"/>
    </xf>
    <xf numFmtId="49" fontId="23" fillId="45" borderId="13" xfId="60" applyNumberFormat="1" applyFont="1" applyFill="1" applyBorder="1" applyAlignment="1" applyProtection="1">
      <alignment horizontal="center" vertical="center"/>
      <protection hidden="1"/>
    </xf>
    <xf numFmtId="4" fontId="30" fillId="45" borderId="21" xfId="60" applyNumberFormat="1" applyFont="1" applyFill="1" applyBorder="1" applyAlignment="1" applyProtection="1">
      <alignment/>
      <protection hidden="1"/>
    </xf>
    <xf numFmtId="40" fontId="30" fillId="45" borderId="21" xfId="60" applyNumberFormat="1" applyFont="1" applyFill="1" applyBorder="1" applyAlignment="1" applyProtection="1">
      <alignment/>
      <protection hidden="1"/>
    </xf>
    <xf numFmtId="172" fontId="23" fillId="45" borderId="40" xfId="60" applyNumberFormat="1" applyFont="1" applyFill="1" applyBorder="1" applyAlignment="1" applyProtection="1">
      <alignment/>
      <protection hidden="1"/>
    </xf>
    <xf numFmtId="172" fontId="23" fillId="45" borderId="39" xfId="60" applyNumberFormat="1" applyFont="1" applyFill="1" applyBorder="1" applyAlignment="1" applyProtection="1">
      <alignment/>
      <protection hidden="1"/>
    </xf>
    <xf numFmtId="10" fontId="23" fillId="45" borderId="40" xfId="60" applyNumberFormat="1" applyFont="1" applyFill="1" applyBorder="1" applyAlignment="1" applyProtection="1">
      <alignment/>
      <protection hidden="1"/>
    </xf>
    <xf numFmtId="172" fontId="23" fillId="43" borderId="21" xfId="60" applyNumberFormat="1" applyFont="1" applyFill="1" applyBorder="1" applyAlignment="1" applyProtection="1">
      <alignment wrapText="1"/>
      <protection hidden="1"/>
    </xf>
    <xf numFmtId="4" fontId="23" fillId="43" borderId="21" xfId="60" applyNumberFormat="1" applyFont="1" applyFill="1" applyBorder="1" applyAlignment="1" applyProtection="1">
      <alignment wrapText="1"/>
      <protection hidden="1"/>
    </xf>
    <xf numFmtId="0" fontId="60" fillId="45" borderId="13" xfId="0" applyFont="1" applyFill="1" applyBorder="1" applyAlignment="1">
      <alignment horizontal="center" vertical="center"/>
    </xf>
    <xf numFmtId="49" fontId="60" fillId="45" borderId="13" xfId="0" applyNumberFormat="1" applyFont="1" applyFill="1" applyBorder="1" applyAlignment="1">
      <alignment horizontal="center" vertical="center"/>
    </xf>
    <xf numFmtId="176" fontId="23" fillId="45" borderId="13" xfId="60" applyNumberFormat="1" applyFont="1" applyFill="1" applyBorder="1" applyAlignment="1" applyProtection="1">
      <alignment wrapText="1"/>
      <protection hidden="1"/>
    </xf>
    <xf numFmtId="174" fontId="23" fillId="45" borderId="13" xfId="60" applyNumberFormat="1" applyFont="1" applyFill="1" applyBorder="1" applyAlignment="1" applyProtection="1">
      <alignment/>
      <protection hidden="1"/>
    </xf>
    <xf numFmtId="181" fontId="23" fillId="43" borderId="39" xfId="60" applyNumberFormat="1" applyFont="1" applyFill="1" applyBorder="1" applyAlignment="1" applyProtection="1">
      <alignment wrapText="1"/>
      <protection hidden="1"/>
    </xf>
    <xf numFmtId="178" fontId="23" fillId="43" borderId="14" xfId="60" applyNumberFormat="1" applyFont="1" applyFill="1" applyBorder="1" applyAlignment="1" applyProtection="1">
      <alignment/>
      <protection hidden="1"/>
    </xf>
    <xf numFmtId="173" fontId="23" fillId="43" borderId="14" xfId="60" applyNumberFormat="1" applyFont="1" applyFill="1" applyBorder="1" applyAlignment="1" applyProtection="1">
      <alignment wrapText="1"/>
      <protection hidden="1"/>
    </xf>
    <xf numFmtId="174" fontId="23" fillId="43" borderId="14" xfId="60" applyNumberFormat="1" applyFont="1" applyFill="1" applyBorder="1" applyAlignment="1" applyProtection="1">
      <alignment/>
      <protection hidden="1"/>
    </xf>
    <xf numFmtId="173" fontId="23" fillId="43" borderId="14" xfId="60" applyNumberFormat="1" applyFont="1" applyFill="1" applyBorder="1" applyAlignment="1" applyProtection="1">
      <alignment/>
      <protection hidden="1"/>
    </xf>
    <xf numFmtId="49" fontId="3" fillId="43" borderId="14" xfId="60" applyNumberFormat="1" applyFont="1" applyFill="1" applyBorder="1" applyAlignment="1" applyProtection="1">
      <alignment horizontal="center"/>
      <protection hidden="1"/>
    </xf>
    <xf numFmtId="4" fontId="30" fillId="43" borderId="22" xfId="60" applyNumberFormat="1" applyFont="1" applyFill="1" applyBorder="1" applyAlignment="1" applyProtection="1">
      <alignment/>
      <protection hidden="1"/>
    </xf>
    <xf numFmtId="40" fontId="30" fillId="43" borderId="22" xfId="60" applyNumberFormat="1" applyFont="1" applyFill="1" applyBorder="1" applyAlignment="1" applyProtection="1">
      <alignment/>
      <protection hidden="1"/>
    </xf>
    <xf numFmtId="173" fontId="3" fillId="43" borderId="14" xfId="60" applyNumberFormat="1" applyFont="1" applyFill="1" applyBorder="1" applyAlignment="1" applyProtection="1">
      <alignment/>
      <protection hidden="1"/>
    </xf>
    <xf numFmtId="40" fontId="3" fillId="33" borderId="21" xfId="60" applyNumberFormat="1" applyFont="1" applyFill="1" applyBorder="1" applyAlignment="1" applyProtection="1">
      <alignment/>
      <protection hidden="1"/>
    </xf>
    <xf numFmtId="172" fontId="23" fillId="33" borderId="21" xfId="60" applyNumberFormat="1" applyFont="1" applyFill="1" applyBorder="1" applyAlignment="1" applyProtection="1">
      <alignment wrapText="1"/>
      <protection hidden="1"/>
    </xf>
    <xf numFmtId="40" fontId="30" fillId="33" borderId="21" xfId="60" applyNumberFormat="1" applyFont="1" applyFill="1" applyBorder="1" applyAlignment="1" applyProtection="1">
      <alignment/>
      <protection hidden="1"/>
    </xf>
    <xf numFmtId="0" fontId="0" fillId="33" borderId="0" xfId="0" applyFill="1" applyAlignment="1">
      <alignment wrapText="1"/>
    </xf>
    <xf numFmtId="177" fontId="103" fillId="33" borderId="0" xfId="0" applyNumberFormat="1" applyFont="1" applyFill="1" applyBorder="1" applyAlignment="1">
      <alignment horizontal="right" vertical="center" wrapText="1"/>
    </xf>
    <xf numFmtId="177" fontId="103" fillId="33" borderId="60" xfId="0" applyNumberFormat="1" applyFont="1" applyFill="1" applyBorder="1" applyAlignment="1">
      <alignment horizontal="right" vertical="center" wrapText="1"/>
    </xf>
    <xf numFmtId="177" fontId="103" fillId="33" borderId="12" xfId="0" applyNumberFormat="1" applyFont="1" applyFill="1" applyBorder="1" applyAlignment="1">
      <alignment horizontal="right" vertical="center" wrapText="1"/>
    </xf>
    <xf numFmtId="4" fontId="0" fillId="33" borderId="0" xfId="0" applyNumberFormat="1" applyFill="1" applyAlignment="1">
      <alignment/>
    </xf>
    <xf numFmtId="0" fontId="0" fillId="33" borderId="0" xfId="0" applyFill="1" applyAlignment="1">
      <alignment horizontal="center"/>
    </xf>
    <xf numFmtId="0" fontId="52" fillId="33" borderId="0" xfId="62" applyFont="1" applyFill="1" applyAlignment="1" applyProtection="1">
      <alignment/>
      <protection hidden="1"/>
    </xf>
    <xf numFmtId="0" fontId="0" fillId="33" borderId="0" xfId="0" applyFill="1" applyBorder="1" applyAlignment="1">
      <alignment wrapText="1"/>
    </xf>
    <xf numFmtId="177" fontId="12" fillId="33" borderId="0" xfId="53" applyNumberFormat="1" applyFont="1" applyFill="1" applyBorder="1" applyAlignment="1" applyProtection="1">
      <alignment horizontal="right" vertical="center" wrapText="1"/>
      <protection hidden="1"/>
    </xf>
    <xf numFmtId="0" fontId="18" fillId="33" borderId="0" xfId="55" applyFont="1" applyFill="1" applyAlignment="1" applyProtection="1">
      <alignment horizontal="right"/>
      <protection hidden="1"/>
    </xf>
    <xf numFmtId="0" fontId="2" fillId="33" borderId="0" xfId="53" applyFill="1" applyAlignment="1">
      <alignment horizontal="center"/>
      <protection/>
    </xf>
    <xf numFmtId="0" fontId="19" fillId="33" borderId="0" xfId="55" applyFont="1" applyFill="1" applyAlignment="1" applyProtection="1">
      <alignment horizontal="left" vertical="top"/>
      <protection hidden="1"/>
    </xf>
    <xf numFmtId="0" fontId="11" fillId="33" borderId="0" xfId="59" applyFont="1" applyFill="1" applyBorder="1" applyAlignment="1">
      <alignment horizontal="right"/>
      <protection/>
    </xf>
    <xf numFmtId="0" fontId="15" fillId="33" borderId="0" xfId="62" applyFont="1" applyFill="1" applyAlignment="1" applyProtection="1">
      <alignment/>
      <protection hidden="1"/>
    </xf>
    <xf numFmtId="0" fontId="2" fillId="33" borderId="0" xfId="53" applyFill="1">
      <alignment/>
      <protection/>
    </xf>
    <xf numFmtId="0" fontId="9" fillId="33" borderId="13" xfId="53" applyNumberFormat="1" applyFont="1" applyFill="1" applyBorder="1" applyAlignment="1" applyProtection="1">
      <alignment horizontal="centerContinuous" vertical="center"/>
      <protection hidden="1"/>
    </xf>
    <xf numFmtId="0" fontId="10" fillId="33" borderId="13" xfId="53" applyNumberFormat="1" applyFont="1" applyFill="1" applyBorder="1" applyAlignment="1" applyProtection="1">
      <alignment horizontal="centerContinuous" wrapText="1"/>
      <protection hidden="1"/>
    </xf>
    <xf numFmtId="0" fontId="10" fillId="33" borderId="13" xfId="53" applyNumberFormat="1" applyFont="1" applyFill="1" applyBorder="1" applyAlignment="1" applyProtection="1">
      <alignment horizontal="centerContinuous"/>
      <protection hidden="1"/>
    </xf>
    <xf numFmtId="0" fontId="10" fillId="33" borderId="13" xfId="53" applyNumberFormat="1" applyFont="1" applyFill="1" applyBorder="1" applyAlignment="1" applyProtection="1">
      <alignment horizontal="center"/>
      <protection hidden="1"/>
    </xf>
    <xf numFmtId="175" fontId="17" fillId="33" borderId="13" xfId="53" applyNumberFormat="1" applyFont="1" applyFill="1" applyBorder="1" applyAlignment="1" applyProtection="1">
      <alignment vertical="center" wrapText="1" shrinkToFit="1"/>
      <protection hidden="1"/>
    </xf>
    <xf numFmtId="174" fontId="17" fillId="33" borderId="13" xfId="53" applyNumberFormat="1" applyFont="1" applyFill="1" applyBorder="1" applyAlignment="1" applyProtection="1">
      <alignment vertical="center" wrapText="1" shrinkToFit="1"/>
      <protection hidden="1"/>
    </xf>
    <xf numFmtId="173" fontId="17" fillId="33" borderId="13" xfId="53" applyNumberFormat="1" applyFont="1" applyFill="1" applyBorder="1" applyAlignment="1" applyProtection="1">
      <alignment horizontal="center" vertical="center" wrapText="1" shrinkToFit="1"/>
      <protection hidden="1"/>
    </xf>
    <xf numFmtId="177" fontId="104" fillId="33" borderId="12" xfId="0" applyNumberFormat="1" applyFont="1" applyFill="1" applyBorder="1" applyAlignment="1">
      <alignment horizontal="right" vertical="center" wrapText="1"/>
    </xf>
    <xf numFmtId="0" fontId="0" fillId="33" borderId="0" xfId="0" applyFill="1" applyAlignment="1">
      <alignment wrapText="1" shrinkToFit="1"/>
    </xf>
    <xf numFmtId="177" fontId="17" fillId="33" borderId="13" xfId="53" applyNumberFormat="1" applyFont="1" applyFill="1" applyBorder="1" applyAlignment="1" applyProtection="1">
      <alignment vertical="center" wrapText="1" shrinkToFit="1"/>
      <protection hidden="1"/>
    </xf>
    <xf numFmtId="177" fontId="0" fillId="33" borderId="0" xfId="0" applyNumberFormat="1" applyFill="1" applyAlignment="1">
      <alignment wrapText="1" shrinkToFit="1"/>
    </xf>
    <xf numFmtId="173" fontId="20" fillId="33" borderId="13" xfId="53" applyNumberFormat="1" applyFont="1" applyFill="1" applyBorder="1" applyAlignment="1" applyProtection="1">
      <alignment vertical="justify" wrapText="1" shrinkToFit="1" readingOrder="1"/>
      <protection hidden="1"/>
    </xf>
    <xf numFmtId="175" fontId="20" fillId="33" borderId="13" xfId="53" applyNumberFormat="1" applyFont="1" applyFill="1" applyBorder="1" applyAlignment="1" applyProtection="1">
      <alignment vertical="justify" wrapText="1" shrinkToFit="1" readingOrder="1"/>
      <protection hidden="1"/>
    </xf>
    <xf numFmtId="174" fontId="20" fillId="33" borderId="13" xfId="53" applyNumberFormat="1" applyFont="1" applyFill="1" applyBorder="1" applyAlignment="1" applyProtection="1">
      <alignment vertical="justify" wrapText="1" shrinkToFit="1" readingOrder="1"/>
      <protection hidden="1"/>
    </xf>
    <xf numFmtId="173" fontId="20" fillId="33" borderId="13" xfId="53" applyNumberFormat="1" applyFont="1" applyFill="1" applyBorder="1" applyAlignment="1" applyProtection="1">
      <alignment horizontal="center" vertical="justify" wrapText="1" shrinkToFit="1"/>
      <protection hidden="1"/>
    </xf>
    <xf numFmtId="177" fontId="20" fillId="33" borderId="13" xfId="53" applyNumberFormat="1" applyFont="1" applyFill="1" applyBorder="1" applyAlignment="1" applyProtection="1">
      <alignment vertical="justify" wrapText="1" shrinkToFit="1" readingOrder="1"/>
      <protection hidden="1"/>
    </xf>
    <xf numFmtId="0" fontId="0" fillId="33" borderId="0" xfId="0" applyFill="1" applyAlignment="1">
      <alignment vertical="justify" wrapText="1" shrinkToFit="1" readingOrder="1"/>
    </xf>
    <xf numFmtId="175" fontId="15" fillId="33" borderId="13" xfId="53" applyNumberFormat="1" applyFont="1" applyFill="1" applyBorder="1" applyAlignment="1" applyProtection="1">
      <alignment vertical="center" wrapText="1" shrinkToFit="1"/>
      <protection hidden="1"/>
    </xf>
    <xf numFmtId="173" fontId="15" fillId="33" borderId="13" xfId="53" applyNumberFormat="1" applyFont="1" applyFill="1" applyBorder="1" applyAlignment="1" applyProtection="1">
      <alignment horizontal="center" vertical="center" wrapText="1" shrinkToFit="1"/>
      <protection hidden="1"/>
    </xf>
    <xf numFmtId="177" fontId="15" fillId="33" borderId="13" xfId="53" applyNumberFormat="1" applyFont="1" applyFill="1" applyBorder="1" applyAlignment="1" applyProtection="1">
      <alignment vertical="center" wrapText="1" shrinkToFit="1"/>
      <protection hidden="1"/>
    </xf>
    <xf numFmtId="175" fontId="20" fillId="33" borderId="13" xfId="53" applyNumberFormat="1" applyFont="1" applyFill="1" applyBorder="1" applyAlignment="1" applyProtection="1">
      <alignment vertical="center" wrapText="1" shrinkToFit="1"/>
      <protection hidden="1"/>
    </xf>
    <xf numFmtId="174" fontId="20" fillId="33" borderId="13" xfId="53" applyNumberFormat="1" applyFont="1" applyFill="1" applyBorder="1" applyAlignment="1" applyProtection="1">
      <alignment vertical="center" wrapText="1" shrinkToFit="1"/>
      <protection hidden="1"/>
    </xf>
    <xf numFmtId="173" fontId="20" fillId="33" borderId="13" xfId="53" applyNumberFormat="1" applyFont="1" applyFill="1" applyBorder="1" applyAlignment="1" applyProtection="1">
      <alignment horizontal="center" vertical="center" wrapText="1" shrinkToFit="1"/>
      <protection hidden="1"/>
    </xf>
    <xf numFmtId="177" fontId="20" fillId="33" borderId="13" xfId="53" applyNumberFormat="1" applyFont="1" applyFill="1" applyBorder="1" applyAlignment="1" applyProtection="1">
      <alignment vertical="center" wrapText="1" shrinkToFit="1"/>
      <protection hidden="1"/>
    </xf>
    <xf numFmtId="1" fontId="15" fillId="33" borderId="13" xfId="53" applyNumberFormat="1" applyFont="1" applyFill="1" applyBorder="1" applyAlignment="1" applyProtection="1">
      <alignment vertical="center" wrapText="1" shrinkToFit="1"/>
      <protection hidden="1"/>
    </xf>
    <xf numFmtId="174" fontId="15" fillId="33" borderId="13" xfId="53" applyNumberFormat="1" applyFont="1" applyFill="1" applyBorder="1" applyAlignment="1" applyProtection="1">
      <alignment vertical="center" shrinkToFit="1"/>
      <protection hidden="1"/>
    </xf>
    <xf numFmtId="0" fontId="21" fillId="33" borderId="13" xfId="0" applyFont="1" applyFill="1" applyBorder="1" applyAlignment="1">
      <alignment vertical="center" wrapText="1" shrinkToFit="1"/>
    </xf>
    <xf numFmtId="0" fontId="0" fillId="33" borderId="0" xfId="0" applyFont="1" applyFill="1" applyAlignment="1">
      <alignment wrapText="1" shrinkToFit="1"/>
    </xf>
    <xf numFmtId="0" fontId="6" fillId="33" borderId="0" xfId="0" applyFont="1" applyFill="1" applyAlignment="1">
      <alignment wrapText="1" shrinkToFit="1"/>
    </xf>
    <xf numFmtId="173" fontId="105" fillId="33" borderId="13" xfId="53" applyNumberFormat="1" applyFont="1" applyFill="1" applyBorder="1" applyAlignment="1" applyProtection="1">
      <alignment vertical="center" wrapText="1" shrinkToFit="1"/>
      <protection hidden="1"/>
    </xf>
    <xf numFmtId="175" fontId="105" fillId="33" borderId="13" xfId="53" applyNumberFormat="1" applyFont="1" applyFill="1" applyBorder="1" applyAlignment="1" applyProtection="1">
      <alignment vertical="center" wrapText="1" shrinkToFit="1"/>
      <protection hidden="1"/>
    </xf>
    <xf numFmtId="174" fontId="105" fillId="33" borderId="13" xfId="53" applyNumberFormat="1" applyFont="1" applyFill="1" applyBorder="1" applyAlignment="1" applyProtection="1">
      <alignment vertical="center" wrapText="1" shrinkToFit="1"/>
      <protection hidden="1"/>
    </xf>
    <xf numFmtId="173" fontId="105" fillId="33" borderId="13" xfId="53" applyNumberFormat="1" applyFont="1" applyFill="1" applyBorder="1" applyAlignment="1" applyProtection="1">
      <alignment horizontal="center" vertical="center" wrapText="1" shrinkToFit="1"/>
      <protection hidden="1"/>
    </xf>
    <xf numFmtId="177" fontId="105" fillId="33" borderId="13" xfId="53" applyNumberFormat="1" applyFont="1" applyFill="1" applyBorder="1" applyAlignment="1" applyProtection="1">
      <alignment vertical="center" wrapText="1" shrinkToFit="1"/>
      <protection hidden="1"/>
    </xf>
    <xf numFmtId="173" fontId="106" fillId="33" borderId="13" xfId="53" applyNumberFormat="1" applyFont="1" applyFill="1" applyBorder="1" applyAlignment="1" applyProtection="1">
      <alignment vertical="center" wrapText="1" shrinkToFit="1"/>
      <protection hidden="1"/>
    </xf>
    <xf numFmtId="175" fontId="106" fillId="33" borderId="13" xfId="53" applyNumberFormat="1" applyFont="1" applyFill="1" applyBorder="1" applyAlignment="1" applyProtection="1">
      <alignment vertical="center" wrapText="1" shrinkToFit="1"/>
      <protection hidden="1"/>
    </xf>
    <xf numFmtId="174" fontId="106" fillId="33" borderId="13" xfId="53" applyNumberFormat="1" applyFont="1" applyFill="1" applyBorder="1" applyAlignment="1" applyProtection="1">
      <alignment vertical="center" wrapText="1" shrinkToFit="1"/>
      <protection hidden="1"/>
    </xf>
    <xf numFmtId="173" fontId="106" fillId="33" borderId="13" xfId="53" applyNumberFormat="1" applyFont="1" applyFill="1" applyBorder="1" applyAlignment="1" applyProtection="1">
      <alignment horizontal="center" vertical="center" wrapText="1" shrinkToFit="1"/>
      <protection hidden="1"/>
    </xf>
    <xf numFmtId="177" fontId="106" fillId="33" borderId="13" xfId="53" applyNumberFormat="1" applyFont="1" applyFill="1" applyBorder="1" applyAlignment="1" applyProtection="1">
      <alignment vertical="center" wrapText="1" shrinkToFit="1"/>
      <protection hidden="1"/>
    </xf>
    <xf numFmtId="0" fontId="107" fillId="33" borderId="0" xfId="0" applyFont="1" applyFill="1" applyAlignment="1">
      <alignment wrapText="1" shrinkToFit="1"/>
    </xf>
    <xf numFmtId="175" fontId="17" fillId="33" borderId="21" xfId="53" applyNumberFormat="1" applyFont="1" applyFill="1" applyBorder="1" applyAlignment="1" applyProtection="1">
      <alignment vertical="center" wrapText="1" shrinkToFit="1"/>
      <protection hidden="1"/>
    </xf>
    <xf numFmtId="173" fontId="17" fillId="33" borderId="13" xfId="61" applyNumberFormat="1" applyFont="1" applyFill="1" applyBorder="1" applyAlignment="1" applyProtection="1">
      <alignment/>
      <protection hidden="1"/>
    </xf>
    <xf numFmtId="173" fontId="17" fillId="33" borderId="13" xfId="61" applyNumberFormat="1" applyFont="1" applyFill="1" applyBorder="1" applyAlignment="1" applyProtection="1">
      <alignment vertical="center"/>
      <protection hidden="1"/>
    </xf>
    <xf numFmtId="173" fontId="15" fillId="33" borderId="13" xfId="61" applyNumberFormat="1" applyFont="1" applyFill="1" applyBorder="1" applyAlignment="1" applyProtection="1">
      <alignment vertical="center"/>
      <protection hidden="1"/>
    </xf>
    <xf numFmtId="174" fontId="17" fillId="33" borderId="13" xfId="53" applyNumberFormat="1" applyFont="1" applyFill="1" applyBorder="1" applyAlignment="1" applyProtection="1">
      <alignment vertical="center" shrinkToFit="1"/>
      <protection hidden="1"/>
    </xf>
    <xf numFmtId="174" fontId="20" fillId="33" borderId="13" xfId="53" applyNumberFormat="1" applyFont="1" applyFill="1" applyBorder="1" applyAlignment="1" applyProtection="1">
      <alignment vertical="center" shrinkToFit="1"/>
      <protection hidden="1"/>
    </xf>
    <xf numFmtId="174" fontId="108" fillId="33" borderId="13" xfId="53" applyNumberFormat="1" applyFont="1" applyFill="1" applyBorder="1" applyAlignment="1" applyProtection="1">
      <alignment vertical="center" wrapText="1" shrinkToFit="1"/>
      <protection hidden="1"/>
    </xf>
    <xf numFmtId="0" fontId="16" fillId="33" borderId="13" xfId="0" applyNumberFormat="1" applyFont="1" applyFill="1" applyBorder="1" applyAlignment="1">
      <alignment horizontal="left" vertical="center" wrapText="1"/>
    </xf>
    <xf numFmtId="49" fontId="16" fillId="33" borderId="13"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20" fillId="33" borderId="13" xfId="53" applyNumberFormat="1" applyFont="1" applyFill="1" applyBorder="1" applyAlignment="1" applyProtection="1">
      <alignment vertical="center" wrapText="1" shrinkToFit="1"/>
      <protection hidden="1"/>
    </xf>
    <xf numFmtId="0" fontId="11" fillId="33" borderId="13" xfId="0" applyFont="1" applyFill="1" applyBorder="1" applyAlignment="1">
      <alignment horizontal="left" vertical="center" wrapText="1"/>
    </xf>
    <xf numFmtId="49" fontId="56" fillId="33" borderId="12" xfId="0" applyNumberFormat="1" applyFont="1" applyFill="1" applyBorder="1" applyAlignment="1">
      <alignment horizontal="center" vertical="center"/>
    </xf>
    <xf numFmtId="0" fontId="109" fillId="33" borderId="0" xfId="0" applyFont="1" applyFill="1" applyAlignment="1">
      <alignment wrapText="1" shrinkToFit="1"/>
    </xf>
    <xf numFmtId="0" fontId="16" fillId="33" borderId="0" xfId="0" applyNumberFormat="1" applyFont="1" applyFill="1" applyBorder="1" applyAlignment="1">
      <alignment horizontal="left" vertical="center" wrapText="1"/>
    </xf>
    <xf numFmtId="0" fontId="0" fillId="33" borderId="0" xfId="0" applyFill="1" applyAlignment="1">
      <alignment horizontal="right"/>
    </xf>
    <xf numFmtId="173" fontId="17" fillId="33" borderId="13" xfId="53" applyNumberFormat="1" applyFont="1" applyFill="1" applyBorder="1" applyAlignment="1" applyProtection="1">
      <alignment vertical="center" wrapText="1" shrinkToFit="1"/>
      <protection hidden="1"/>
    </xf>
    <xf numFmtId="173" fontId="15" fillId="33" borderId="13" xfId="53" applyNumberFormat="1" applyFont="1" applyFill="1" applyBorder="1" applyAlignment="1" applyProtection="1">
      <alignment vertical="center" wrapText="1" shrinkToFit="1"/>
      <protection hidden="1"/>
    </xf>
    <xf numFmtId="173" fontId="20" fillId="33" borderId="13" xfId="53" applyNumberFormat="1" applyFont="1" applyFill="1" applyBorder="1" applyAlignment="1" applyProtection="1">
      <alignment vertical="center" wrapText="1" shrinkToFit="1"/>
      <protection hidden="1"/>
    </xf>
    <xf numFmtId="173" fontId="15" fillId="33" borderId="13" xfId="53" applyNumberFormat="1" applyFont="1" applyFill="1" applyBorder="1" applyAlignment="1" applyProtection="1">
      <alignment vertical="top" wrapText="1" shrinkToFit="1"/>
      <protection hidden="1"/>
    </xf>
    <xf numFmtId="0" fontId="16" fillId="33" borderId="13" xfId="0" applyFont="1" applyFill="1" applyBorder="1" applyAlignment="1">
      <alignment vertical="center" wrapText="1" shrinkToFit="1"/>
    </xf>
    <xf numFmtId="0" fontId="9" fillId="33" borderId="13" xfId="53" applyNumberFormat="1" applyFont="1" applyFill="1" applyBorder="1" applyAlignment="1" applyProtection="1">
      <alignment horizontal="center" vertical="center" wrapText="1"/>
      <protection hidden="1"/>
    </xf>
    <xf numFmtId="0" fontId="110" fillId="33" borderId="0" xfId="0" applyFont="1" applyFill="1" applyAlignment="1">
      <alignment wrapText="1" shrinkToFit="1"/>
    </xf>
    <xf numFmtId="0" fontId="15" fillId="33" borderId="13" xfId="0" applyNumberFormat="1" applyFont="1" applyFill="1" applyBorder="1" applyAlignment="1">
      <alignment horizontal="left" vertical="center" wrapText="1"/>
    </xf>
    <xf numFmtId="0" fontId="0" fillId="33" borderId="0" xfId="0" applyFill="1" applyAlignment="1">
      <alignment horizontal="left" vertical="top" wrapText="1"/>
    </xf>
    <xf numFmtId="189" fontId="0" fillId="33" borderId="0" xfId="0" applyNumberFormat="1" applyFill="1" applyAlignment="1">
      <alignment/>
    </xf>
    <xf numFmtId="189" fontId="2" fillId="33" borderId="0" xfId="53" applyNumberFormat="1" applyFill="1">
      <alignment/>
      <protection/>
    </xf>
    <xf numFmtId="189" fontId="0" fillId="33" borderId="0" xfId="0" applyNumberFormat="1" applyFill="1" applyAlignment="1">
      <alignment wrapText="1" shrinkToFit="1"/>
    </xf>
    <xf numFmtId="189" fontId="0" fillId="33" borderId="0" xfId="0" applyNumberFormat="1" applyFill="1" applyAlignment="1">
      <alignment vertical="justify" wrapText="1" shrinkToFit="1" readingOrder="1"/>
    </xf>
    <xf numFmtId="189" fontId="0" fillId="33" borderId="0" xfId="0" applyNumberFormat="1" applyFont="1" applyFill="1" applyAlignment="1">
      <alignment wrapText="1" shrinkToFit="1"/>
    </xf>
    <xf numFmtId="189" fontId="6" fillId="33" borderId="0" xfId="0" applyNumberFormat="1" applyFont="1" applyFill="1" applyAlignment="1">
      <alignment wrapText="1" shrinkToFit="1"/>
    </xf>
    <xf numFmtId="189" fontId="107" fillId="33" borderId="0" xfId="0" applyNumberFormat="1" applyFont="1" applyFill="1" applyAlignment="1">
      <alignment wrapText="1" shrinkToFit="1"/>
    </xf>
    <xf numFmtId="189" fontId="110" fillId="33" borderId="0" xfId="0" applyNumberFormat="1" applyFont="1" applyFill="1" applyAlignment="1">
      <alignment wrapText="1" shrinkToFit="1"/>
    </xf>
    <xf numFmtId="189" fontId="109" fillId="33" borderId="0" xfId="0" applyNumberFormat="1" applyFont="1" applyFill="1" applyAlignment="1">
      <alignment wrapText="1" shrinkToFit="1"/>
    </xf>
    <xf numFmtId="1" fontId="43" fillId="0" borderId="20" xfId="62" applyNumberFormat="1" applyFont="1" applyFill="1" applyBorder="1" applyAlignment="1" applyProtection="1">
      <alignment horizontal="center" vertical="center"/>
      <protection hidden="1"/>
    </xf>
    <xf numFmtId="190" fontId="12" fillId="33" borderId="13" xfId="53" applyNumberFormat="1" applyFont="1" applyFill="1" applyBorder="1" applyAlignment="1">
      <alignment horizontal="right" vertical="center"/>
      <protection/>
    </xf>
    <xf numFmtId="190" fontId="11" fillId="33" borderId="13" xfId="53" applyNumberFormat="1" applyFont="1" applyFill="1" applyBorder="1" applyAlignment="1">
      <alignment horizontal="right" vertical="center"/>
      <protection/>
    </xf>
    <xf numFmtId="190" fontId="16" fillId="0" borderId="0" xfId="0" applyNumberFormat="1" applyFont="1" applyAlignment="1">
      <alignment/>
    </xf>
    <xf numFmtId="177" fontId="45" fillId="0" borderId="11" xfId="62" applyNumberFormat="1" applyFont="1" applyFill="1" applyBorder="1" applyAlignment="1" applyProtection="1">
      <alignment horizontal="right" vertical="center"/>
      <protection hidden="1"/>
    </xf>
    <xf numFmtId="177" fontId="31" fillId="0" borderId="12" xfId="62" applyNumberFormat="1" applyFont="1" applyFill="1" applyBorder="1" applyAlignment="1" applyProtection="1">
      <alignment/>
      <protection hidden="1"/>
    </xf>
    <xf numFmtId="177" fontId="46" fillId="0" borderId="13" xfId="62" applyNumberFormat="1" applyFont="1" applyFill="1" applyBorder="1" applyAlignment="1" applyProtection="1">
      <alignment/>
      <protection hidden="1"/>
    </xf>
    <xf numFmtId="177" fontId="45" fillId="0" borderId="13" xfId="62" applyNumberFormat="1" applyFont="1" applyFill="1" applyBorder="1" applyAlignment="1" applyProtection="1">
      <alignment/>
      <protection hidden="1"/>
    </xf>
    <xf numFmtId="177" fontId="31" fillId="0" borderId="13" xfId="62" applyNumberFormat="1" applyFont="1" applyFill="1" applyBorder="1" applyAlignment="1" applyProtection="1">
      <alignment/>
      <protection hidden="1"/>
    </xf>
    <xf numFmtId="177" fontId="46" fillId="0" borderId="0" xfId="62" applyNumberFormat="1" applyFont="1" applyFill="1">
      <alignment/>
      <protection/>
    </xf>
    <xf numFmtId="177" fontId="47" fillId="0" borderId="13" xfId="62" applyNumberFormat="1" applyFont="1" applyFill="1" applyBorder="1" applyAlignment="1" applyProtection="1">
      <alignment/>
      <protection hidden="1"/>
    </xf>
    <xf numFmtId="177" fontId="48" fillId="0" borderId="13" xfId="62" applyNumberFormat="1" applyFont="1" applyFill="1" applyBorder="1" applyAlignment="1" applyProtection="1">
      <alignment/>
      <protection hidden="1"/>
    </xf>
    <xf numFmtId="177" fontId="46" fillId="0" borderId="13" xfId="62" applyNumberFormat="1" applyFont="1" applyFill="1" applyBorder="1">
      <alignment/>
      <protection/>
    </xf>
    <xf numFmtId="177" fontId="38" fillId="0" borderId="13" xfId="62" applyNumberFormat="1" applyFont="1" applyFill="1" applyBorder="1" applyAlignment="1" applyProtection="1">
      <alignment/>
      <protection hidden="1"/>
    </xf>
    <xf numFmtId="177" fontId="46" fillId="0" borderId="19" xfId="63" applyNumberFormat="1" applyFont="1" applyFill="1" applyBorder="1" applyAlignment="1" applyProtection="1">
      <alignment/>
      <protection hidden="1"/>
    </xf>
    <xf numFmtId="4" fontId="16" fillId="33" borderId="0" xfId="0" applyNumberFormat="1" applyFont="1" applyFill="1" applyAlignment="1">
      <alignment wrapText="1"/>
    </xf>
    <xf numFmtId="192" fontId="16" fillId="0" borderId="0" xfId="0" applyNumberFormat="1" applyFont="1" applyAlignment="1">
      <alignment/>
    </xf>
    <xf numFmtId="192" fontId="16" fillId="0" borderId="0" xfId="0" applyNumberFormat="1" applyFont="1" applyFill="1" applyAlignment="1">
      <alignment/>
    </xf>
    <xf numFmtId="0" fontId="15" fillId="33" borderId="0" xfId="53" applyFont="1" applyFill="1">
      <alignment/>
      <protection/>
    </xf>
    <xf numFmtId="0" fontId="15" fillId="33" borderId="0" xfId="53" applyFont="1" applyFill="1" applyAlignment="1">
      <alignment/>
      <protection/>
    </xf>
    <xf numFmtId="0" fontId="17" fillId="33" borderId="0" xfId="53" applyFont="1" applyFill="1" applyAlignment="1">
      <alignment horizontal="center" wrapText="1"/>
      <protection/>
    </xf>
    <xf numFmtId="177" fontId="17" fillId="33" borderId="0" xfId="53" applyNumberFormat="1" applyFont="1" applyFill="1" applyAlignment="1">
      <alignment horizontal="center" wrapText="1"/>
      <protection/>
    </xf>
    <xf numFmtId="0" fontId="15" fillId="33" borderId="13" xfId="53" applyNumberFormat="1" applyFont="1" applyFill="1" applyBorder="1" applyAlignment="1" applyProtection="1">
      <alignment horizontal="center" vertical="center" wrapText="1"/>
      <protection hidden="1"/>
    </xf>
    <xf numFmtId="177" fontId="15" fillId="33" borderId="13" xfId="53" applyNumberFormat="1" applyFont="1" applyFill="1" applyBorder="1" applyAlignment="1" applyProtection="1">
      <alignment horizontal="center" vertical="center" wrapText="1"/>
      <protection hidden="1"/>
    </xf>
    <xf numFmtId="0" fontId="16" fillId="33" borderId="13" xfId="0" applyFont="1" applyFill="1" applyBorder="1" applyAlignment="1">
      <alignment/>
    </xf>
    <xf numFmtId="177" fontId="16" fillId="33" borderId="13" xfId="0" applyNumberFormat="1" applyFont="1" applyFill="1" applyBorder="1" applyAlignment="1">
      <alignment/>
    </xf>
    <xf numFmtId="177" fontId="16" fillId="33" borderId="0" xfId="0" applyNumberFormat="1" applyFont="1" applyFill="1" applyAlignment="1">
      <alignment/>
    </xf>
    <xf numFmtId="4" fontId="16" fillId="33" borderId="0" xfId="0" applyNumberFormat="1" applyFont="1" applyFill="1" applyAlignment="1">
      <alignment/>
    </xf>
    <xf numFmtId="177" fontId="15" fillId="33" borderId="0" xfId="53" applyNumberFormat="1" applyFont="1" applyFill="1">
      <alignment/>
      <protection/>
    </xf>
    <xf numFmtId="191" fontId="16" fillId="0" borderId="0" xfId="0" applyNumberFormat="1" applyFont="1" applyAlignment="1">
      <alignment/>
    </xf>
    <xf numFmtId="191" fontId="16" fillId="0" borderId="0" xfId="0" applyNumberFormat="1" applyFont="1" applyFill="1" applyAlignment="1">
      <alignment/>
    </xf>
    <xf numFmtId="0" fontId="16" fillId="33" borderId="13" xfId="0" applyFont="1" applyFill="1" applyBorder="1" applyAlignment="1">
      <alignment wrapText="1"/>
    </xf>
    <xf numFmtId="0" fontId="16" fillId="33" borderId="0" xfId="0" applyFont="1" applyFill="1" applyAlignment="1">
      <alignment wrapText="1"/>
    </xf>
    <xf numFmtId="177" fontId="56" fillId="33" borderId="13" xfId="0" applyNumberFormat="1" applyFont="1" applyFill="1" applyBorder="1" applyAlignment="1">
      <alignment/>
    </xf>
    <xf numFmtId="173" fontId="15" fillId="33" borderId="13" xfId="53" applyNumberFormat="1" applyFont="1" applyFill="1" applyBorder="1" applyAlignment="1" applyProtection="1">
      <alignment horizontal="center" vertical="center" wrapText="1"/>
      <protection hidden="1"/>
    </xf>
    <xf numFmtId="177" fontId="105" fillId="33" borderId="13" xfId="0" applyNumberFormat="1" applyFont="1" applyFill="1" applyBorder="1" applyAlignment="1">
      <alignment horizontal="right" vertical="center" wrapText="1"/>
    </xf>
    <xf numFmtId="177" fontId="17" fillId="33" borderId="13" xfId="53" applyNumberFormat="1" applyFont="1" applyFill="1" applyBorder="1" applyAlignment="1" applyProtection="1">
      <alignment horizontal="right" vertical="center" wrapText="1"/>
      <protection hidden="1"/>
    </xf>
    <xf numFmtId="177" fontId="104" fillId="33" borderId="13" xfId="0" applyNumberFormat="1" applyFont="1" applyFill="1" applyBorder="1" applyAlignment="1">
      <alignment horizontal="right" vertical="center" wrapText="1"/>
    </xf>
    <xf numFmtId="49" fontId="16" fillId="33" borderId="13" xfId="0" applyNumberFormat="1" applyFont="1" applyFill="1" applyBorder="1" applyAlignment="1">
      <alignment horizontal="left" vertical="center" wrapText="1"/>
    </xf>
    <xf numFmtId="177" fontId="15" fillId="33" borderId="13" xfId="53" applyNumberFormat="1" applyFont="1" applyFill="1" applyBorder="1" applyAlignment="1">
      <alignment horizontal="right" vertical="center"/>
      <protection/>
    </xf>
    <xf numFmtId="177" fontId="17" fillId="33" borderId="13" xfId="0" applyNumberFormat="1" applyFont="1" applyFill="1" applyBorder="1" applyAlignment="1">
      <alignment horizontal="right" vertical="center"/>
    </xf>
    <xf numFmtId="173" fontId="15" fillId="33" borderId="13" xfId="61" applyNumberFormat="1" applyFont="1" applyFill="1" applyBorder="1" applyAlignment="1" applyProtection="1">
      <alignment vertical="top" wrapText="1"/>
      <protection hidden="1"/>
    </xf>
    <xf numFmtId="179" fontId="15" fillId="33" borderId="13" xfId="53" applyNumberFormat="1" applyFont="1" applyFill="1" applyBorder="1" applyAlignment="1" applyProtection="1">
      <alignment vertical="top" wrapText="1"/>
      <protection hidden="1"/>
    </xf>
    <xf numFmtId="177" fontId="16" fillId="33" borderId="13" xfId="0" applyNumberFormat="1" applyFont="1" applyFill="1" applyBorder="1" applyAlignment="1">
      <alignment horizontal="right" vertical="center"/>
    </xf>
    <xf numFmtId="0" fontId="15" fillId="33" borderId="13" xfId="53" applyNumberFormat="1" applyFont="1" applyFill="1" applyBorder="1" applyAlignment="1" applyProtection="1">
      <alignment vertical="top" wrapText="1"/>
      <protection hidden="1"/>
    </xf>
    <xf numFmtId="177" fontId="15" fillId="33" borderId="13" xfId="53" applyNumberFormat="1" applyFont="1" applyFill="1" applyBorder="1" applyAlignment="1" applyProtection="1">
      <alignment vertical="top" wrapText="1"/>
      <protection hidden="1"/>
    </xf>
    <xf numFmtId="0" fontId="15" fillId="33" borderId="13" xfId="0" applyFont="1" applyFill="1" applyBorder="1" applyAlignment="1">
      <alignment vertical="center" wrapText="1"/>
    </xf>
    <xf numFmtId="0" fontId="15" fillId="33" borderId="13" xfId="0" applyFont="1" applyFill="1" applyBorder="1" applyAlignment="1">
      <alignment horizontal="center" vertical="center"/>
    </xf>
    <xf numFmtId="177" fontId="15" fillId="33" borderId="13" xfId="0" applyNumberFormat="1" applyFont="1" applyFill="1" applyBorder="1" applyAlignment="1">
      <alignment horizontal="right" vertical="center"/>
    </xf>
    <xf numFmtId="177" fontId="15" fillId="33" borderId="13" xfId="53" applyNumberFormat="1" applyFont="1" applyFill="1" applyBorder="1" applyAlignment="1" applyProtection="1">
      <alignment horizontal="right" vertical="center" wrapText="1"/>
      <protection hidden="1"/>
    </xf>
    <xf numFmtId="0" fontId="15" fillId="33" borderId="13" xfId="53" applyNumberFormat="1" applyFont="1" applyFill="1" applyBorder="1" applyAlignment="1" applyProtection="1">
      <alignment horizontal="left" wrapText="1"/>
      <protection hidden="1"/>
    </xf>
    <xf numFmtId="0" fontId="16" fillId="33" borderId="13" xfId="0" applyFont="1" applyFill="1" applyBorder="1" applyAlignment="1">
      <alignment horizontal="center" vertical="center"/>
    </xf>
    <xf numFmtId="0" fontId="16" fillId="33" borderId="13" xfId="0" applyFont="1" applyFill="1" applyBorder="1" applyAlignment="1">
      <alignment vertical="center" wrapText="1"/>
    </xf>
    <xf numFmtId="49" fontId="16" fillId="33" borderId="13" xfId="0" applyNumberFormat="1" applyFont="1" applyFill="1" applyBorder="1" applyAlignment="1">
      <alignment vertical="center" wrapText="1"/>
    </xf>
    <xf numFmtId="177" fontId="17" fillId="33" borderId="13" xfId="53" applyNumberFormat="1" applyFont="1" applyFill="1" applyBorder="1" applyAlignment="1">
      <alignment horizontal="right" vertical="center"/>
      <protection/>
    </xf>
    <xf numFmtId="0" fontId="16" fillId="33" borderId="13" xfId="0" applyFont="1" applyFill="1" applyBorder="1" applyAlignment="1">
      <alignment vertical="center"/>
    </xf>
    <xf numFmtId="177" fontId="56" fillId="33" borderId="13" xfId="0" applyNumberFormat="1" applyFont="1" applyFill="1" applyBorder="1" applyAlignment="1">
      <alignment horizontal="right" vertical="center"/>
    </xf>
    <xf numFmtId="0" fontId="105" fillId="33" borderId="13" xfId="0" applyFont="1" applyFill="1" applyBorder="1" applyAlignment="1">
      <alignment horizontal="justify" vertical="center" wrapText="1"/>
    </xf>
    <xf numFmtId="0" fontId="56" fillId="33" borderId="13" xfId="0" applyFont="1" applyFill="1" applyBorder="1" applyAlignment="1">
      <alignment vertical="center" wrapText="1"/>
    </xf>
    <xf numFmtId="49" fontId="56" fillId="33" borderId="13" xfId="0" applyNumberFormat="1" applyFont="1" applyFill="1" applyBorder="1" applyAlignment="1">
      <alignment horizontal="center" vertical="center"/>
    </xf>
    <xf numFmtId="0" fontId="56" fillId="33" borderId="13" xfId="0" applyNumberFormat="1" applyFont="1" applyFill="1" applyBorder="1" applyAlignment="1">
      <alignment horizontal="left" vertical="center" wrapText="1"/>
    </xf>
    <xf numFmtId="179" fontId="15" fillId="0" borderId="0" xfId="62" applyNumberFormat="1" applyFont="1" applyFill="1" applyAlignment="1" applyProtection="1">
      <alignment horizontal="left"/>
      <protection hidden="1"/>
    </xf>
    <xf numFmtId="0" fontId="42" fillId="0" borderId="0" xfId="62" applyNumberFormat="1" applyFont="1" applyFill="1" applyAlignment="1" applyProtection="1">
      <alignment horizontal="center" wrapText="1"/>
      <protection hidden="1"/>
    </xf>
    <xf numFmtId="0" fontId="42" fillId="0" borderId="19" xfId="62" applyNumberFormat="1" applyFont="1" applyFill="1" applyBorder="1" applyAlignment="1" applyProtection="1">
      <alignment horizontal="center" vertical="center"/>
      <protection hidden="1"/>
    </xf>
    <xf numFmtId="0" fontId="42" fillId="0" borderId="12" xfId="62" applyNumberFormat="1" applyFont="1" applyFill="1" applyBorder="1" applyAlignment="1" applyProtection="1">
      <alignment horizontal="center" vertical="center"/>
      <protection hidden="1"/>
    </xf>
    <xf numFmtId="0" fontId="42" fillId="0" borderId="19" xfId="62" applyNumberFormat="1" applyFont="1" applyFill="1" applyBorder="1" applyAlignment="1" applyProtection="1">
      <alignment horizontal="center" vertical="center" wrapText="1"/>
      <protection hidden="1"/>
    </xf>
    <xf numFmtId="0" fontId="42" fillId="0" borderId="12" xfId="62" applyNumberFormat="1" applyFont="1" applyFill="1" applyBorder="1" applyAlignment="1" applyProtection="1">
      <alignment horizontal="center" vertical="center" wrapText="1"/>
      <protection hidden="1"/>
    </xf>
    <xf numFmtId="179" fontId="42" fillId="0" borderId="19" xfId="62" applyNumberFormat="1" applyFont="1" applyFill="1" applyBorder="1" applyAlignment="1" applyProtection="1">
      <alignment horizontal="center" wrapText="1"/>
      <protection hidden="1"/>
    </xf>
    <xf numFmtId="179" fontId="42" fillId="0" borderId="12" xfId="62" applyNumberFormat="1" applyFont="1" applyFill="1" applyBorder="1" applyAlignment="1" applyProtection="1">
      <alignment horizontal="center" wrapText="1"/>
      <protection hidden="1"/>
    </xf>
    <xf numFmtId="0" fontId="16" fillId="33" borderId="21" xfId="0" applyFont="1" applyFill="1" applyBorder="1" applyAlignment="1">
      <alignment horizontal="left" vertical="center" wrapText="1"/>
    </xf>
    <xf numFmtId="0" fontId="16" fillId="33" borderId="22"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15" fillId="33" borderId="22" xfId="0" applyFont="1" applyFill="1" applyBorder="1" applyAlignment="1">
      <alignment horizontal="left" vertical="center" wrapText="1"/>
    </xf>
    <xf numFmtId="0" fontId="15" fillId="33" borderId="14" xfId="0" applyFont="1" applyFill="1" applyBorder="1" applyAlignment="1">
      <alignment horizontal="left" vertical="center" wrapText="1"/>
    </xf>
    <xf numFmtId="0" fontId="15" fillId="33" borderId="21" xfId="53" applyNumberFormat="1" applyFont="1" applyFill="1" applyBorder="1" applyAlignment="1" applyProtection="1">
      <alignment horizontal="left" wrapText="1"/>
      <protection hidden="1"/>
    </xf>
    <xf numFmtId="0" fontId="15" fillId="33" borderId="22" xfId="53" applyNumberFormat="1" applyFont="1" applyFill="1" applyBorder="1" applyAlignment="1" applyProtection="1">
      <alignment horizontal="left" wrapText="1"/>
      <protection hidden="1"/>
    </xf>
    <xf numFmtId="0" fontId="15" fillId="33" borderId="14" xfId="53" applyNumberFormat="1" applyFont="1" applyFill="1" applyBorder="1" applyAlignment="1" applyProtection="1">
      <alignment horizontal="left" wrapText="1"/>
      <protection hidden="1"/>
    </xf>
    <xf numFmtId="173" fontId="15" fillId="33" borderId="21" xfId="53" applyNumberFormat="1" applyFont="1" applyFill="1" applyBorder="1" applyAlignment="1" applyProtection="1">
      <alignment vertical="center" wrapText="1" shrinkToFit="1"/>
      <protection hidden="1"/>
    </xf>
    <xf numFmtId="173" fontId="15" fillId="33" borderId="22" xfId="53" applyNumberFormat="1" applyFont="1" applyFill="1" applyBorder="1" applyAlignment="1" applyProtection="1">
      <alignment vertical="center" wrapText="1" shrinkToFit="1"/>
      <protection hidden="1"/>
    </xf>
    <xf numFmtId="173" fontId="15" fillId="33" borderId="14" xfId="53" applyNumberFormat="1" applyFont="1" applyFill="1" applyBorder="1" applyAlignment="1" applyProtection="1">
      <alignment vertical="center" wrapText="1" shrinkToFit="1"/>
      <protection hidden="1"/>
    </xf>
    <xf numFmtId="0" fontId="16" fillId="33" borderId="21" xfId="0" applyNumberFormat="1" applyFont="1" applyFill="1" applyBorder="1" applyAlignment="1">
      <alignment horizontal="left" vertical="center" wrapText="1"/>
    </xf>
    <xf numFmtId="0" fontId="16" fillId="33" borderId="22" xfId="0" applyNumberFormat="1" applyFont="1" applyFill="1" applyBorder="1" applyAlignment="1">
      <alignment horizontal="left" vertical="center" wrapText="1"/>
    </xf>
    <xf numFmtId="0" fontId="16" fillId="33" borderId="14" xfId="0" applyNumberFormat="1" applyFont="1" applyFill="1" applyBorder="1" applyAlignment="1">
      <alignment horizontal="left" vertical="center" wrapText="1"/>
    </xf>
    <xf numFmtId="173" fontId="17" fillId="33" borderId="21" xfId="53" applyNumberFormat="1" applyFont="1" applyFill="1" applyBorder="1" applyAlignment="1" applyProtection="1">
      <alignment horizontal="left" vertical="top" wrapText="1"/>
      <protection hidden="1"/>
    </xf>
    <xf numFmtId="173" fontId="17" fillId="33" borderId="22" xfId="53" applyNumberFormat="1" applyFont="1" applyFill="1" applyBorder="1" applyAlignment="1" applyProtection="1">
      <alignment horizontal="left" vertical="top" wrapText="1"/>
      <protection hidden="1"/>
    </xf>
    <xf numFmtId="173" fontId="17" fillId="33" borderId="14" xfId="53" applyNumberFormat="1" applyFont="1" applyFill="1" applyBorder="1" applyAlignment="1" applyProtection="1">
      <alignment horizontal="left" vertical="top" wrapText="1"/>
      <protection hidden="1"/>
    </xf>
    <xf numFmtId="0" fontId="17" fillId="33" borderId="21" xfId="0" applyFont="1" applyFill="1" applyBorder="1" applyAlignment="1">
      <alignment horizontal="left" wrapText="1"/>
    </xf>
    <xf numFmtId="0" fontId="17" fillId="33" borderId="22" xfId="0" applyFont="1" applyFill="1" applyBorder="1" applyAlignment="1">
      <alignment horizontal="left" wrapText="1"/>
    </xf>
    <xf numFmtId="0" fontId="17" fillId="33" borderId="14" xfId="0" applyFont="1" applyFill="1" applyBorder="1" applyAlignment="1">
      <alignment horizontal="left" wrapText="1"/>
    </xf>
    <xf numFmtId="0" fontId="4" fillId="33" borderId="0" xfId="57" applyFont="1" applyFill="1" applyAlignment="1" applyProtection="1">
      <alignment horizontal="center" vertical="center" wrapText="1"/>
      <protection hidden="1"/>
    </xf>
    <xf numFmtId="0" fontId="111" fillId="33" borderId="0" xfId="0" applyFont="1" applyFill="1" applyAlignment="1">
      <alignment vertical="center"/>
    </xf>
    <xf numFmtId="0" fontId="9" fillId="33" borderId="13" xfId="53" applyNumberFormat="1" applyFont="1" applyFill="1" applyBorder="1" applyAlignment="1" applyProtection="1">
      <alignment horizontal="center" vertical="center"/>
      <protection hidden="1"/>
    </xf>
    <xf numFmtId="0" fontId="112" fillId="33" borderId="13" xfId="0" applyFont="1" applyFill="1" applyBorder="1" applyAlignment="1">
      <alignment vertical="center"/>
    </xf>
    <xf numFmtId="0" fontId="9" fillId="33" borderId="13" xfId="53" applyNumberFormat="1" applyFont="1" applyFill="1" applyBorder="1" applyAlignment="1" applyProtection="1">
      <alignment horizontal="center" vertical="center" wrapText="1"/>
      <protection hidden="1"/>
    </xf>
    <xf numFmtId="0" fontId="10" fillId="33" borderId="13" xfId="53" applyNumberFormat="1" applyFont="1" applyFill="1" applyBorder="1" applyAlignment="1" applyProtection="1">
      <alignment horizontal="center" wrapText="1"/>
      <protection hidden="1"/>
    </xf>
    <xf numFmtId="173" fontId="9" fillId="33" borderId="13" xfId="53" applyNumberFormat="1" applyFont="1" applyFill="1" applyBorder="1" applyAlignment="1" applyProtection="1">
      <alignment vertical="center" wrapText="1" shrinkToFit="1"/>
      <protection hidden="1"/>
    </xf>
    <xf numFmtId="173" fontId="17" fillId="33" borderId="13" xfId="53" applyNumberFormat="1" applyFont="1" applyFill="1" applyBorder="1" applyAlignment="1" applyProtection="1">
      <alignment vertical="center" wrapText="1" shrinkToFit="1"/>
      <protection hidden="1"/>
    </xf>
    <xf numFmtId="173" fontId="20" fillId="33" borderId="21" xfId="53" applyNumberFormat="1" applyFont="1" applyFill="1" applyBorder="1" applyAlignment="1" applyProtection="1">
      <alignment vertical="justify" wrapText="1" shrinkToFit="1" readingOrder="1"/>
      <protection hidden="1"/>
    </xf>
    <xf numFmtId="173" fontId="20" fillId="33" borderId="22" xfId="53" applyNumberFormat="1" applyFont="1" applyFill="1" applyBorder="1" applyAlignment="1" applyProtection="1">
      <alignment vertical="justify" wrapText="1" shrinkToFit="1" readingOrder="1"/>
      <protection hidden="1"/>
    </xf>
    <xf numFmtId="173" fontId="20" fillId="33" borderId="14" xfId="53" applyNumberFormat="1" applyFont="1" applyFill="1" applyBorder="1" applyAlignment="1" applyProtection="1">
      <alignment vertical="justify" wrapText="1" shrinkToFit="1" readingOrder="1"/>
      <protection hidden="1"/>
    </xf>
    <xf numFmtId="173" fontId="15" fillId="33" borderId="13" xfId="53" applyNumberFormat="1" applyFont="1" applyFill="1" applyBorder="1" applyAlignment="1" applyProtection="1">
      <alignment vertical="center" wrapText="1" shrinkToFit="1"/>
      <protection hidden="1"/>
    </xf>
    <xf numFmtId="173" fontId="20" fillId="33" borderId="13" xfId="53" applyNumberFormat="1" applyFont="1" applyFill="1" applyBorder="1" applyAlignment="1" applyProtection="1">
      <alignment vertical="center" wrapText="1" shrinkToFit="1"/>
      <protection hidden="1"/>
    </xf>
    <xf numFmtId="0" fontId="16" fillId="33" borderId="13" xfId="0" applyFont="1" applyFill="1" applyBorder="1" applyAlignment="1">
      <alignment vertical="center" wrapText="1" shrinkToFit="1"/>
    </xf>
    <xf numFmtId="0" fontId="0" fillId="33" borderId="13" xfId="0" applyFill="1" applyBorder="1" applyAlignment="1">
      <alignment vertical="center" wrapText="1" shrinkToFit="1"/>
    </xf>
    <xf numFmtId="173" fontId="15" fillId="33" borderId="21" xfId="53" applyNumberFormat="1" applyFont="1" applyFill="1" applyBorder="1" applyAlignment="1" applyProtection="1">
      <alignment horizontal="left" vertical="center" wrapText="1" shrinkToFit="1"/>
      <protection hidden="1"/>
    </xf>
    <xf numFmtId="173" fontId="15" fillId="33" borderId="22" xfId="53" applyNumberFormat="1" applyFont="1" applyFill="1" applyBorder="1" applyAlignment="1" applyProtection="1">
      <alignment horizontal="left" vertical="center" wrapText="1" shrinkToFit="1"/>
      <protection hidden="1"/>
    </xf>
    <xf numFmtId="173" fontId="15" fillId="33" borderId="14" xfId="53" applyNumberFormat="1" applyFont="1" applyFill="1" applyBorder="1" applyAlignment="1" applyProtection="1">
      <alignment horizontal="left" vertical="center" wrapText="1" shrinkToFit="1"/>
      <protection hidden="1"/>
    </xf>
    <xf numFmtId="0" fontId="105" fillId="33" borderId="13" xfId="0" applyFont="1" applyFill="1" applyBorder="1" applyAlignment="1">
      <alignment vertical="center" wrapText="1" shrinkToFit="1"/>
    </xf>
    <xf numFmtId="173" fontId="20" fillId="33" borderId="21" xfId="53" applyNumberFormat="1" applyFont="1" applyFill="1" applyBorder="1" applyAlignment="1" applyProtection="1">
      <alignment vertical="center" wrapText="1" shrinkToFit="1"/>
      <protection hidden="1"/>
    </xf>
    <xf numFmtId="173" fontId="20" fillId="33" borderId="22" xfId="53" applyNumberFormat="1" applyFont="1" applyFill="1" applyBorder="1" applyAlignment="1" applyProtection="1">
      <alignment vertical="center" wrapText="1" shrinkToFit="1"/>
      <protection hidden="1"/>
    </xf>
    <xf numFmtId="173" fontId="20" fillId="33" borderId="14" xfId="53" applyNumberFormat="1" applyFont="1" applyFill="1" applyBorder="1" applyAlignment="1" applyProtection="1">
      <alignment vertical="center" wrapText="1" shrinkToFit="1"/>
      <protection hidden="1"/>
    </xf>
    <xf numFmtId="173" fontId="20" fillId="33" borderId="21" xfId="53" applyNumberFormat="1" applyFont="1" applyFill="1" applyBorder="1" applyAlignment="1" applyProtection="1">
      <alignment horizontal="left" vertical="center" wrapText="1" shrinkToFit="1"/>
      <protection hidden="1"/>
    </xf>
    <xf numFmtId="173" fontId="20" fillId="33" borderId="22" xfId="53" applyNumberFormat="1" applyFont="1" applyFill="1" applyBorder="1" applyAlignment="1" applyProtection="1">
      <alignment horizontal="left" vertical="center" wrapText="1" shrinkToFit="1"/>
      <protection hidden="1"/>
    </xf>
    <xf numFmtId="173" fontId="20" fillId="33" borderId="14" xfId="53" applyNumberFormat="1" applyFont="1" applyFill="1" applyBorder="1" applyAlignment="1" applyProtection="1">
      <alignment horizontal="left" vertical="center" wrapText="1" shrinkToFit="1"/>
      <protection hidden="1"/>
    </xf>
    <xf numFmtId="173" fontId="15" fillId="33" borderId="13" xfId="53" applyNumberFormat="1" applyFont="1" applyFill="1" applyBorder="1" applyAlignment="1" applyProtection="1">
      <alignment vertical="top" wrapText="1" shrinkToFit="1"/>
      <protection hidden="1"/>
    </xf>
    <xf numFmtId="173" fontId="15" fillId="33" borderId="21" xfId="53" applyNumberFormat="1" applyFont="1" applyFill="1" applyBorder="1" applyAlignment="1" applyProtection="1">
      <alignment horizontal="left" vertical="top" wrapText="1" shrinkToFit="1"/>
      <protection hidden="1"/>
    </xf>
    <xf numFmtId="173" fontId="15" fillId="33" borderId="22" xfId="53" applyNumberFormat="1" applyFont="1" applyFill="1" applyBorder="1" applyAlignment="1" applyProtection="1">
      <alignment horizontal="left" vertical="top" wrapText="1" shrinkToFit="1"/>
      <protection hidden="1"/>
    </xf>
    <xf numFmtId="173" fontId="15" fillId="33" borderId="14" xfId="53" applyNumberFormat="1" applyFont="1" applyFill="1" applyBorder="1" applyAlignment="1" applyProtection="1">
      <alignment horizontal="left" vertical="top" wrapText="1" shrinkToFit="1"/>
      <protection hidden="1"/>
    </xf>
    <xf numFmtId="0" fontId="13" fillId="33" borderId="21" xfId="0" applyNumberFormat="1" applyFont="1" applyFill="1" applyBorder="1" applyAlignment="1">
      <alignment horizontal="left" vertical="center" wrapText="1"/>
    </xf>
    <xf numFmtId="0" fontId="13" fillId="33" borderId="22" xfId="0" applyNumberFormat="1" applyFont="1" applyFill="1" applyBorder="1" applyAlignment="1">
      <alignment horizontal="left" vertical="center" wrapText="1"/>
    </xf>
    <xf numFmtId="0" fontId="13" fillId="33" borderId="14" xfId="0" applyNumberFormat="1" applyFont="1" applyFill="1" applyBorder="1" applyAlignment="1">
      <alignment horizontal="left" vertical="center" wrapText="1"/>
    </xf>
    <xf numFmtId="0" fontId="13" fillId="33" borderId="21" xfId="0" applyFont="1" applyFill="1" applyBorder="1" applyAlignment="1">
      <alignment horizontal="left" vertical="center" wrapText="1"/>
    </xf>
    <xf numFmtId="0" fontId="13" fillId="33" borderId="22" xfId="0" applyFont="1" applyFill="1" applyBorder="1" applyAlignment="1">
      <alignment horizontal="left" vertical="center" wrapText="1"/>
    </xf>
    <xf numFmtId="0" fontId="13" fillId="33" borderId="14" xfId="0" applyFont="1" applyFill="1" applyBorder="1" applyAlignment="1">
      <alignment horizontal="left" vertical="center" wrapText="1"/>
    </xf>
    <xf numFmtId="173" fontId="15" fillId="33" borderId="21" xfId="61" applyNumberFormat="1" applyFont="1" applyFill="1" applyBorder="1" applyAlignment="1" applyProtection="1">
      <alignment horizontal="left" vertical="top" wrapText="1"/>
      <protection hidden="1"/>
    </xf>
    <xf numFmtId="173" fontId="15" fillId="33" borderId="22" xfId="61" applyNumberFormat="1" applyFont="1" applyFill="1" applyBorder="1" applyAlignment="1" applyProtection="1">
      <alignment horizontal="left" vertical="top" wrapText="1"/>
      <protection hidden="1"/>
    </xf>
    <xf numFmtId="173" fontId="15" fillId="33" borderId="14" xfId="61" applyNumberFormat="1" applyFont="1" applyFill="1" applyBorder="1" applyAlignment="1" applyProtection="1">
      <alignment horizontal="left" vertical="top" wrapText="1"/>
      <protection hidden="1"/>
    </xf>
    <xf numFmtId="0" fontId="15" fillId="33" borderId="21" xfId="53" applyNumberFormat="1" applyFont="1" applyFill="1" applyBorder="1" applyAlignment="1" applyProtection="1">
      <alignment horizontal="left" vertical="top" wrapText="1"/>
      <protection hidden="1"/>
    </xf>
    <xf numFmtId="0" fontId="15" fillId="33" borderId="22" xfId="53" applyNumberFormat="1" applyFont="1" applyFill="1" applyBorder="1" applyAlignment="1" applyProtection="1">
      <alignment horizontal="left" vertical="top" wrapText="1"/>
      <protection hidden="1"/>
    </xf>
    <xf numFmtId="0" fontId="15" fillId="33" borderId="14" xfId="53" applyNumberFormat="1" applyFont="1" applyFill="1" applyBorder="1" applyAlignment="1" applyProtection="1">
      <alignment horizontal="left" vertical="top" wrapText="1"/>
      <protection hidden="1"/>
    </xf>
    <xf numFmtId="173" fontId="17" fillId="33" borderId="21" xfId="53" applyNumberFormat="1" applyFont="1" applyFill="1" applyBorder="1" applyAlignment="1" applyProtection="1">
      <alignment vertical="center" wrapText="1" shrinkToFit="1"/>
      <protection hidden="1"/>
    </xf>
    <xf numFmtId="173" fontId="17" fillId="33" borderId="22" xfId="53" applyNumberFormat="1" applyFont="1" applyFill="1" applyBorder="1" applyAlignment="1" applyProtection="1">
      <alignment vertical="center" wrapText="1" shrinkToFit="1"/>
      <protection hidden="1"/>
    </xf>
    <xf numFmtId="173" fontId="17" fillId="33" borderId="14" xfId="53" applyNumberFormat="1" applyFont="1" applyFill="1" applyBorder="1" applyAlignment="1" applyProtection="1">
      <alignment vertical="center" wrapText="1" shrinkToFit="1"/>
      <protection hidden="1"/>
    </xf>
    <xf numFmtId="0" fontId="109" fillId="33" borderId="22" xfId="0" applyFont="1" applyFill="1" applyBorder="1" applyAlignment="1">
      <alignment vertical="center" wrapText="1" shrinkToFit="1"/>
    </xf>
    <xf numFmtId="0" fontId="109" fillId="33" borderId="14" xfId="0" applyFont="1" applyFill="1" applyBorder="1" applyAlignment="1">
      <alignment vertical="center" wrapText="1" shrinkToFit="1"/>
    </xf>
    <xf numFmtId="173" fontId="15" fillId="33" borderId="13" xfId="53" applyNumberFormat="1" applyFont="1" applyFill="1" applyBorder="1" applyAlignment="1" applyProtection="1">
      <alignment horizontal="left" vertical="center" wrapText="1" shrinkToFit="1"/>
      <protection hidden="1"/>
    </xf>
    <xf numFmtId="0" fontId="11" fillId="33" borderId="2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5" fillId="33" borderId="21" xfId="0" applyNumberFormat="1" applyFont="1" applyFill="1" applyBorder="1" applyAlignment="1">
      <alignment horizontal="left" vertical="center" wrapText="1"/>
    </xf>
    <xf numFmtId="0" fontId="15" fillId="33" borderId="22" xfId="0" applyNumberFormat="1" applyFont="1" applyFill="1" applyBorder="1" applyAlignment="1">
      <alignment horizontal="left" vertical="center" wrapText="1"/>
    </xf>
    <xf numFmtId="0" fontId="15" fillId="33" borderId="14" xfId="0" applyNumberFormat="1" applyFont="1" applyFill="1" applyBorder="1" applyAlignment="1">
      <alignment horizontal="left" vertical="center" wrapText="1"/>
    </xf>
    <xf numFmtId="0" fontId="16" fillId="33" borderId="21" xfId="0" applyFont="1" applyFill="1" applyBorder="1" applyAlignment="1">
      <alignment vertical="center" wrapText="1" shrinkToFit="1"/>
    </xf>
    <xf numFmtId="0" fontId="16" fillId="33" borderId="22" xfId="0" applyFont="1" applyFill="1" applyBorder="1" applyAlignment="1">
      <alignment vertical="center" wrapText="1" shrinkToFit="1"/>
    </xf>
    <xf numFmtId="0" fontId="16" fillId="33" borderId="14" xfId="0" applyFont="1" applyFill="1" applyBorder="1" applyAlignment="1">
      <alignment vertical="center" wrapText="1" shrinkToFit="1"/>
    </xf>
    <xf numFmtId="177" fontId="11" fillId="0" borderId="0" xfId="53" applyNumberFormat="1" applyFont="1" applyAlignment="1">
      <alignment wrapText="1"/>
      <protection/>
    </xf>
    <xf numFmtId="177" fontId="0" fillId="0" borderId="0" xfId="0" applyNumberFormat="1" applyAlignment="1">
      <alignment wrapText="1"/>
    </xf>
    <xf numFmtId="177" fontId="113" fillId="0" borderId="0" xfId="0" applyNumberFormat="1" applyFont="1" applyAlignment="1">
      <alignment wrapText="1"/>
    </xf>
    <xf numFmtId="0" fontId="4" fillId="0" borderId="0" xfId="53" applyFont="1" applyAlignment="1">
      <alignment horizontal="center" wrapText="1"/>
      <protection/>
    </xf>
    <xf numFmtId="0" fontId="0" fillId="0" borderId="0" xfId="0" applyAlignment="1">
      <alignment/>
    </xf>
    <xf numFmtId="172" fontId="30" fillId="0" borderId="39" xfId="60" applyNumberFormat="1" applyFont="1" applyFill="1" applyBorder="1" applyAlignment="1" applyProtection="1">
      <alignment/>
      <protection hidden="1"/>
    </xf>
    <xf numFmtId="172" fontId="30" fillId="0" borderId="22" xfId="60" applyNumberFormat="1" applyFont="1" applyFill="1" applyBorder="1" applyAlignment="1" applyProtection="1">
      <alignment/>
      <protection hidden="1"/>
    </xf>
    <xf numFmtId="172" fontId="30" fillId="0" borderId="40" xfId="60" applyNumberFormat="1" applyFont="1" applyFill="1" applyBorder="1" applyAlignment="1" applyProtection="1">
      <alignment/>
      <protection hidden="1"/>
    </xf>
    <xf numFmtId="181" fontId="30" fillId="0" borderId="39" xfId="60" applyNumberFormat="1" applyFont="1" applyFill="1" applyBorder="1" applyAlignment="1" applyProtection="1">
      <alignment wrapText="1"/>
      <protection hidden="1"/>
    </xf>
    <xf numFmtId="181" fontId="30" fillId="0" borderId="22" xfId="60" applyNumberFormat="1" applyFont="1" applyFill="1" applyBorder="1" applyAlignment="1" applyProtection="1">
      <alignment wrapText="1"/>
      <protection hidden="1"/>
    </xf>
    <xf numFmtId="181" fontId="30" fillId="0" borderId="14" xfId="60" applyNumberFormat="1" applyFont="1" applyFill="1" applyBorder="1" applyAlignment="1" applyProtection="1">
      <alignment wrapText="1"/>
      <protection hidden="1"/>
    </xf>
    <xf numFmtId="181" fontId="53" fillId="44" borderId="22" xfId="60" applyNumberFormat="1" applyFont="1" applyFill="1" applyBorder="1" applyAlignment="1" applyProtection="1">
      <alignment horizontal="center" wrapText="1"/>
      <protection hidden="1"/>
    </xf>
    <xf numFmtId="181" fontId="53" fillId="44" borderId="14" xfId="60" applyNumberFormat="1" applyFont="1" applyFill="1" applyBorder="1" applyAlignment="1" applyProtection="1">
      <alignment horizontal="center" wrapText="1"/>
      <protection hidden="1"/>
    </xf>
    <xf numFmtId="0" fontId="12" fillId="40" borderId="49" xfId="0" applyFont="1" applyFill="1" applyBorder="1" applyAlignment="1">
      <alignment horizontal="center" vertical="center" wrapText="1"/>
    </xf>
    <xf numFmtId="0" fontId="12" fillId="40" borderId="0" xfId="0" applyFont="1" applyFill="1" applyBorder="1" applyAlignment="1">
      <alignment horizontal="center" vertical="center" wrapText="1"/>
    </xf>
    <xf numFmtId="181" fontId="30" fillId="43" borderId="39" xfId="60" applyNumberFormat="1" applyFont="1" applyFill="1" applyBorder="1" applyAlignment="1" applyProtection="1">
      <alignment wrapText="1"/>
      <protection hidden="1"/>
    </xf>
    <xf numFmtId="181" fontId="30" fillId="43" borderId="22" xfId="60" applyNumberFormat="1" applyFont="1" applyFill="1" applyBorder="1" applyAlignment="1" applyProtection="1">
      <alignment wrapText="1"/>
      <protection hidden="1"/>
    </xf>
    <xf numFmtId="181" fontId="30" fillId="43" borderId="14" xfId="60" applyNumberFormat="1" applyFont="1" applyFill="1" applyBorder="1" applyAlignment="1" applyProtection="1">
      <alignment wrapText="1"/>
      <protection hidden="1"/>
    </xf>
    <xf numFmtId="181" fontId="30" fillId="0" borderId="17" xfId="60" applyNumberFormat="1" applyFont="1" applyFill="1" applyBorder="1" applyAlignment="1" applyProtection="1">
      <alignment wrapText="1"/>
      <protection hidden="1"/>
    </xf>
    <xf numFmtId="181" fontId="30" fillId="0" borderId="58" xfId="60" applyNumberFormat="1" applyFont="1" applyFill="1" applyBorder="1" applyAlignment="1" applyProtection="1">
      <alignment wrapText="1"/>
      <protection hidden="1"/>
    </xf>
    <xf numFmtId="0" fontId="31" fillId="0" borderId="13" xfId="62" applyNumberFormat="1" applyFont="1" applyFill="1" applyBorder="1" applyAlignment="1" applyProtection="1">
      <alignment wrapText="1"/>
      <protection hidden="1"/>
    </xf>
    <xf numFmtId="175" fontId="31" fillId="0" borderId="13" xfId="62" applyNumberFormat="1" applyFont="1" applyFill="1" applyBorder="1" applyAlignment="1" applyProtection="1">
      <alignment horizontal="center" wrapText="1"/>
      <protection hidden="1"/>
    </xf>
    <xf numFmtId="0" fontId="46" fillId="0" borderId="13" xfId="62" applyNumberFormat="1" applyFont="1" applyFill="1" applyBorder="1" applyAlignment="1" applyProtection="1">
      <alignment wrapText="1"/>
      <protection hidden="1"/>
    </xf>
    <xf numFmtId="0" fontId="40" fillId="0" borderId="13" xfId="0" applyFont="1" applyFill="1" applyBorder="1" applyAlignment="1">
      <alignment wrapText="1"/>
    </xf>
    <xf numFmtId="181" fontId="58" fillId="44" borderId="22" xfId="60" applyNumberFormat="1" applyFont="1" applyFill="1" applyBorder="1" applyAlignment="1" applyProtection="1">
      <alignment horizontal="center" wrapText="1"/>
      <protection hidden="1"/>
    </xf>
    <xf numFmtId="181" fontId="58" fillId="44" borderId="40" xfId="60" applyNumberFormat="1" applyFont="1" applyFill="1" applyBorder="1" applyAlignment="1" applyProtection="1">
      <alignment horizontal="center" wrapText="1"/>
      <protection hidden="1"/>
    </xf>
    <xf numFmtId="181" fontId="23" fillId="44" borderId="22" xfId="60" applyNumberFormat="1" applyFont="1" applyFill="1" applyBorder="1" applyAlignment="1" applyProtection="1">
      <alignment horizontal="left" wrapText="1"/>
      <protection hidden="1"/>
    </xf>
    <xf numFmtId="175" fontId="46" fillId="0" borderId="13" xfId="62" applyNumberFormat="1" applyFont="1" applyFill="1" applyBorder="1" applyAlignment="1" applyProtection="1">
      <alignment horizontal="center" wrapText="1"/>
      <protection hidden="1"/>
    </xf>
    <xf numFmtId="181" fontId="23" fillId="38" borderId="39" xfId="60" applyNumberFormat="1" applyFont="1" applyFill="1" applyBorder="1" applyAlignment="1" applyProtection="1">
      <alignment horizontal="center" wrapText="1"/>
      <protection hidden="1"/>
    </xf>
    <xf numFmtId="181" fontId="23" fillId="38" borderId="22" xfId="60" applyNumberFormat="1" applyFont="1" applyFill="1" applyBorder="1" applyAlignment="1" applyProtection="1">
      <alignment horizontal="center" wrapText="1"/>
      <protection hidden="1"/>
    </xf>
    <xf numFmtId="181" fontId="23" fillId="38" borderId="40" xfId="60" applyNumberFormat="1" applyFont="1" applyFill="1" applyBorder="1" applyAlignment="1" applyProtection="1">
      <alignment horizontal="center" wrapText="1"/>
      <protection hidden="1"/>
    </xf>
    <xf numFmtId="0" fontId="2" fillId="0" borderId="0" xfId="60" applyFill="1" applyAlignment="1">
      <alignment horizontal="center"/>
      <protection/>
    </xf>
    <xf numFmtId="0" fontId="38" fillId="0" borderId="13" xfId="0" applyFont="1" applyFill="1" applyBorder="1" applyAlignment="1">
      <alignment wrapText="1"/>
    </xf>
    <xf numFmtId="49" fontId="38" fillId="0" borderId="13" xfId="0" applyNumberFormat="1" applyFont="1" applyFill="1" applyBorder="1" applyAlignment="1">
      <alignment horizontal="center"/>
    </xf>
    <xf numFmtId="175" fontId="47" fillId="0" borderId="13" xfId="62" applyNumberFormat="1" applyFont="1" applyFill="1" applyBorder="1" applyAlignment="1" applyProtection="1">
      <alignment horizontal="center" wrapText="1"/>
      <protection hidden="1"/>
    </xf>
    <xf numFmtId="0" fontId="48" fillId="0" borderId="13" xfId="62" applyNumberFormat="1" applyFont="1" applyFill="1" applyBorder="1" applyAlignment="1" applyProtection="1">
      <alignment wrapText="1"/>
      <protection hidden="1"/>
    </xf>
    <xf numFmtId="0" fontId="46" fillId="0" borderId="19" xfId="62" applyNumberFormat="1" applyFont="1" applyFill="1" applyBorder="1" applyAlignment="1" applyProtection="1">
      <alignment wrapText="1"/>
      <protection hidden="1"/>
    </xf>
    <xf numFmtId="175" fontId="46" fillId="0" borderId="19" xfId="62" applyNumberFormat="1" applyFont="1" applyFill="1" applyBorder="1" applyAlignment="1" applyProtection="1">
      <alignment horizontal="center" wrapText="1"/>
      <protection hidden="1"/>
    </xf>
    <xf numFmtId="0" fontId="31" fillId="0" borderId="25" xfId="62" applyNumberFormat="1" applyFont="1" applyFill="1" applyBorder="1" applyAlignment="1" applyProtection="1">
      <alignment horizontal="center"/>
      <protection hidden="1"/>
    </xf>
    <xf numFmtId="0" fontId="31" fillId="0" borderId="63" xfId="62" applyNumberFormat="1" applyFont="1" applyFill="1" applyBorder="1" applyAlignment="1" applyProtection="1">
      <alignment horizontal="center"/>
      <protection hidden="1"/>
    </xf>
    <xf numFmtId="0" fontId="31" fillId="0" borderId="10" xfId="62" applyNumberFormat="1" applyFont="1" applyFill="1" applyBorder="1" applyAlignment="1" applyProtection="1">
      <alignment horizontal="center"/>
      <protection hidden="1"/>
    </xf>
    <xf numFmtId="0" fontId="31" fillId="0" borderId="64" xfId="62" applyNumberFormat="1" applyFont="1" applyFill="1" applyBorder="1" applyAlignment="1" applyProtection="1">
      <alignment horizontal="center"/>
      <protection hidden="1"/>
    </xf>
    <xf numFmtId="0" fontId="47" fillId="0" borderId="13" xfId="62" applyNumberFormat="1" applyFont="1" applyFill="1" applyBorder="1" applyAlignment="1" applyProtection="1">
      <alignment wrapText="1"/>
      <protection hidden="1"/>
    </xf>
    <xf numFmtId="49" fontId="38" fillId="0" borderId="13" xfId="53" applyNumberFormat="1" applyFont="1" applyFill="1" applyBorder="1" applyAlignment="1" applyProtection="1">
      <alignment wrapText="1"/>
      <protection hidden="1"/>
    </xf>
    <xf numFmtId="0" fontId="45" fillId="0" borderId="13" xfId="62" applyNumberFormat="1" applyFont="1" applyFill="1" applyBorder="1" applyAlignment="1" applyProtection="1">
      <alignment wrapText="1"/>
      <protection hidden="1"/>
    </xf>
    <xf numFmtId="175" fontId="45" fillId="0" borderId="13" xfId="62" applyNumberFormat="1" applyFont="1" applyFill="1" applyBorder="1" applyAlignment="1" applyProtection="1">
      <alignment horizontal="center" wrapText="1"/>
      <protection hidden="1"/>
    </xf>
    <xf numFmtId="0" fontId="46" fillId="0" borderId="21" xfId="62" applyNumberFormat="1" applyFont="1" applyFill="1" applyBorder="1" applyAlignment="1" applyProtection="1">
      <alignment wrapText="1"/>
      <protection hidden="1"/>
    </xf>
    <xf numFmtId="0" fontId="46" fillId="0" borderId="14" xfId="62" applyNumberFormat="1" applyFont="1" applyFill="1" applyBorder="1" applyAlignment="1" applyProtection="1">
      <alignment wrapText="1"/>
      <protection hidden="1"/>
    </xf>
    <xf numFmtId="49" fontId="40" fillId="0" borderId="13" xfId="61" applyNumberFormat="1" applyFont="1" applyFill="1" applyBorder="1" applyAlignment="1" applyProtection="1">
      <alignment wrapText="1"/>
      <protection hidden="1"/>
    </xf>
    <xf numFmtId="0" fontId="42" fillId="0" borderId="16" xfId="62" applyNumberFormat="1" applyFont="1" applyFill="1" applyBorder="1" applyAlignment="1" applyProtection="1">
      <alignment horizontal="center" vertical="center"/>
      <protection hidden="1"/>
    </xf>
    <xf numFmtId="0" fontId="42" fillId="0" borderId="17" xfId="62" applyNumberFormat="1" applyFont="1" applyFill="1" applyBorder="1" applyAlignment="1" applyProtection="1">
      <alignment horizontal="center" vertical="center"/>
      <protection hidden="1"/>
    </xf>
    <xf numFmtId="0" fontId="42" fillId="0" borderId="18" xfId="62" applyNumberFormat="1" applyFont="1" applyFill="1" applyBorder="1" applyAlignment="1" applyProtection="1">
      <alignment horizontal="center" vertical="center"/>
      <protection hidden="1"/>
    </xf>
    <xf numFmtId="0" fontId="42" fillId="0" borderId="15" xfId="62" applyNumberFormat="1" applyFont="1" applyFill="1" applyBorder="1" applyAlignment="1" applyProtection="1">
      <alignment horizontal="center" vertical="center"/>
      <protection hidden="1"/>
    </xf>
    <xf numFmtId="0" fontId="42" fillId="0" borderId="16" xfId="62" applyNumberFormat="1" applyFont="1" applyFill="1" applyBorder="1" applyAlignment="1" applyProtection="1">
      <alignment horizontal="center" vertical="center" wrapText="1"/>
      <protection hidden="1"/>
    </xf>
    <xf numFmtId="0" fontId="42" fillId="0" borderId="18" xfId="62" applyNumberFormat="1" applyFont="1" applyFill="1" applyBorder="1" applyAlignment="1" applyProtection="1">
      <alignment horizontal="center" vertical="center" wrapText="1"/>
      <protection hidden="1"/>
    </xf>
    <xf numFmtId="0" fontId="42" fillId="0" borderId="13" xfId="62" applyNumberFormat="1" applyFont="1" applyFill="1" applyBorder="1" applyAlignment="1" applyProtection="1">
      <alignment horizontal="center" vertical="center" wrapText="1"/>
      <protection hidden="1"/>
    </xf>
    <xf numFmtId="0" fontId="42" fillId="0" borderId="58" xfId="62" applyNumberFormat="1" applyFont="1" applyFill="1" applyBorder="1" applyAlignment="1" applyProtection="1">
      <alignment horizontal="center" wrapText="1"/>
      <protection hidden="1"/>
    </xf>
    <xf numFmtId="0" fontId="42" fillId="0" borderId="60" xfId="62" applyNumberFormat="1" applyFont="1" applyFill="1" applyBorder="1" applyAlignment="1" applyProtection="1">
      <alignment horizontal="center" wrapText="1"/>
      <protection hidden="1"/>
    </xf>
    <xf numFmtId="0" fontId="43" fillId="0" borderId="13" xfId="62" applyNumberFormat="1" applyFont="1" applyFill="1" applyBorder="1" applyAlignment="1" applyProtection="1">
      <alignment vertical="center"/>
      <protection hidden="1"/>
    </xf>
    <xf numFmtId="0" fontId="43" fillId="0" borderId="13" xfId="62" applyNumberFormat="1" applyFont="1" applyFill="1" applyBorder="1" applyAlignment="1" applyProtection="1">
      <alignment horizontal="center" vertical="center" wrapText="1"/>
      <protection hidden="1"/>
    </xf>
    <xf numFmtId="49" fontId="40" fillId="0" borderId="25" xfId="53" applyNumberFormat="1" applyFont="1" applyFill="1" applyBorder="1" applyAlignment="1" applyProtection="1">
      <alignment horizontal="center" vertical="top" wrapText="1"/>
      <protection hidden="1"/>
    </xf>
    <xf numFmtId="49" fontId="40" fillId="0" borderId="26" xfId="53" applyNumberFormat="1" applyFont="1" applyFill="1" applyBorder="1" applyAlignment="1" applyProtection="1">
      <alignment horizontal="center" vertical="top" wrapText="1"/>
      <protection hidden="1"/>
    </xf>
    <xf numFmtId="49" fontId="40" fillId="0" borderId="63" xfId="53" applyNumberFormat="1" applyFont="1" applyFill="1" applyBorder="1" applyAlignment="1" applyProtection="1">
      <alignment horizontal="center" vertical="top" wrapText="1"/>
      <protection hidden="1"/>
    </xf>
    <xf numFmtId="2" fontId="40" fillId="0" borderId="25" xfId="61" applyNumberFormat="1" applyFont="1" applyFill="1" applyBorder="1" applyAlignment="1" applyProtection="1">
      <alignment horizontal="center" vertical="top" wrapText="1"/>
      <protection hidden="1"/>
    </xf>
    <xf numFmtId="2" fontId="40" fillId="0" borderId="26" xfId="61" applyNumberFormat="1" applyFont="1" applyFill="1" applyBorder="1" applyAlignment="1" applyProtection="1">
      <alignment horizontal="center" vertical="top" wrapText="1"/>
      <protection hidden="1"/>
    </xf>
    <xf numFmtId="2" fontId="40" fillId="0" borderId="63" xfId="61" applyNumberFormat="1" applyFont="1" applyFill="1" applyBorder="1" applyAlignment="1" applyProtection="1">
      <alignment horizontal="center" vertical="top" wrapText="1"/>
      <protection hidden="1"/>
    </xf>
    <xf numFmtId="0" fontId="40" fillId="0" borderId="25" xfId="53" applyNumberFormat="1" applyFont="1" applyFill="1" applyBorder="1" applyAlignment="1" applyProtection="1">
      <alignment horizontal="center" vertical="top" wrapText="1"/>
      <protection hidden="1"/>
    </xf>
    <xf numFmtId="0" fontId="40" fillId="0" borderId="26" xfId="53" applyNumberFormat="1" applyFont="1" applyFill="1" applyBorder="1" applyAlignment="1" applyProtection="1">
      <alignment horizontal="center" vertical="top" wrapText="1"/>
      <protection hidden="1"/>
    </xf>
    <xf numFmtId="49" fontId="40" fillId="0" borderId="13" xfId="61" applyNumberFormat="1" applyFont="1" applyFill="1" applyBorder="1" applyAlignment="1" applyProtection="1">
      <alignment horizontal="center" vertical="top" wrapText="1"/>
      <protection hidden="1"/>
    </xf>
    <xf numFmtId="49" fontId="40" fillId="0" borderId="25" xfId="61" applyNumberFormat="1" applyFont="1" applyFill="1" applyBorder="1" applyAlignment="1" applyProtection="1">
      <alignment horizontal="center" vertical="top" wrapText="1"/>
      <protection hidden="1"/>
    </xf>
    <xf numFmtId="49" fontId="40" fillId="0" borderId="26" xfId="61" applyNumberFormat="1" applyFont="1" applyFill="1" applyBorder="1" applyAlignment="1" applyProtection="1">
      <alignment horizontal="center" vertical="top" wrapText="1"/>
      <protection hidden="1"/>
    </xf>
    <xf numFmtId="49" fontId="40" fillId="0" borderId="63" xfId="61" applyNumberFormat="1" applyFont="1" applyFill="1" applyBorder="1" applyAlignment="1" applyProtection="1">
      <alignment horizontal="center" vertical="top" wrapText="1"/>
      <protection hidden="1"/>
    </xf>
    <xf numFmtId="49" fontId="40" fillId="0" borderId="25" xfId="62" applyNumberFormat="1" applyFont="1" applyFill="1" applyBorder="1" applyAlignment="1" applyProtection="1">
      <alignment horizontal="center" vertical="top" wrapText="1"/>
      <protection hidden="1"/>
    </xf>
    <xf numFmtId="49" fontId="40" fillId="0" borderId="26" xfId="62" applyNumberFormat="1" applyFont="1" applyFill="1" applyBorder="1" applyAlignment="1" applyProtection="1">
      <alignment horizontal="center" vertical="top" wrapText="1"/>
      <protection hidden="1"/>
    </xf>
    <xf numFmtId="49" fontId="40" fillId="0" borderId="63" xfId="62" applyNumberFormat="1" applyFont="1" applyFill="1" applyBorder="1" applyAlignment="1" applyProtection="1">
      <alignment horizontal="center" vertical="top" wrapText="1"/>
      <protection hidden="1"/>
    </xf>
    <xf numFmtId="181" fontId="3" fillId="0" borderId="51" xfId="60" applyNumberFormat="1" applyFont="1" applyFill="1" applyBorder="1" applyAlignment="1" applyProtection="1">
      <alignment wrapText="1"/>
      <protection hidden="1"/>
    </xf>
    <xf numFmtId="181" fontId="3" fillId="0" borderId="55" xfId="60" applyNumberFormat="1" applyFont="1" applyFill="1" applyBorder="1" applyAlignment="1" applyProtection="1">
      <alignment wrapText="1"/>
      <protection hidden="1"/>
    </xf>
    <xf numFmtId="172" fontId="3" fillId="0" borderId="66" xfId="60" applyNumberFormat="1" applyFont="1" applyFill="1" applyBorder="1" applyAlignment="1" applyProtection="1">
      <alignment/>
      <protection hidden="1"/>
    </xf>
    <xf numFmtId="49" fontId="40" fillId="0" borderId="31" xfId="53" applyNumberFormat="1" applyFont="1" applyFill="1" applyBorder="1" applyAlignment="1" applyProtection="1">
      <alignment horizontal="center" vertical="top" wrapText="1"/>
      <protection hidden="1"/>
    </xf>
    <xf numFmtId="49" fontId="40" fillId="0" borderId="34" xfId="53" applyNumberFormat="1" applyFont="1" applyFill="1" applyBorder="1" applyAlignment="1" applyProtection="1">
      <alignment horizontal="center" vertical="top" wrapText="1"/>
      <protection hidden="1"/>
    </xf>
    <xf numFmtId="49" fontId="40" fillId="0" borderId="57" xfId="53" applyNumberFormat="1" applyFont="1" applyFill="1" applyBorder="1" applyAlignment="1" applyProtection="1">
      <alignment horizontal="center" vertical="top" wrapText="1"/>
      <protection hidden="1"/>
    </xf>
    <xf numFmtId="181" fontId="30" fillId="0" borderId="38" xfId="60" applyNumberFormat="1" applyFont="1" applyFill="1" applyBorder="1" applyAlignment="1" applyProtection="1">
      <alignment wrapText="1"/>
      <protection hidden="1"/>
    </xf>
    <xf numFmtId="172" fontId="30" fillId="0" borderId="37" xfId="60" applyNumberFormat="1" applyFont="1" applyFill="1" applyBorder="1" applyAlignment="1" applyProtection="1">
      <alignment/>
      <protection hidden="1"/>
    </xf>
    <xf numFmtId="181" fontId="30" fillId="0" borderId="67" xfId="60" applyNumberFormat="1" applyFont="1" applyFill="1" applyBorder="1" applyAlignment="1" applyProtection="1">
      <alignment wrapText="1"/>
      <protection hidden="1"/>
    </xf>
    <xf numFmtId="181" fontId="30" fillId="0" borderId="68" xfId="60" applyNumberFormat="1" applyFont="1" applyFill="1" applyBorder="1" applyAlignment="1" applyProtection="1">
      <alignment wrapText="1"/>
      <protection hidden="1"/>
    </xf>
    <xf numFmtId="181" fontId="29" fillId="42" borderId="25" xfId="60" applyNumberFormat="1" applyFont="1" applyFill="1" applyBorder="1" applyAlignment="1" applyProtection="1">
      <alignment horizontal="center" wrapText="1"/>
      <protection hidden="1"/>
    </xf>
    <xf numFmtId="181" fontId="29" fillId="42" borderId="26" xfId="60" applyNumberFormat="1" applyFont="1" applyFill="1" applyBorder="1" applyAlignment="1" applyProtection="1">
      <alignment horizontal="center" wrapText="1"/>
      <protection hidden="1"/>
    </xf>
    <xf numFmtId="181" fontId="30" fillId="43" borderId="38" xfId="60" applyNumberFormat="1" applyFont="1" applyFill="1" applyBorder="1" applyAlignment="1" applyProtection="1">
      <alignment wrapText="1"/>
      <protection hidden="1"/>
    </xf>
    <xf numFmtId="172" fontId="30" fillId="43" borderId="37" xfId="60" applyNumberFormat="1" applyFont="1" applyFill="1" applyBorder="1" applyAlignment="1" applyProtection="1">
      <alignment/>
      <protection hidden="1"/>
    </xf>
    <xf numFmtId="172" fontId="30" fillId="21" borderId="37" xfId="60" applyNumberFormat="1" applyFont="1" applyFill="1" applyBorder="1" applyAlignment="1" applyProtection="1">
      <alignment/>
      <protection hidden="1"/>
    </xf>
    <xf numFmtId="181" fontId="30" fillId="21" borderId="38" xfId="60" applyNumberFormat="1" applyFont="1" applyFill="1" applyBorder="1" applyAlignment="1" applyProtection="1">
      <alignment wrapText="1"/>
      <protection hidden="1"/>
    </xf>
    <xf numFmtId="181" fontId="30" fillId="21" borderId="39" xfId="60" applyNumberFormat="1" applyFont="1" applyFill="1" applyBorder="1" applyAlignment="1" applyProtection="1">
      <alignment wrapText="1"/>
      <protection hidden="1"/>
    </xf>
    <xf numFmtId="181" fontId="30" fillId="42" borderId="25" xfId="60" applyNumberFormat="1" applyFont="1" applyFill="1" applyBorder="1" applyAlignment="1" applyProtection="1">
      <alignment horizontal="center" wrapText="1"/>
      <protection hidden="1"/>
    </xf>
    <xf numFmtId="181" fontId="30" fillId="42" borderId="26" xfId="60" applyNumberFormat="1" applyFont="1" applyFill="1" applyBorder="1" applyAlignment="1" applyProtection="1">
      <alignment horizontal="center" wrapText="1"/>
      <protection hidden="1"/>
    </xf>
    <xf numFmtId="181" fontId="30" fillId="42" borderId="22" xfId="60" applyNumberFormat="1" applyFont="1" applyFill="1" applyBorder="1" applyAlignment="1" applyProtection="1">
      <alignment horizontal="center" wrapText="1"/>
      <protection hidden="1"/>
    </xf>
    <xf numFmtId="181" fontId="37" fillId="43" borderId="39" xfId="60" applyNumberFormat="1" applyFont="1" applyFill="1" applyBorder="1" applyAlignment="1" applyProtection="1">
      <alignment horizontal="left" wrapText="1"/>
      <protection hidden="1"/>
    </xf>
    <xf numFmtId="181" fontId="37" fillId="43" borderId="22" xfId="60" applyNumberFormat="1" applyFont="1" applyFill="1" applyBorder="1" applyAlignment="1" applyProtection="1">
      <alignment horizontal="left" wrapText="1"/>
      <protection hidden="1"/>
    </xf>
    <xf numFmtId="181" fontId="37" fillId="43" borderId="40" xfId="60" applyNumberFormat="1" applyFont="1" applyFill="1" applyBorder="1" applyAlignment="1" applyProtection="1">
      <alignment horizontal="left" wrapText="1"/>
      <protection hidden="1"/>
    </xf>
    <xf numFmtId="181" fontId="30" fillId="38" borderId="38" xfId="60" applyNumberFormat="1" applyFont="1" applyFill="1" applyBorder="1" applyAlignment="1" applyProtection="1">
      <alignment wrapText="1"/>
      <protection hidden="1"/>
    </xf>
    <xf numFmtId="181" fontId="30" fillId="38" borderId="39" xfId="60" applyNumberFormat="1" applyFont="1" applyFill="1" applyBorder="1" applyAlignment="1" applyProtection="1">
      <alignment wrapText="1"/>
      <protection hidden="1"/>
    </xf>
    <xf numFmtId="172" fontId="30" fillId="38" borderId="37" xfId="60" applyNumberFormat="1" applyFont="1" applyFill="1" applyBorder="1" applyAlignment="1" applyProtection="1">
      <alignment/>
      <protection hidden="1"/>
    </xf>
    <xf numFmtId="172" fontId="30" fillId="33" borderId="39" xfId="60" applyNumberFormat="1" applyFont="1" applyFill="1" applyBorder="1" applyAlignment="1" applyProtection="1">
      <alignment/>
      <protection hidden="1"/>
    </xf>
    <xf numFmtId="172" fontId="30" fillId="33" borderId="40" xfId="60" applyNumberFormat="1" applyFont="1" applyFill="1" applyBorder="1" applyAlignment="1" applyProtection="1">
      <alignment/>
      <protection hidden="1"/>
    </xf>
    <xf numFmtId="172" fontId="23" fillId="3" borderId="19" xfId="60" applyNumberFormat="1" applyFont="1" applyFill="1" applyBorder="1" applyAlignment="1" applyProtection="1">
      <alignment horizontal="center" wrapText="1"/>
      <protection hidden="1"/>
    </xf>
    <xf numFmtId="172" fontId="23" fillId="3" borderId="20" xfId="60" applyNumberFormat="1" applyFont="1" applyFill="1" applyBorder="1" applyAlignment="1" applyProtection="1">
      <alignment horizontal="center" wrapText="1"/>
      <protection hidden="1"/>
    </xf>
    <xf numFmtId="172" fontId="23" fillId="3" borderId="12" xfId="60" applyNumberFormat="1" applyFont="1" applyFill="1" applyBorder="1" applyAlignment="1" applyProtection="1">
      <alignment horizontal="center" wrapText="1"/>
      <protection hidden="1"/>
    </xf>
    <xf numFmtId="181" fontId="30" fillId="33" borderId="39" xfId="60" applyNumberFormat="1" applyFont="1" applyFill="1" applyBorder="1" applyAlignment="1" applyProtection="1">
      <alignment wrapText="1"/>
      <protection hidden="1"/>
    </xf>
    <xf numFmtId="181" fontId="30" fillId="33" borderId="22" xfId="60" applyNumberFormat="1" applyFont="1" applyFill="1" applyBorder="1" applyAlignment="1" applyProtection="1">
      <alignment wrapText="1"/>
      <protection hidden="1"/>
    </xf>
    <xf numFmtId="181" fontId="30" fillId="33" borderId="14" xfId="60" applyNumberFormat="1" applyFont="1" applyFill="1" applyBorder="1" applyAlignment="1" applyProtection="1">
      <alignment wrapText="1"/>
      <protection hidden="1"/>
    </xf>
    <xf numFmtId="172" fontId="30" fillId="33" borderId="22" xfId="60" applyNumberFormat="1" applyFont="1" applyFill="1" applyBorder="1" applyAlignment="1" applyProtection="1">
      <alignment/>
      <protection hidden="1"/>
    </xf>
    <xf numFmtId="172" fontId="30" fillId="21" borderId="39" xfId="60" applyNumberFormat="1" applyFont="1" applyFill="1" applyBorder="1" applyAlignment="1" applyProtection="1">
      <alignment/>
      <protection hidden="1"/>
    </xf>
    <xf numFmtId="172" fontId="30" fillId="21" borderId="22" xfId="60" applyNumberFormat="1" applyFont="1" applyFill="1" applyBorder="1" applyAlignment="1" applyProtection="1">
      <alignment/>
      <protection hidden="1"/>
    </xf>
    <xf numFmtId="172" fontId="30" fillId="21" borderId="40" xfId="60" applyNumberFormat="1" applyFont="1" applyFill="1" applyBorder="1" applyAlignment="1" applyProtection="1">
      <alignment/>
      <protection hidden="1"/>
    </xf>
    <xf numFmtId="172" fontId="30" fillId="43" borderId="39" xfId="60" applyNumberFormat="1" applyFont="1" applyFill="1" applyBorder="1" applyAlignment="1" applyProtection="1">
      <alignment/>
      <protection hidden="1"/>
    </xf>
    <xf numFmtId="172" fontId="30" fillId="43" borderId="40" xfId="60" applyNumberFormat="1" applyFont="1" applyFill="1" applyBorder="1" applyAlignment="1" applyProtection="1">
      <alignment/>
      <protection hidden="1"/>
    </xf>
    <xf numFmtId="181" fontId="30" fillId="21" borderId="22" xfId="60" applyNumberFormat="1" applyFont="1" applyFill="1" applyBorder="1" applyAlignment="1" applyProtection="1">
      <alignment horizontal="center" wrapText="1"/>
      <protection hidden="1"/>
    </xf>
    <xf numFmtId="181" fontId="30" fillId="21" borderId="14" xfId="60" applyNumberFormat="1" applyFont="1" applyFill="1" applyBorder="1" applyAlignment="1" applyProtection="1">
      <alignment horizontal="center" wrapText="1"/>
      <protection hidden="1"/>
    </xf>
    <xf numFmtId="181" fontId="35" fillId="42" borderId="25" xfId="60" applyNumberFormat="1" applyFont="1" applyFill="1" applyBorder="1" applyAlignment="1" applyProtection="1">
      <alignment horizontal="center" wrapText="1"/>
      <protection hidden="1"/>
    </xf>
    <xf numFmtId="181" fontId="35" fillId="42" borderId="26" xfId="60" applyNumberFormat="1" applyFont="1" applyFill="1" applyBorder="1" applyAlignment="1" applyProtection="1">
      <alignment horizontal="center" wrapText="1"/>
      <protection hidden="1"/>
    </xf>
    <xf numFmtId="172" fontId="30" fillId="43" borderId="22" xfId="60" applyNumberFormat="1" applyFont="1" applyFill="1" applyBorder="1" applyAlignment="1" applyProtection="1">
      <alignment/>
      <protection hidden="1"/>
    </xf>
    <xf numFmtId="181" fontId="30" fillId="44" borderId="23" xfId="60" applyNumberFormat="1" applyFont="1" applyFill="1" applyBorder="1" applyAlignment="1" applyProtection="1">
      <alignment horizontal="left" wrapText="1"/>
      <protection hidden="1"/>
    </xf>
    <xf numFmtId="0" fontId="36" fillId="0" borderId="22" xfId="0" applyFont="1" applyBorder="1" applyAlignment="1">
      <alignment horizontal="center" wrapText="1"/>
    </xf>
    <xf numFmtId="172" fontId="30" fillId="10" borderId="39" xfId="60" applyNumberFormat="1" applyFont="1" applyFill="1" applyBorder="1" applyAlignment="1" applyProtection="1">
      <alignment/>
      <protection hidden="1"/>
    </xf>
    <xf numFmtId="172" fontId="30" fillId="10" borderId="22" xfId="60" applyNumberFormat="1" applyFont="1" applyFill="1" applyBorder="1" applyAlignment="1" applyProtection="1">
      <alignment/>
      <protection hidden="1"/>
    </xf>
    <xf numFmtId="172" fontId="30" fillId="10" borderId="40" xfId="60" applyNumberFormat="1" applyFont="1" applyFill="1" applyBorder="1" applyAlignment="1" applyProtection="1">
      <alignment/>
      <protection hidden="1"/>
    </xf>
    <xf numFmtId="181" fontId="30" fillId="0" borderId="41" xfId="60" applyNumberFormat="1" applyFont="1" applyFill="1" applyBorder="1" applyAlignment="1" applyProtection="1">
      <alignment wrapText="1"/>
      <protection hidden="1"/>
    </xf>
    <xf numFmtId="181" fontId="30" fillId="0" borderId="15" xfId="60" applyNumberFormat="1" applyFont="1" applyFill="1" applyBorder="1" applyAlignment="1" applyProtection="1">
      <alignment wrapText="1"/>
      <protection hidden="1"/>
    </xf>
    <xf numFmtId="181" fontId="30" fillId="0" borderId="60" xfId="60" applyNumberFormat="1" applyFont="1" applyFill="1" applyBorder="1" applyAlignment="1" applyProtection="1">
      <alignment wrapText="1"/>
      <protection hidden="1"/>
    </xf>
    <xf numFmtId="181" fontId="30" fillId="44" borderId="22" xfId="60" applyNumberFormat="1" applyFont="1" applyFill="1" applyBorder="1" applyAlignment="1" applyProtection="1">
      <alignment horizontal="left" wrapText="1"/>
      <protection hidden="1"/>
    </xf>
    <xf numFmtId="181" fontId="30" fillId="0" borderId="40" xfId="60" applyNumberFormat="1" applyFont="1" applyFill="1" applyBorder="1" applyAlignment="1" applyProtection="1">
      <alignment wrapText="1"/>
      <protection hidden="1"/>
    </xf>
    <xf numFmtId="181" fontId="30" fillId="42" borderId="27" xfId="60" applyNumberFormat="1" applyFont="1" applyFill="1" applyBorder="1" applyAlignment="1" applyProtection="1">
      <alignment horizontal="center" wrapText="1"/>
      <protection hidden="1"/>
    </xf>
    <xf numFmtId="181" fontId="30" fillId="44" borderId="69" xfId="60" applyNumberFormat="1" applyFont="1" applyFill="1" applyBorder="1" applyAlignment="1" applyProtection="1">
      <alignment horizontal="left" wrapText="1"/>
      <protection hidden="1"/>
    </xf>
    <xf numFmtId="181" fontId="30" fillId="0" borderId="53" xfId="60" applyNumberFormat="1" applyFont="1" applyFill="1" applyBorder="1" applyAlignment="1" applyProtection="1">
      <alignment horizontal="center" wrapText="1"/>
      <protection hidden="1"/>
    </xf>
    <xf numFmtId="181" fontId="30" fillId="43" borderId="22" xfId="60" applyNumberFormat="1" applyFont="1" applyFill="1" applyBorder="1" applyAlignment="1" applyProtection="1">
      <alignment horizontal="center" wrapText="1"/>
      <protection hidden="1"/>
    </xf>
    <xf numFmtId="181" fontId="30" fillId="0" borderId="39" xfId="60" applyNumberFormat="1" applyFont="1" applyFill="1" applyBorder="1" applyAlignment="1" applyProtection="1">
      <alignment horizontal="left" wrapText="1"/>
      <protection hidden="1"/>
    </xf>
    <xf numFmtId="181" fontId="30" fillId="0" borderId="22" xfId="60" applyNumberFormat="1" applyFont="1" applyFill="1" applyBorder="1" applyAlignment="1" applyProtection="1">
      <alignment horizontal="left" wrapText="1"/>
      <protection hidden="1"/>
    </xf>
    <xf numFmtId="181" fontId="30" fillId="0" borderId="40" xfId="60" applyNumberFormat="1" applyFont="1" applyFill="1" applyBorder="1" applyAlignment="1" applyProtection="1">
      <alignment horizontal="left" wrapText="1"/>
      <protection hidden="1"/>
    </xf>
    <xf numFmtId="181" fontId="30" fillId="0" borderId="65" xfId="60" applyNumberFormat="1" applyFont="1" applyFill="1" applyBorder="1" applyAlignment="1" applyProtection="1">
      <alignment wrapText="1"/>
      <protection hidden="1"/>
    </xf>
    <xf numFmtId="181" fontId="30" fillId="44" borderId="39" xfId="60" applyNumberFormat="1" applyFont="1" applyFill="1" applyBorder="1" applyAlignment="1" applyProtection="1">
      <alignment wrapText="1"/>
      <protection hidden="1"/>
    </xf>
    <xf numFmtId="181" fontId="30" fillId="44" borderId="22" xfId="60" applyNumberFormat="1" applyFont="1" applyFill="1" applyBorder="1" applyAlignment="1" applyProtection="1">
      <alignment wrapText="1"/>
      <protection hidden="1"/>
    </xf>
    <xf numFmtId="181" fontId="30" fillId="44" borderId="40" xfId="60" applyNumberFormat="1" applyFont="1" applyFill="1" applyBorder="1" applyAlignment="1" applyProtection="1">
      <alignment wrapText="1"/>
      <protection hidden="1"/>
    </xf>
    <xf numFmtId="3" fontId="30" fillId="0" borderId="39" xfId="60" applyNumberFormat="1" applyFont="1" applyFill="1" applyBorder="1" applyAlignment="1" applyProtection="1">
      <alignment wrapText="1"/>
      <protection hidden="1"/>
    </xf>
    <xf numFmtId="3" fontId="30" fillId="0" borderId="22" xfId="60" applyNumberFormat="1" applyFont="1" applyFill="1" applyBorder="1" applyAlignment="1" applyProtection="1">
      <alignment wrapText="1"/>
      <protection hidden="1"/>
    </xf>
    <xf numFmtId="3" fontId="30" fillId="0" borderId="14" xfId="60" applyNumberFormat="1" applyFont="1" applyFill="1" applyBorder="1" applyAlignment="1" applyProtection="1">
      <alignment wrapText="1"/>
      <protection hidden="1"/>
    </xf>
    <xf numFmtId="0" fontId="29" fillId="0" borderId="29" xfId="60" applyNumberFormat="1" applyFont="1" applyFill="1" applyBorder="1" applyAlignment="1" applyProtection="1">
      <alignment horizontal="center" vertical="center" wrapText="1"/>
      <protection hidden="1"/>
    </xf>
    <xf numFmtId="0" fontId="29" fillId="0" borderId="35" xfId="60" applyNumberFormat="1" applyFont="1" applyFill="1" applyBorder="1" applyAlignment="1" applyProtection="1">
      <alignment horizontal="center" vertical="center" wrapText="1"/>
      <protection hidden="1"/>
    </xf>
    <xf numFmtId="0" fontId="31" fillId="43" borderId="21" xfId="62" applyNumberFormat="1" applyFont="1" applyFill="1" applyBorder="1" applyAlignment="1" applyProtection="1">
      <alignment horizontal="left" wrapText="1"/>
      <protection hidden="1"/>
    </xf>
    <xf numFmtId="0" fontId="31" fillId="43" borderId="22" xfId="62" applyNumberFormat="1" applyFont="1" applyFill="1" applyBorder="1" applyAlignment="1" applyProtection="1">
      <alignment horizontal="left" wrapText="1"/>
      <protection hidden="1"/>
    </xf>
    <xf numFmtId="0" fontId="31" fillId="43" borderId="14" xfId="62" applyNumberFormat="1" applyFont="1" applyFill="1" applyBorder="1" applyAlignment="1" applyProtection="1">
      <alignment horizontal="left" wrapText="1"/>
      <protection hidden="1"/>
    </xf>
    <xf numFmtId="181" fontId="30" fillId="43" borderId="41" xfId="60" applyNumberFormat="1" applyFont="1" applyFill="1" applyBorder="1" applyAlignment="1" applyProtection="1">
      <alignment wrapText="1"/>
      <protection hidden="1"/>
    </xf>
    <xf numFmtId="181" fontId="30" fillId="43" borderId="15" xfId="60" applyNumberFormat="1" applyFont="1" applyFill="1" applyBorder="1" applyAlignment="1" applyProtection="1">
      <alignment wrapText="1"/>
      <protection hidden="1"/>
    </xf>
    <xf numFmtId="181" fontId="30" fillId="43" borderId="65" xfId="60" applyNumberFormat="1" applyFont="1" applyFill="1" applyBorder="1" applyAlignment="1" applyProtection="1">
      <alignment wrapText="1"/>
      <protection hidden="1"/>
    </xf>
    <xf numFmtId="4" fontId="2" fillId="40" borderId="21" xfId="60" applyNumberFormat="1" applyFill="1" applyBorder="1" applyAlignment="1" applyProtection="1">
      <alignment horizontal="center"/>
      <protection hidden="1"/>
    </xf>
    <xf numFmtId="4" fontId="2" fillId="40" borderId="22" xfId="60" applyNumberFormat="1" applyFill="1" applyBorder="1" applyAlignment="1" applyProtection="1">
      <alignment horizontal="center"/>
      <protection hidden="1"/>
    </xf>
    <xf numFmtId="4" fontId="2" fillId="40" borderId="14" xfId="60" applyNumberFormat="1" applyFill="1" applyBorder="1" applyAlignment="1" applyProtection="1">
      <alignment horizontal="center"/>
      <protection hidden="1"/>
    </xf>
    <xf numFmtId="4" fontId="2" fillId="40" borderId="0" xfId="60" applyNumberFormat="1" applyFill="1" applyAlignment="1" applyProtection="1">
      <alignment horizontal="center"/>
      <protection hidden="1"/>
    </xf>
    <xf numFmtId="0" fontId="29" fillId="34" borderId="28" xfId="60" applyNumberFormat="1" applyFont="1" applyFill="1" applyBorder="1" applyAlignment="1" applyProtection="1">
      <alignment horizontal="center"/>
      <protection hidden="1"/>
    </xf>
    <xf numFmtId="0" fontId="29" fillId="34" borderId="33" xfId="60" applyNumberFormat="1" applyFont="1" applyFill="1" applyBorder="1" applyAlignment="1" applyProtection="1">
      <alignment horizontal="center"/>
      <protection hidden="1"/>
    </xf>
    <xf numFmtId="0" fontId="29" fillId="0" borderId="70" xfId="60" applyNumberFormat="1" applyFont="1" applyFill="1" applyBorder="1" applyAlignment="1" applyProtection="1">
      <alignment horizontal="center" vertical="center" wrapText="1"/>
      <protection hidden="1"/>
    </xf>
    <xf numFmtId="4" fontId="2" fillId="12" borderId="15" xfId="60" applyNumberFormat="1" applyFill="1" applyBorder="1" applyAlignment="1" applyProtection="1">
      <alignment horizontal="center"/>
      <protection hidden="1"/>
    </xf>
    <xf numFmtId="4" fontId="2" fillId="12" borderId="0" xfId="60" applyNumberFormat="1" applyFill="1" applyBorder="1" applyAlignment="1" applyProtection="1">
      <alignment horizontal="center"/>
      <protection hidden="1"/>
    </xf>
    <xf numFmtId="0" fontId="2" fillId="13" borderId="0" xfId="60" applyFill="1" applyAlignment="1" applyProtection="1">
      <alignment horizontal="center"/>
      <protection hidden="1"/>
    </xf>
    <xf numFmtId="0" fontId="2" fillId="12" borderId="13" xfId="60" applyFont="1" applyFill="1" applyBorder="1" applyAlignment="1" applyProtection="1">
      <alignment horizontal="center"/>
      <protection hidden="1"/>
    </xf>
    <xf numFmtId="4" fontId="2" fillId="40" borderId="13" xfId="60" applyNumberFormat="1" applyFont="1" applyFill="1" applyBorder="1" applyAlignment="1" applyProtection="1">
      <alignment horizontal="center"/>
      <protection hidden="1"/>
    </xf>
    <xf numFmtId="4" fontId="2" fillId="40" borderId="13" xfId="60" applyNumberFormat="1" applyFill="1" applyBorder="1" applyAlignment="1" applyProtection="1">
      <alignment horizontal="center"/>
      <protection hidden="1"/>
    </xf>
    <xf numFmtId="181" fontId="35" fillId="44" borderId="22" xfId="60" applyNumberFormat="1" applyFont="1" applyFill="1" applyBorder="1" applyAlignment="1" applyProtection="1">
      <alignment horizontal="center" wrapText="1"/>
      <protection hidden="1"/>
    </xf>
    <xf numFmtId="181" fontId="35" fillId="42" borderId="22" xfId="60" applyNumberFormat="1" applyFont="1" applyFill="1" applyBorder="1" applyAlignment="1" applyProtection="1">
      <alignment horizontal="center" wrapText="1"/>
      <protection hidden="1"/>
    </xf>
    <xf numFmtId="172" fontId="30" fillId="45" borderId="39" xfId="60" applyNumberFormat="1" applyFont="1" applyFill="1" applyBorder="1" applyAlignment="1" applyProtection="1">
      <alignment/>
      <protection hidden="1"/>
    </xf>
    <xf numFmtId="172" fontId="30" fillId="45" borderId="22" xfId="60" applyNumberFormat="1" applyFont="1" applyFill="1" applyBorder="1" applyAlignment="1" applyProtection="1">
      <alignment/>
      <protection hidden="1"/>
    </xf>
    <xf numFmtId="172" fontId="30" fillId="45" borderId="40" xfId="60" applyNumberFormat="1" applyFont="1" applyFill="1" applyBorder="1" applyAlignment="1" applyProtection="1">
      <alignment/>
      <protection hidden="1"/>
    </xf>
    <xf numFmtId="4" fontId="23" fillId="0" borderId="19" xfId="60" applyNumberFormat="1" applyFont="1" applyFill="1" applyBorder="1" applyAlignment="1" applyProtection="1">
      <alignment horizontal="center" wrapText="1"/>
      <protection hidden="1"/>
    </xf>
    <xf numFmtId="4" fontId="23" fillId="0" borderId="12" xfId="60" applyNumberFormat="1" applyFont="1" applyFill="1" applyBorder="1" applyAlignment="1" applyProtection="1">
      <alignment horizontal="center" wrapText="1"/>
      <protection hidden="1"/>
    </xf>
    <xf numFmtId="177" fontId="15" fillId="33" borderId="0" xfId="53" applyNumberFormat="1" applyFont="1" applyFill="1" applyAlignment="1">
      <alignment wrapText="1"/>
      <protection/>
    </xf>
    <xf numFmtId="0" fontId="17" fillId="33" borderId="0" xfId="53" applyFont="1" applyFill="1" applyAlignment="1">
      <alignment horizont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3" xfId="56"/>
    <cellStyle name="Обычный 2 3 2" xfId="57"/>
    <cellStyle name="Обычный 3" xfId="58"/>
    <cellStyle name="Обычный 4" xfId="59"/>
    <cellStyle name="Обычный_tmp" xfId="60"/>
    <cellStyle name="Обычный_Tmp1" xfId="61"/>
    <cellStyle name="Обычный_Tmp2" xfId="62"/>
    <cellStyle name="Обычный_Tmp5"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ena\Downloads\&#1047;&#1072;&#1081;&#1094;&#1077;&#1074;&#1072;%20&#1056;&#1077;&#1095;&#1082;&#1072;\&#1074;&#1085;&#1077;&#1089;.%20&#1080;&#1079;%20&#1074;%20&#1073;&#1102;&#1076;&#1078;&#1077;&#1090;\7.%20&#1056;&#1072;&#1089;&#1087;&#1088;.&#1073;&#1102;&#1076;&#1078;.&#1072;&#1089;&#1089;&#1080;&#1075;&#1085;.&#1087;&#1086;%20&#1094;&#1077;&#1083;.&#1089;&#1090;.(&#1052;&#105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arus\buh_new\0%20&#1040;&#1075;&#1072;&#1085;\&#1055;&#1088;&#1086;&#1077;&#1082;&#1090;%20&#1074;%20&#1086;&#1082;&#1088;&#1091;&#1075;\1.5%20&#1087;&#1088;&#1080;&#1083;&#1086;&#1078;&#1077;&#1085;&#1080;&#1077;%205%20%20&#1042;&#1077;&#1076;&#1086;&#1084;&#1089;&#1090;&#1074;&#1077;&#1085;&#1085;&#1072;&#1103;%20&#1089;&#1090;&#1088;&#1091;&#1082;&#1090;&#1091;&#1088;&#1072;%20&#1088;&#1072;&#1089;&#1093;&#1086;&#1076;&#1086;&#1074;%20&#1073;&#1102;&#1076;&#1078;&#1077;&#1090;&#1072;%20&#1085;&#1072;2019-2021&#1075;&#1075;%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88;&#1072;&#1073;&#1086;&#1095;&#1080;&#1081;%20&#1089;&#1090;&#1086;&#1083;%20!!!\&#1041;&#1070;&#1044;&#1046;&#1045;&#1058;&#1067;\&#1042;&#1077;&#1076;&#1077;&#1085;&#1080;&#1077;%20&#1089;&#1084;&#1077;&#1090;\&#1073;&#1102;&#1076;&#1078;&#1077;&#1090;&#1085;&#1072;&#1103;%20&#1089;&#1084;&#1077;&#1090;&#1072;%20&#1085;&#1072;%202019-22&#1075;\2020&#1075;\&#1041;&#1102;&#1076;&#1078;&#1077;&#1090;&#1085;&#1072;&#1103;%20&#1089;&#1084;&#1077;&#1090;&#1072;%20&#1085;&#1072;%202019-22&#1075;&#10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88;&#1072;&#1073;&#1086;&#1095;&#1080;&#1081;%20&#1089;&#1090;&#1086;&#1083;%20!!!\&#1041;&#1070;&#1044;&#1046;&#1045;&#1058;&#1067;\&#1041;&#1102;&#1076;&#1078;&#1077;&#1090;%20&#1085;&#1072;%202020-2022&#1075;&#1075;\&#1073;&#1102;&#1076;&#1078;&#1077;&#1090;%202020%20-2022&#1075;&#1075;\&#1041;&#1102;&#1076;&#1078;&#1077;&#1090;%20&#1085;&#1072;%202020&#1075;\1.5%20&#1087;&#1088;&#1080;&#1083;&#1086;&#1078;&#1077;&#1085;&#1080;&#1077;%205.%20&#1042;&#1077;&#1076;&#1086;&#1084;&#1089;&#1090;&#1074;&#1077;&#1085;&#1085;&#1072;&#1103;%20&#1089;&#1090;&#1088;&#1091;&#1082;&#1090;&#1091;&#1088;&#1072;%20&#1088;&#1072;&#1089;&#1093;&#1086;&#1076;&#1086;&#1074;%20&#1073;&#1102;&#1076;&#1078;&#1077;&#1090;&#1072;%20&#1085;&#1072;%202020-2022%20&#1075;&#1086;&#1076;&#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СЫЛ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5"/>
    </sheetNames>
    <sheetDataSet>
      <sheetData sheetId="0">
        <row r="141">
          <cell r="A141" t="str">
            <v>Муниципальная программа "Жилищно-коммунальный комплекс и городская среда в сельском поселении Зайцева Речка"</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0"/>
      <sheetName val="2021"/>
      <sheetName val="2022"/>
      <sheetName val="расноска в урм 20-22гг"/>
    </sheetNames>
    <sheetDataSet>
      <sheetData sheetId="0">
        <row r="73">
          <cell r="L73">
            <v>27374857.6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иложение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F90"/>
  <sheetViews>
    <sheetView view="pageBreakPreview" zoomScale="60" workbookViewId="0" topLeftCell="A7">
      <selection activeCell="B34" sqref="B34"/>
    </sheetView>
  </sheetViews>
  <sheetFormatPr defaultColWidth="8.00390625" defaultRowHeight="15"/>
  <cols>
    <col min="1" max="1" width="53.28125" style="743" customWidth="1"/>
    <col min="2" max="3" width="5.8515625" style="743" customWidth="1"/>
    <col min="4" max="4" width="19.00390625" style="930" customWidth="1"/>
    <col min="5" max="6" width="15.28125" style="930" customWidth="1"/>
    <col min="7" max="7" width="10.140625" style="743" bestFit="1" customWidth="1"/>
    <col min="8" max="16384" width="8.00390625" style="743" customWidth="1"/>
  </cols>
  <sheetData>
    <row r="1" spans="1:6" ht="16.5" customHeight="1">
      <c r="A1" s="741"/>
      <c r="B1" s="742"/>
      <c r="E1" s="931" t="s">
        <v>742</v>
      </c>
      <c r="F1" s="931"/>
    </row>
    <row r="2" spans="1:6" ht="14.25" customHeight="1">
      <c r="A2" s="741"/>
      <c r="B2" s="742"/>
      <c r="E2" s="931" t="s">
        <v>450</v>
      </c>
      <c r="F2" s="931"/>
    </row>
    <row r="3" spans="1:6" ht="13.5" customHeight="1">
      <c r="A3" s="741"/>
      <c r="B3" s="742"/>
      <c r="E3" s="1317" t="s">
        <v>740</v>
      </c>
      <c r="F3" s="1317"/>
    </row>
    <row r="4" spans="1:4" ht="5.25" customHeight="1">
      <c r="A4" s="741"/>
      <c r="B4" s="741"/>
      <c r="C4" s="741"/>
      <c r="D4" s="932"/>
    </row>
    <row r="5" spans="1:4" ht="18" customHeight="1">
      <c r="A5" s="741"/>
      <c r="B5" s="741"/>
      <c r="C5" s="741"/>
      <c r="D5" s="932"/>
    </row>
    <row r="6" spans="1:6" ht="16.5" customHeight="1">
      <c r="A6" s="741"/>
      <c r="B6" s="742"/>
      <c r="E6" s="931" t="s">
        <v>446</v>
      </c>
      <c r="F6" s="931"/>
    </row>
    <row r="7" spans="1:6" ht="14.25" customHeight="1">
      <c r="A7" s="741"/>
      <c r="B7" s="742"/>
      <c r="E7" s="931" t="s">
        <v>450</v>
      </c>
      <c r="F7" s="931"/>
    </row>
    <row r="8" spans="1:6" ht="13.5" customHeight="1">
      <c r="A8" s="741"/>
      <c r="B8" s="742"/>
      <c r="E8" s="1317" t="s">
        <v>723</v>
      </c>
      <c r="F8" s="1317"/>
    </row>
    <row r="9" spans="1:4" ht="5.25" customHeight="1">
      <c r="A9" s="741"/>
      <c r="B9" s="741"/>
      <c r="C9" s="741"/>
      <c r="D9" s="932"/>
    </row>
    <row r="10" spans="1:6" s="745" customFormat="1" ht="54" customHeight="1">
      <c r="A10" s="1318" t="s">
        <v>739</v>
      </c>
      <c r="B10" s="1318"/>
      <c r="C10" s="1318"/>
      <c r="D10" s="1318"/>
      <c r="E10" s="933"/>
      <c r="F10" s="933"/>
    </row>
    <row r="11" spans="1:6" s="745" customFormat="1" ht="11.25" customHeight="1">
      <c r="A11" s="744"/>
      <c r="B11" s="744"/>
      <c r="C11" s="744"/>
      <c r="D11" s="934"/>
      <c r="E11" s="933"/>
      <c r="F11" s="934" t="s">
        <v>447</v>
      </c>
    </row>
    <row r="12" spans="1:3" ht="2.25" customHeight="1">
      <c r="A12" s="746"/>
      <c r="B12" s="747"/>
      <c r="C12" s="747"/>
    </row>
    <row r="13" spans="1:6" ht="18.75" customHeight="1">
      <c r="A13" s="1319" t="s">
        <v>30</v>
      </c>
      <c r="B13" s="1321" t="s">
        <v>420</v>
      </c>
      <c r="C13" s="1321" t="s">
        <v>421</v>
      </c>
      <c r="D13" s="1323" t="s">
        <v>83</v>
      </c>
      <c r="E13" s="1323" t="s">
        <v>465</v>
      </c>
      <c r="F13" s="1323" t="s">
        <v>570</v>
      </c>
    </row>
    <row r="14" spans="1:6" ht="16.5" customHeight="1">
      <c r="A14" s="1320"/>
      <c r="B14" s="1322"/>
      <c r="C14" s="1322"/>
      <c r="D14" s="1324"/>
      <c r="E14" s="1324"/>
      <c r="F14" s="1324"/>
    </row>
    <row r="15" spans="1:6" ht="13.5" customHeight="1" thickBot="1">
      <c r="A15" s="748">
        <v>1</v>
      </c>
      <c r="B15" s="749">
        <v>2</v>
      </c>
      <c r="C15" s="749">
        <v>3</v>
      </c>
      <c r="D15" s="1256">
        <v>4</v>
      </c>
      <c r="E15" s="1256">
        <v>5</v>
      </c>
      <c r="F15" s="1256">
        <v>6</v>
      </c>
    </row>
    <row r="16" spans="1:6" ht="13.5" customHeight="1" thickBot="1">
      <c r="A16" s="750" t="s">
        <v>423</v>
      </c>
      <c r="B16" s="751">
        <v>0</v>
      </c>
      <c r="C16" s="752">
        <v>0</v>
      </c>
      <c r="D16" s="1260">
        <f>D52</f>
        <v>61324.09307946544</v>
      </c>
      <c r="E16" s="1260">
        <f>E52</f>
        <v>55766.2</v>
      </c>
      <c r="F16" s="1260">
        <f>F52</f>
        <v>50330.6</v>
      </c>
    </row>
    <row r="17" spans="1:6" s="755" customFormat="1" ht="15" customHeight="1">
      <c r="A17" s="753" t="s">
        <v>424</v>
      </c>
      <c r="B17" s="754">
        <v>1</v>
      </c>
      <c r="C17" s="754">
        <v>0</v>
      </c>
      <c r="D17" s="1261">
        <f>D18+D19+D20+D23+D24</f>
        <v>17432.59307946544</v>
      </c>
      <c r="E17" s="1261">
        <f>E18+E19+E20+E23+E24</f>
        <v>16321.9</v>
      </c>
      <c r="F17" s="1261">
        <f>F18+F19+F20+F23+F24</f>
        <v>18418.7</v>
      </c>
    </row>
    <row r="18" spans="1:6" s="756" customFormat="1" ht="27" customHeight="1">
      <c r="A18" s="703" t="s">
        <v>425</v>
      </c>
      <c r="B18" s="707">
        <v>1</v>
      </c>
      <c r="C18" s="707">
        <v>2</v>
      </c>
      <c r="D18" s="1262">
        <v>1418.6</v>
      </c>
      <c r="E18" s="1262">
        <v>1418.6</v>
      </c>
      <c r="F18" s="1262">
        <v>1418.6</v>
      </c>
    </row>
    <row r="19" spans="1:6" s="756" customFormat="1" ht="63.75" customHeight="1" hidden="1">
      <c r="A19" s="703" t="s">
        <v>15</v>
      </c>
      <c r="B19" s="707">
        <v>1</v>
      </c>
      <c r="C19" s="707">
        <v>3</v>
      </c>
      <c r="D19" s="1262"/>
      <c r="E19" s="1262"/>
      <c r="F19" s="1262"/>
    </row>
    <row r="20" spans="1:6" s="756" customFormat="1" ht="51" customHeight="1">
      <c r="A20" s="703" t="s">
        <v>426</v>
      </c>
      <c r="B20" s="707">
        <v>1</v>
      </c>
      <c r="C20" s="707">
        <v>4</v>
      </c>
      <c r="D20" s="1262">
        <v>6766.988998604</v>
      </c>
      <c r="E20" s="1262">
        <v>6448.5</v>
      </c>
      <c r="F20" s="1262">
        <v>6621.6</v>
      </c>
    </row>
    <row r="21" spans="1:6" s="756" customFormat="1" ht="15.75" customHeight="1" hidden="1">
      <c r="A21" s="703"/>
      <c r="B21" s="707"/>
      <c r="C21" s="707"/>
      <c r="D21" s="1262"/>
      <c r="E21" s="1262"/>
      <c r="F21" s="1262"/>
    </row>
    <row r="22" spans="1:6" s="756" customFormat="1" ht="14.25" customHeight="1" hidden="1">
      <c r="A22" s="703"/>
      <c r="B22" s="707"/>
      <c r="C22" s="707"/>
      <c r="D22" s="1262"/>
      <c r="E22" s="1262"/>
      <c r="F22" s="1262"/>
    </row>
    <row r="23" spans="1:6" s="756" customFormat="1" ht="20.25" customHeight="1">
      <c r="A23" s="703" t="s">
        <v>13</v>
      </c>
      <c r="B23" s="707">
        <v>1</v>
      </c>
      <c r="C23" s="707">
        <v>11</v>
      </c>
      <c r="D23" s="1262">
        <v>10</v>
      </c>
      <c r="E23" s="1262">
        <v>10</v>
      </c>
      <c r="F23" s="1262">
        <v>10</v>
      </c>
    </row>
    <row r="24" spans="1:6" s="756" customFormat="1" ht="24" customHeight="1">
      <c r="A24" s="703" t="s">
        <v>12</v>
      </c>
      <c r="B24" s="707">
        <v>1</v>
      </c>
      <c r="C24" s="707">
        <v>13</v>
      </c>
      <c r="D24" s="1262">
        <v>9237.00408086144</v>
      </c>
      <c r="E24" s="1262">
        <v>8444.8</v>
      </c>
      <c r="F24" s="1262">
        <v>10368.5</v>
      </c>
    </row>
    <row r="25" spans="1:6" s="758" customFormat="1" ht="17.25" customHeight="1">
      <c r="A25" s="708" t="s">
        <v>427</v>
      </c>
      <c r="B25" s="757">
        <v>2</v>
      </c>
      <c r="C25" s="757">
        <v>0</v>
      </c>
      <c r="D25" s="1263">
        <f>D26</f>
        <v>219</v>
      </c>
      <c r="E25" s="1263">
        <f>E26</f>
        <v>221.1</v>
      </c>
      <c r="F25" s="1263">
        <f>F26</f>
        <v>227.6</v>
      </c>
    </row>
    <row r="26" spans="1:6" s="756" customFormat="1" ht="17.25" customHeight="1">
      <c r="A26" s="703" t="s">
        <v>11</v>
      </c>
      <c r="B26" s="707">
        <v>2</v>
      </c>
      <c r="C26" s="707">
        <v>3</v>
      </c>
      <c r="D26" s="1262">
        <v>219</v>
      </c>
      <c r="E26" s="1262">
        <v>221.1</v>
      </c>
      <c r="F26" s="1262">
        <v>227.6</v>
      </c>
    </row>
    <row r="27" spans="1:6" s="755" customFormat="1" ht="17.25" customHeight="1">
      <c r="A27" s="699" t="s">
        <v>428</v>
      </c>
      <c r="B27" s="759">
        <v>3</v>
      </c>
      <c r="C27" s="759">
        <v>0</v>
      </c>
      <c r="D27" s="1264">
        <f>D29+D28+D30</f>
        <v>1350.6999999999998</v>
      </c>
      <c r="E27" s="1264">
        <f>E29+E28+E30</f>
        <v>1161.6000000000001</v>
      </c>
      <c r="F27" s="1264">
        <f>F29+F28+F30</f>
        <v>1161.6000000000001</v>
      </c>
    </row>
    <row r="28" spans="1:6" s="756" customFormat="1" ht="17.25" customHeight="1">
      <c r="A28" s="703" t="s">
        <v>19</v>
      </c>
      <c r="B28" s="707">
        <v>3</v>
      </c>
      <c r="C28" s="707">
        <v>4</v>
      </c>
      <c r="D28" s="1262">
        <v>7</v>
      </c>
      <c r="E28" s="1262">
        <v>7</v>
      </c>
      <c r="F28" s="1262">
        <v>7</v>
      </c>
    </row>
    <row r="29" spans="1:6" s="756" customFormat="1" ht="36" customHeight="1">
      <c r="A29" s="760" t="s">
        <v>429</v>
      </c>
      <c r="B29" s="707">
        <v>3</v>
      </c>
      <c r="C29" s="707">
        <v>9</v>
      </c>
      <c r="D29" s="1262">
        <v>1316.6</v>
      </c>
      <c r="E29" s="1262">
        <v>1127.4</v>
      </c>
      <c r="F29" s="1262">
        <v>1127.4</v>
      </c>
    </row>
    <row r="30" spans="1:6" s="756" customFormat="1" ht="26.25" customHeight="1">
      <c r="A30" s="703" t="s">
        <v>18</v>
      </c>
      <c r="B30" s="707">
        <v>3</v>
      </c>
      <c r="C30" s="707">
        <v>14</v>
      </c>
      <c r="D30" s="1262">
        <v>27.1</v>
      </c>
      <c r="E30" s="1262">
        <v>27.2</v>
      </c>
      <c r="F30" s="1262">
        <v>27.2</v>
      </c>
    </row>
    <row r="31" spans="1:6" s="755" customFormat="1" ht="18.75" customHeight="1">
      <c r="A31" s="699" t="s">
        <v>431</v>
      </c>
      <c r="B31" s="759">
        <v>4</v>
      </c>
      <c r="C31" s="759">
        <v>0</v>
      </c>
      <c r="D31" s="1264">
        <f>D34+D32+D35+D36+D33</f>
        <v>9634</v>
      </c>
      <c r="E31" s="1264">
        <f>E34+E32+E35+E36</f>
        <v>16969.3</v>
      </c>
      <c r="F31" s="1264">
        <f>F34</f>
        <v>9141.9</v>
      </c>
    </row>
    <row r="32" spans="1:6" s="756" customFormat="1" ht="18.75" customHeight="1">
      <c r="A32" s="703" t="s">
        <v>448</v>
      </c>
      <c r="B32" s="707">
        <v>4</v>
      </c>
      <c r="C32" s="707">
        <v>1</v>
      </c>
      <c r="D32" s="1262">
        <v>347.5</v>
      </c>
      <c r="E32" s="1262">
        <v>0</v>
      </c>
      <c r="F32" s="1262">
        <v>0</v>
      </c>
    </row>
    <row r="33" spans="1:6" s="756" customFormat="1" ht="18.75" customHeight="1">
      <c r="A33" s="703" t="s">
        <v>738</v>
      </c>
      <c r="B33" s="707">
        <v>4</v>
      </c>
      <c r="C33" s="707">
        <v>5</v>
      </c>
      <c r="D33" s="1262">
        <v>57.3</v>
      </c>
      <c r="E33" s="1262">
        <v>0</v>
      </c>
      <c r="F33" s="1262">
        <v>0</v>
      </c>
    </row>
    <row r="34" spans="1:6" s="756" customFormat="1" ht="18.75" customHeight="1">
      <c r="A34" s="703" t="s">
        <v>433</v>
      </c>
      <c r="B34" s="707">
        <v>4</v>
      </c>
      <c r="C34" s="707">
        <v>9</v>
      </c>
      <c r="D34" s="1262">
        <v>8740.1</v>
      </c>
      <c r="E34" s="1262">
        <v>14369.3</v>
      </c>
      <c r="F34" s="1265">
        <v>9141.9</v>
      </c>
    </row>
    <row r="35" spans="1:6" s="756" customFormat="1" ht="18.75" customHeight="1">
      <c r="A35" s="703" t="s">
        <v>434</v>
      </c>
      <c r="B35" s="707">
        <v>4</v>
      </c>
      <c r="C35" s="707">
        <v>10</v>
      </c>
      <c r="D35" s="1262">
        <v>155.2</v>
      </c>
      <c r="E35" s="1262">
        <v>0</v>
      </c>
      <c r="F35" s="1262">
        <v>0</v>
      </c>
    </row>
    <row r="36" spans="1:6" s="756" customFormat="1" ht="18.75" customHeight="1">
      <c r="A36" s="703" t="s">
        <v>25</v>
      </c>
      <c r="B36" s="707">
        <v>4</v>
      </c>
      <c r="C36" s="707">
        <v>12</v>
      </c>
      <c r="D36" s="1262">
        <v>333.9</v>
      </c>
      <c r="E36" s="1262">
        <v>2600</v>
      </c>
      <c r="F36" s="1262">
        <v>0</v>
      </c>
    </row>
    <row r="37" spans="1:6" s="755" customFormat="1" ht="18.75" customHeight="1">
      <c r="A37" s="699" t="s">
        <v>435</v>
      </c>
      <c r="B37" s="759">
        <v>5</v>
      </c>
      <c r="C37" s="759">
        <v>0</v>
      </c>
      <c r="D37" s="1264">
        <f>D38+D39+D42</f>
        <v>22816.8</v>
      </c>
      <c r="E37" s="1264">
        <f>E38+E39+E42</f>
        <v>11031.2</v>
      </c>
      <c r="F37" s="1264">
        <f>F38+F39+F42</f>
        <v>11319.7</v>
      </c>
    </row>
    <row r="38" spans="1:6" s="755" customFormat="1" ht="18.75" customHeight="1">
      <c r="A38" s="715" t="s">
        <v>9</v>
      </c>
      <c r="B38" s="761">
        <v>5</v>
      </c>
      <c r="C38" s="761">
        <v>1</v>
      </c>
      <c r="D38" s="1266">
        <v>3538.3</v>
      </c>
      <c r="E38" s="1266">
        <v>1957.2</v>
      </c>
      <c r="F38" s="1266">
        <v>2035.5</v>
      </c>
    </row>
    <row r="39" spans="1:6" s="755" customFormat="1" ht="18.75" customHeight="1">
      <c r="A39" s="715" t="s">
        <v>26</v>
      </c>
      <c r="B39" s="761">
        <v>5</v>
      </c>
      <c r="C39" s="761">
        <v>2</v>
      </c>
      <c r="D39" s="1266">
        <v>12785.5</v>
      </c>
      <c r="E39" s="1266">
        <v>8254</v>
      </c>
      <c r="F39" s="1266">
        <v>8254</v>
      </c>
    </row>
    <row r="40" spans="1:6" s="756" customFormat="1" ht="18.75" customHeight="1" hidden="1">
      <c r="A40" s="719"/>
      <c r="B40" s="721"/>
      <c r="C40" s="721"/>
      <c r="D40" s="1267"/>
      <c r="E40" s="1267"/>
      <c r="F40" s="1267"/>
    </row>
    <row r="41" spans="1:6" s="756" customFormat="1" ht="18.75" customHeight="1" hidden="1">
      <c r="A41" s="719"/>
      <c r="B41" s="721"/>
      <c r="C41" s="721"/>
      <c r="D41" s="1267"/>
      <c r="E41" s="1267"/>
      <c r="F41" s="1267"/>
    </row>
    <row r="42" spans="1:6" s="756" customFormat="1" ht="18.75" customHeight="1">
      <c r="A42" s="715" t="s">
        <v>8</v>
      </c>
      <c r="B42" s="761">
        <v>5</v>
      </c>
      <c r="C42" s="761">
        <v>3</v>
      </c>
      <c r="D42" s="1268">
        <v>6493</v>
      </c>
      <c r="E42" s="1268">
        <v>820</v>
      </c>
      <c r="F42" s="1265">
        <v>1030.2</v>
      </c>
    </row>
    <row r="43" spans="1:6" s="756" customFormat="1" ht="18.75" customHeight="1">
      <c r="A43" s="708" t="s">
        <v>545</v>
      </c>
      <c r="B43" s="759">
        <v>6</v>
      </c>
      <c r="C43" s="759">
        <v>0</v>
      </c>
      <c r="D43" s="1264">
        <f>D44</f>
        <v>85</v>
      </c>
      <c r="E43" s="1264">
        <f>E44</f>
        <v>0.4</v>
      </c>
      <c r="F43" s="1264">
        <f>F44</f>
        <v>0.4</v>
      </c>
    </row>
    <row r="44" spans="1:6" s="756" customFormat="1" ht="18.75" customHeight="1">
      <c r="A44" s="715" t="s">
        <v>544</v>
      </c>
      <c r="B44" s="761">
        <v>6</v>
      </c>
      <c r="C44" s="761">
        <v>5</v>
      </c>
      <c r="D44" s="1266">
        <v>85</v>
      </c>
      <c r="E44" s="1266">
        <v>0.4</v>
      </c>
      <c r="F44" s="1266">
        <v>0.4</v>
      </c>
    </row>
    <row r="45" spans="1:6" s="755" customFormat="1" ht="18.75" customHeight="1">
      <c r="A45" s="699" t="s">
        <v>441</v>
      </c>
      <c r="B45" s="759">
        <v>8</v>
      </c>
      <c r="C45" s="759">
        <v>0</v>
      </c>
      <c r="D45" s="1264">
        <f>D46+D47</f>
        <v>9134.1</v>
      </c>
      <c r="E45" s="1264">
        <f>E46+E47</f>
        <v>9293</v>
      </c>
      <c r="F45" s="1264">
        <f>F46+F47</f>
        <v>9293</v>
      </c>
    </row>
    <row r="46" spans="1:6" s="756" customFormat="1" ht="18.75" customHeight="1">
      <c r="A46" s="703" t="s">
        <v>7</v>
      </c>
      <c r="B46" s="707">
        <v>8</v>
      </c>
      <c r="C46" s="707">
        <v>1</v>
      </c>
      <c r="D46" s="1262">
        <v>8456.6</v>
      </c>
      <c r="E46" s="1262">
        <v>8615.5</v>
      </c>
      <c r="F46" s="1262">
        <v>8615.5</v>
      </c>
    </row>
    <row r="47" spans="1:6" s="756" customFormat="1" ht="18.75" customHeight="1">
      <c r="A47" s="703" t="s">
        <v>6</v>
      </c>
      <c r="B47" s="707">
        <v>8</v>
      </c>
      <c r="C47" s="707">
        <v>2</v>
      </c>
      <c r="D47" s="1262">
        <v>677.5</v>
      </c>
      <c r="E47" s="1262">
        <v>677.5</v>
      </c>
      <c r="F47" s="1262">
        <v>677.5</v>
      </c>
    </row>
    <row r="48" spans="1:6" s="755" customFormat="1" ht="18.75" customHeight="1">
      <c r="A48" s="724" t="s">
        <v>442</v>
      </c>
      <c r="B48" s="762" t="s">
        <v>92</v>
      </c>
      <c r="C48" s="763">
        <v>0</v>
      </c>
      <c r="D48" s="1264">
        <f>D49</f>
        <v>210</v>
      </c>
      <c r="E48" s="1264">
        <f>E49</f>
        <v>360</v>
      </c>
      <c r="F48" s="1264">
        <f>F49</f>
        <v>360</v>
      </c>
    </row>
    <row r="49" spans="1:6" s="756" customFormat="1" ht="18.75" customHeight="1">
      <c r="A49" s="726" t="s">
        <v>2</v>
      </c>
      <c r="B49" s="764" t="s">
        <v>92</v>
      </c>
      <c r="C49" s="764" t="s">
        <v>88</v>
      </c>
      <c r="D49" s="1269">
        <v>210</v>
      </c>
      <c r="E49" s="1265">
        <v>360</v>
      </c>
      <c r="F49" s="1265">
        <v>360</v>
      </c>
    </row>
    <row r="50" spans="1:6" s="756" customFormat="1" ht="18.75" customHeight="1">
      <c r="A50" s="699" t="s">
        <v>443</v>
      </c>
      <c r="B50" s="763">
        <v>11</v>
      </c>
      <c r="C50" s="763">
        <v>0</v>
      </c>
      <c r="D50" s="1264">
        <f>D51</f>
        <v>441.9</v>
      </c>
      <c r="E50" s="1264">
        <f>E51</f>
        <v>407.7</v>
      </c>
      <c r="F50" s="1264">
        <f>F51</f>
        <v>407.7</v>
      </c>
    </row>
    <row r="51" spans="1:6" s="756" customFormat="1" ht="18.75" customHeight="1" thickBot="1">
      <c r="A51" s="731" t="s">
        <v>4</v>
      </c>
      <c r="B51" s="765">
        <v>11</v>
      </c>
      <c r="C51" s="765">
        <v>1</v>
      </c>
      <c r="D51" s="1270">
        <v>441.9</v>
      </c>
      <c r="E51" s="1270">
        <v>407.7</v>
      </c>
      <c r="F51" s="1270">
        <v>407.7</v>
      </c>
    </row>
    <row r="52" spans="1:6" s="756" customFormat="1" ht="21" customHeight="1" thickBot="1">
      <c r="A52" s="766" t="s">
        <v>444</v>
      </c>
      <c r="B52" s="736"/>
      <c r="C52" s="767"/>
      <c r="D52" s="1260">
        <f>D50+D48+D45+D37+D31+D27+D25+D17+D43</f>
        <v>61324.09307946544</v>
      </c>
      <c r="E52" s="1260">
        <f>E50+E48+E45+E37+E31+E27+E25+E17+E43</f>
        <v>55766.2</v>
      </c>
      <c r="F52" s="1260">
        <f>F50+F48+F45+F37+F31+F27+F25+F17+F43</f>
        <v>50330.6</v>
      </c>
    </row>
    <row r="53" spans="1:4" ht="15" customHeight="1" hidden="1">
      <c r="A53" s="769"/>
      <c r="B53" s="770"/>
      <c r="C53" s="770"/>
      <c r="D53" s="936"/>
    </row>
    <row r="54" spans="1:4" ht="15.75" customHeight="1" hidden="1">
      <c r="A54" s="769"/>
      <c r="B54" s="770"/>
      <c r="C54" s="770"/>
      <c r="D54" s="936"/>
    </row>
    <row r="55" spans="1:4" ht="10.5" customHeight="1">
      <c r="A55" s="769"/>
      <c r="B55" s="770"/>
      <c r="C55" s="770"/>
      <c r="D55" s="936"/>
    </row>
    <row r="56" spans="1:6" ht="12.75" hidden="1">
      <c r="A56" s="768"/>
      <c r="B56" s="768"/>
      <c r="C56" s="768"/>
      <c r="D56" s="935">
        <v>45175.646</v>
      </c>
      <c r="E56" s="930">
        <v>55766.244</v>
      </c>
      <c r="F56" s="930">
        <v>50330.575</v>
      </c>
    </row>
    <row r="57" spans="1:6" ht="12.75">
      <c r="A57" s="768"/>
      <c r="B57" s="768"/>
      <c r="C57" s="768"/>
      <c r="D57" s="935"/>
      <c r="E57" s="935"/>
      <c r="F57" s="935"/>
    </row>
    <row r="58" spans="1:4" ht="16.5" customHeight="1" hidden="1" thickBot="1">
      <c r="A58" s="769"/>
      <c r="B58" s="770"/>
      <c r="C58" s="770"/>
      <c r="D58" s="937"/>
    </row>
    <row r="59" spans="1:4" ht="20.25" customHeight="1" hidden="1">
      <c r="A59" s="769"/>
      <c r="B59" s="770"/>
      <c r="C59" s="770"/>
      <c r="D59" s="937"/>
    </row>
    <row r="60" spans="1:4" ht="21" customHeight="1" hidden="1">
      <c r="A60" s="769"/>
      <c r="B60" s="770"/>
      <c r="C60" s="770"/>
      <c r="D60" s="937"/>
    </row>
    <row r="61" spans="1:4" ht="12.75">
      <c r="A61" s="768"/>
      <c r="B61" s="768"/>
      <c r="C61" s="768"/>
      <c r="D61" s="935"/>
    </row>
    <row r="62" spans="1:4" ht="12.75">
      <c r="A62" s="768"/>
      <c r="B62" s="768"/>
      <c r="C62" s="768"/>
      <c r="D62" s="935"/>
    </row>
    <row r="63" spans="1:4" ht="12.75">
      <c r="A63" s="768"/>
      <c r="B63" s="768"/>
      <c r="C63" s="768"/>
      <c r="D63" s="935"/>
    </row>
    <row r="64" spans="1:4" ht="12.75">
      <c r="A64" s="768"/>
      <c r="B64" s="768"/>
      <c r="C64" s="768"/>
      <c r="D64" s="935"/>
    </row>
    <row r="74" spans="1:4" ht="12.75">
      <c r="A74" s="768"/>
      <c r="B74" s="768"/>
      <c r="C74" s="768"/>
      <c r="D74" s="935"/>
    </row>
    <row r="75" spans="1:6" s="771" customFormat="1" ht="1.5" customHeight="1">
      <c r="A75" s="769"/>
      <c r="B75" s="770"/>
      <c r="C75" s="770"/>
      <c r="D75" s="937"/>
      <c r="E75" s="938"/>
      <c r="F75" s="938"/>
    </row>
    <row r="76" spans="1:4" ht="15" customHeight="1" hidden="1">
      <c r="A76" s="769"/>
      <c r="B76" s="770"/>
      <c r="C76" s="770"/>
      <c r="D76" s="936"/>
    </row>
    <row r="77" spans="1:4" ht="17.25" customHeight="1" hidden="1">
      <c r="A77" s="769"/>
      <c r="B77" s="770"/>
      <c r="C77" s="770"/>
      <c r="D77" s="936"/>
    </row>
    <row r="78" spans="1:4" ht="19.5" customHeight="1" hidden="1">
      <c r="A78" s="769"/>
      <c r="B78" s="770"/>
      <c r="C78" s="770"/>
      <c r="D78" s="936"/>
    </row>
    <row r="79" spans="1:4" ht="19.5" customHeight="1" hidden="1">
      <c r="A79" s="769"/>
      <c r="B79" s="770"/>
      <c r="C79" s="770"/>
      <c r="D79" s="936"/>
    </row>
    <row r="80" spans="1:4" ht="27" customHeight="1" hidden="1">
      <c r="A80" s="769"/>
      <c r="B80" s="770"/>
      <c r="C80" s="770"/>
      <c r="D80" s="936"/>
    </row>
    <row r="81" spans="1:6" s="771" customFormat="1" ht="15" hidden="1">
      <c r="A81" s="772"/>
      <c r="B81" s="773"/>
      <c r="C81" s="773"/>
      <c r="D81" s="939"/>
      <c r="E81" s="938"/>
      <c r="F81" s="938"/>
    </row>
    <row r="82" spans="1:4" ht="21" customHeight="1" hidden="1">
      <c r="A82" s="774"/>
      <c r="B82" s="770"/>
      <c r="C82" s="770"/>
      <c r="D82" s="936"/>
    </row>
    <row r="83" spans="1:4" ht="57.75" customHeight="1" hidden="1">
      <c r="A83" s="769"/>
      <c r="B83" s="770"/>
      <c r="C83" s="770"/>
      <c r="D83" s="936"/>
    </row>
    <row r="84" spans="1:4" ht="19.5" customHeight="1" hidden="1">
      <c r="A84" s="769"/>
      <c r="B84" s="770"/>
      <c r="C84" s="770"/>
      <c r="D84" s="936"/>
    </row>
    <row r="85" spans="1:4" ht="10.5" customHeight="1">
      <c r="A85" s="769"/>
      <c r="B85" s="770"/>
      <c r="C85" s="770"/>
      <c r="D85" s="936"/>
    </row>
    <row r="87" spans="1:3" ht="12.75">
      <c r="A87" s="775"/>
      <c r="B87" s="775"/>
      <c r="C87" s="775"/>
    </row>
    <row r="88" spans="1:3" ht="15">
      <c r="A88" s="774"/>
      <c r="B88" s="770"/>
      <c r="C88" s="770"/>
    </row>
    <row r="89" spans="1:3" ht="15">
      <c r="A89" s="772"/>
      <c r="B89" s="768"/>
      <c r="C89" s="768"/>
    </row>
    <row r="90" spans="1:3" ht="15">
      <c r="A90" s="769"/>
      <c r="B90" s="768"/>
      <c r="C90" s="768"/>
    </row>
  </sheetData>
  <sheetProtection/>
  <mergeCells count="9">
    <mergeCell ref="E3:F3"/>
    <mergeCell ref="E8:F8"/>
    <mergeCell ref="A10:D10"/>
    <mergeCell ref="A13:A14"/>
    <mergeCell ref="B13:B14"/>
    <mergeCell ref="C13:C14"/>
    <mergeCell ref="D13:D14"/>
    <mergeCell ref="E13:E14"/>
    <mergeCell ref="F13:F14"/>
  </mergeCells>
  <printOptions/>
  <pageMargins left="0.2362204724409449" right="0" top="0.1968503937007874" bottom="0.15748031496062992"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H237"/>
  <sheetViews>
    <sheetView tabSelected="1" view="pageBreakPreview" zoomScaleSheetLayoutView="100" zoomScalePageLayoutView="0" workbookViewId="0" topLeftCell="A1">
      <selection activeCell="AG182" sqref="AG182"/>
    </sheetView>
  </sheetViews>
  <sheetFormatPr defaultColWidth="9.140625" defaultRowHeight="15"/>
  <cols>
    <col min="1" max="1" width="9.140625" style="1246" customWidth="1"/>
    <col min="2" max="3" width="9.140625" style="1167" customWidth="1"/>
    <col min="4" max="4" width="27.57421875" style="1167" customWidth="1"/>
    <col min="5" max="5" width="2.00390625" style="1167" hidden="1" customWidth="1"/>
    <col min="6" max="6" width="9.140625" style="877" hidden="1" customWidth="1"/>
    <col min="7" max="7" width="0.5625" style="877" hidden="1" customWidth="1"/>
    <col min="8" max="8" width="9.140625" style="877" hidden="1" customWidth="1"/>
    <col min="9" max="9" width="9.7109375" style="877" hidden="1" customWidth="1"/>
    <col min="10" max="10" width="3.8515625" style="877" customWidth="1"/>
    <col min="11" max="11" width="3.57421875" style="877" customWidth="1"/>
    <col min="12" max="12" width="13.7109375" style="877" customWidth="1"/>
    <col min="13" max="13" width="7.8515625" style="1172" customWidth="1"/>
    <col min="14" max="14" width="11.421875" style="877" customWidth="1"/>
    <col min="15" max="15" width="10.421875" style="877" bestFit="1" customWidth="1"/>
    <col min="16" max="16" width="9.57421875" style="877" customWidth="1"/>
    <col min="17" max="17" width="10.421875" style="877" bestFit="1" customWidth="1"/>
    <col min="18" max="18" width="8.8515625" style="877" customWidth="1"/>
    <col min="19" max="19" width="10.421875" style="877" bestFit="1" customWidth="1"/>
    <col min="20" max="20" width="0" style="877" hidden="1" customWidth="1"/>
    <col min="21" max="21" width="17.140625" style="1247" hidden="1" customWidth="1"/>
    <col min="22" max="22" width="16.28125" style="877" hidden="1" customWidth="1"/>
    <col min="23" max="23" width="15.00390625" style="877" hidden="1" customWidth="1"/>
    <col min="24" max="24" width="12.7109375" style="877" hidden="1" customWidth="1"/>
    <col min="25" max="31" width="0" style="877" hidden="1" customWidth="1"/>
    <col min="32" max="16384" width="9.140625" style="877" customWidth="1"/>
  </cols>
  <sheetData>
    <row r="1" spans="4:19" ht="25.5" customHeight="1">
      <c r="D1" s="1168"/>
      <c r="E1" s="1169"/>
      <c r="F1" s="1170"/>
      <c r="G1" s="908"/>
      <c r="H1" s="908"/>
      <c r="I1" s="1171"/>
      <c r="P1" s="1173" t="s">
        <v>743</v>
      </c>
      <c r="Q1" s="1173"/>
      <c r="R1" s="1173"/>
      <c r="S1" s="1173"/>
    </row>
    <row r="2" spans="4:19" ht="14.25">
      <c r="D2" s="1174"/>
      <c r="I2" s="1171"/>
      <c r="P2" s="1173" t="s">
        <v>450</v>
      </c>
      <c r="Q2" s="1173"/>
      <c r="R2" s="1173"/>
      <c r="S2" s="1173"/>
    </row>
    <row r="3" spans="1:21" s="1181" customFormat="1" ht="15" customHeight="1">
      <c r="A3" s="1246"/>
      <c r="B3" s="1167"/>
      <c r="C3" s="1167"/>
      <c r="D3" s="1175"/>
      <c r="E3" s="1167"/>
      <c r="F3" s="877"/>
      <c r="G3" s="877"/>
      <c r="H3" s="877"/>
      <c r="I3" s="1171"/>
      <c r="J3" s="877"/>
      <c r="K3" s="877"/>
      <c r="L3" s="1176"/>
      <c r="M3" s="1177"/>
      <c r="N3" s="1178"/>
      <c r="O3" s="1179"/>
      <c r="P3" s="1180" t="s">
        <v>737</v>
      </c>
      <c r="Q3" s="1180"/>
      <c r="R3" s="1180"/>
      <c r="S3" s="1180"/>
      <c r="U3" s="1248"/>
    </row>
    <row r="4" spans="1:21" s="1181" customFormat="1" ht="15" customHeight="1">
      <c r="A4" s="1246"/>
      <c r="B4" s="1167"/>
      <c r="C4" s="1167"/>
      <c r="D4" s="1175"/>
      <c r="E4" s="1167"/>
      <c r="F4" s="877"/>
      <c r="G4" s="877"/>
      <c r="H4" s="877"/>
      <c r="I4" s="1171"/>
      <c r="J4" s="877"/>
      <c r="K4" s="877"/>
      <c r="L4" s="1176"/>
      <c r="M4" s="1177"/>
      <c r="N4" s="1178"/>
      <c r="O4" s="1179"/>
      <c r="P4" s="1180"/>
      <c r="Q4" s="1180"/>
      <c r="R4" s="1180"/>
      <c r="S4" s="1180"/>
      <c r="U4" s="1248"/>
    </row>
    <row r="5" spans="4:19" ht="25.5" customHeight="1">
      <c r="D5" s="1168"/>
      <c r="E5" s="1169"/>
      <c r="F5" s="1170"/>
      <c r="G5" s="908"/>
      <c r="H5" s="908"/>
      <c r="I5" s="1171"/>
      <c r="P5" s="1173" t="s">
        <v>449</v>
      </c>
      <c r="Q5" s="1173"/>
      <c r="R5" s="1173"/>
      <c r="S5" s="1173"/>
    </row>
    <row r="6" spans="4:19" ht="14.25">
      <c r="D6" s="1174"/>
      <c r="I6" s="1171"/>
      <c r="P6" s="1173" t="s">
        <v>450</v>
      </c>
      <c r="Q6" s="1173"/>
      <c r="R6" s="1173"/>
      <c r="S6" s="1173"/>
    </row>
    <row r="7" spans="1:21" s="1181" customFormat="1" ht="15" customHeight="1">
      <c r="A7" s="1246"/>
      <c r="B7" s="1167"/>
      <c r="C7" s="1167"/>
      <c r="D7" s="1175"/>
      <c r="E7" s="1167"/>
      <c r="F7" s="877"/>
      <c r="G7" s="877"/>
      <c r="H7" s="877"/>
      <c r="I7" s="1171"/>
      <c r="J7" s="877"/>
      <c r="K7" s="877"/>
      <c r="L7" s="1176"/>
      <c r="M7" s="1177"/>
      <c r="N7" s="1178"/>
      <c r="O7" s="1179"/>
      <c r="P7" s="1180" t="s">
        <v>723</v>
      </c>
      <c r="Q7" s="1180"/>
      <c r="R7" s="1180"/>
      <c r="S7" s="1180"/>
      <c r="U7" s="1248"/>
    </row>
    <row r="8" spans="1:21" s="1181" customFormat="1" ht="18" customHeight="1">
      <c r="A8" s="1346" t="s">
        <v>724</v>
      </c>
      <c r="B8" s="1346"/>
      <c r="C8" s="1346"/>
      <c r="D8" s="1346"/>
      <c r="E8" s="1346"/>
      <c r="F8" s="1346"/>
      <c r="G8" s="1346"/>
      <c r="H8" s="1346"/>
      <c r="I8" s="1346"/>
      <c r="J8" s="1346"/>
      <c r="K8" s="1346"/>
      <c r="L8" s="1346"/>
      <c r="M8" s="1346"/>
      <c r="N8" s="1346"/>
      <c r="O8" s="1346"/>
      <c r="P8" s="1347"/>
      <c r="Q8" s="1347"/>
      <c r="R8" s="1347"/>
      <c r="S8" s="1347"/>
      <c r="U8" s="1248"/>
    </row>
    <row r="9" spans="1:21" s="1181" customFormat="1" ht="42" customHeight="1">
      <c r="A9" s="1346"/>
      <c r="B9" s="1346"/>
      <c r="C9" s="1346"/>
      <c r="D9" s="1346"/>
      <c r="E9" s="1346"/>
      <c r="F9" s="1346"/>
      <c r="G9" s="1346"/>
      <c r="H9" s="1346"/>
      <c r="I9" s="1346"/>
      <c r="J9" s="1346"/>
      <c r="K9" s="1346"/>
      <c r="L9" s="1346"/>
      <c r="M9" s="1346"/>
      <c r="N9" s="1346"/>
      <c r="O9" s="1346"/>
      <c r="P9" s="1347"/>
      <c r="Q9" s="1347"/>
      <c r="R9" s="1347"/>
      <c r="S9" s="1347"/>
      <c r="U9" s="1248"/>
    </row>
    <row r="10" spans="1:19" ht="14.25">
      <c r="A10" s="1348" t="s">
        <v>30</v>
      </c>
      <c r="B10" s="1348"/>
      <c r="C10" s="1348"/>
      <c r="D10" s="1348"/>
      <c r="E10" s="1348"/>
      <c r="F10" s="1348"/>
      <c r="G10" s="1348"/>
      <c r="H10" s="1182"/>
      <c r="I10" s="1348" t="s">
        <v>81</v>
      </c>
      <c r="J10" s="1349"/>
      <c r="K10" s="1349"/>
      <c r="L10" s="1349"/>
      <c r="M10" s="1349"/>
      <c r="N10" s="1350" t="s">
        <v>83</v>
      </c>
      <c r="O10" s="1350" t="s">
        <v>82</v>
      </c>
      <c r="P10" s="1350" t="s">
        <v>465</v>
      </c>
      <c r="Q10" s="1350" t="s">
        <v>82</v>
      </c>
      <c r="R10" s="1350" t="s">
        <v>570</v>
      </c>
      <c r="S10" s="1350" t="s">
        <v>82</v>
      </c>
    </row>
    <row r="11" spans="1:19" ht="15" customHeight="1">
      <c r="A11" s="1348"/>
      <c r="B11" s="1348"/>
      <c r="C11" s="1348"/>
      <c r="D11" s="1348"/>
      <c r="E11" s="1348"/>
      <c r="F11" s="1348"/>
      <c r="G11" s="1348"/>
      <c r="H11" s="1182"/>
      <c r="I11" s="1348" t="s">
        <v>84</v>
      </c>
      <c r="J11" s="1349"/>
      <c r="K11" s="1349"/>
      <c r="L11" s="1349"/>
      <c r="M11" s="1349"/>
      <c r="N11" s="1350"/>
      <c r="O11" s="1350"/>
      <c r="P11" s="1350"/>
      <c r="Q11" s="1350"/>
      <c r="R11" s="1350"/>
      <c r="S11" s="1350"/>
    </row>
    <row r="12" spans="1:19" ht="42" customHeight="1">
      <c r="A12" s="1348"/>
      <c r="B12" s="1348"/>
      <c r="C12" s="1348"/>
      <c r="D12" s="1348"/>
      <c r="E12" s="1348"/>
      <c r="F12" s="1348"/>
      <c r="G12" s="1348"/>
      <c r="H12" s="1182"/>
      <c r="I12" s="1243" t="s">
        <v>17</v>
      </c>
      <c r="J12" s="1243" t="s">
        <v>27</v>
      </c>
      <c r="K12" s="1243" t="s">
        <v>28</v>
      </c>
      <c r="L12" s="1243" t="s">
        <v>86</v>
      </c>
      <c r="M12" s="1243" t="s">
        <v>87</v>
      </c>
      <c r="N12" s="1350"/>
      <c r="O12" s="1350"/>
      <c r="P12" s="1350"/>
      <c r="Q12" s="1350"/>
      <c r="R12" s="1350"/>
      <c r="S12" s="1350"/>
    </row>
    <row r="13" spans="1:22" ht="14.25">
      <c r="A13" s="1351">
        <v>1</v>
      </c>
      <c r="B13" s="1351"/>
      <c r="C13" s="1351"/>
      <c r="D13" s="1351"/>
      <c r="E13" s="1183"/>
      <c r="F13" s="1184"/>
      <c r="G13" s="1184"/>
      <c r="H13" s="1184"/>
      <c r="I13" s="1185">
        <v>2</v>
      </c>
      <c r="J13" s="1185">
        <v>3</v>
      </c>
      <c r="K13" s="1185">
        <v>4</v>
      </c>
      <c r="L13" s="1185">
        <v>5</v>
      </c>
      <c r="M13" s="1185">
        <v>6</v>
      </c>
      <c r="N13" s="1185">
        <v>7</v>
      </c>
      <c r="O13" s="1185">
        <v>8</v>
      </c>
      <c r="P13" s="1185">
        <v>9</v>
      </c>
      <c r="Q13" s="1185">
        <v>10</v>
      </c>
      <c r="R13" s="1185">
        <v>11</v>
      </c>
      <c r="S13" s="1185">
        <v>12</v>
      </c>
      <c r="V13" s="877">
        <v>61324.03262946544</v>
      </c>
    </row>
    <row r="14" spans="1:33" s="1190" customFormat="1" ht="31.5" customHeight="1">
      <c r="A14" s="1352" t="s">
        <v>445</v>
      </c>
      <c r="B14" s="1352"/>
      <c r="C14" s="1352"/>
      <c r="D14" s="1352"/>
      <c r="E14" s="1352"/>
      <c r="F14" s="1352"/>
      <c r="G14" s="1352"/>
      <c r="H14" s="1352"/>
      <c r="I14" s="1238">
        <v>656</v>
      </c>
      <c r="J14" s="1186"/>
      <c r="K14" s="1186"/>
      <c r="L14" s="1187"/>
      <c r="M14" s="1188"/>
      <c r="N14" s="1189">
        <f aca="true" t="shared" si="0" ref="N14:S14">N15+N59+N68+N102+N133+N201+N221+N228+N190</f>
        <v>61324.07933946545</v>
      </c>
      <c r="O14" s="1189">
        <f t="shared" si="0"/>
        <v>226</v>
      </c>
      <c r="P14" s="1189">
        <f t="shared" si="0"/>
        <v>55766.176</v>
      </c>
      <c r="Q14" s="1189">
        <f t="shared" si="0"/>
        <v>228.1</v>
      </c>
      <c r="R14" s="1189">
        <f t="shared" si="0"/>
        <v>50330.575999999994</v>
      </c>
      <c r="S14" s="1189">
        <f t="shared" si="0"/>
        <v>234.6</v>
      </c>
      <c r="T14" s="1190">
        <v>45175.6</v>
      </c>
      <c r="U14" s="1249">
        <v>61324.17975946544</v>
      </c>
      <c r="V14" s="1271">
        <f>61324080.4094654/1000</f>
        <v>61324.0804094654</v>
      </c>
      <c r="W14" s="1271">
        <v>55766244</v>
      </c>
      <c r="X14" s="1271">
        <v>50330575</v>
      </c>
      <c r="AG14" s="1190">
        <v>61324.07933946545</v>
      </c>
    </row>
    <row r="15" spans="1:22" s="1190" customFormat="1" ht="18.75" customHeight="1">
      <c r="A15" s="1352" t="s">
        <v>20</v>
      </c>
      <c r="B15" s="1352"/>
      <c r="C15" s="1352"/>
      <c r="D15" s="1352"/>
      <c r="E15" s="1352"/>
      <c r="F15" s="1352"/>
      <c r="G15" s="1352"/>
      <c r="H15" s="1352"/>
      <c r="I15" s="1238">
        <v>656</v>
      </c>
      <c r="J15" s="1186">
        <v>1</v>
      </c>
      <c r="K15" s="1186"/>
      <c r="L15" s="1187"/>
      <c r="M15" s="1188"/>
      <c r="N15" s="1191">
        <f aca="true" t="shared" si="1" ref="N15:S15">N16+N21+N31+N37</f>
        <v>17432.59307946544</v>
      </c>
      <c r="O15" s="1191">
        <f t="shared" si="1"/>
        <v>0</v>
      </c>
      <c r="P15" s="1191">
        <f t="shared" si="1"/>
        <v>16321.9</v>
      </c>
      <c r="Q15" s="1191">
        <f t="shared" si="1"/>
        <v>0</v>
      </c>
      <c r="R15" s="1191">
        <f t="shared" si="1"/>
        <v>18418.7</v>
      </c>
      <c r="S15" s="1191">
        <f t="shared" si="1"/>
        <v>0</v>
      </c>
      <c r="T15" s="1192"/>
      <c r="U15" s="1249">
        <v>17432.59766946544</v>
      </c>
      <c r="V15" s="1192">
        <f>N14-V14</f>
        <v>-0.0010699999547796324</v>
      </c>
    </row>
    <row r="16" spans="1:21" s="1190" customFormat="1" ht="38.25" customHeight="1">
      <c r="A16" s="1353" t="s">
        <v>16</v>
      </c>
      <c r="B16" s="1353"/>
      <c r="C16" s="1353"/>
      <c r="D16" s="1353"/>
      <c r="E16" s="1353"/>
      <c r="F16" s="1353"/>
      <c r="G16" s="1353"/>
      <c r="H16" s="1353"/>
      <c r="I16" s="1238">
        <v>656</v>
      </c>
      <c r="J16" s="1186">
        <v>1</v>
      </c>
      <c r="K16" s="1186">
        <v>2</v>
      </c>
      <c r="L16" s="1187"/>
      <c r="M16" s="1188"/>
      <c r="N16" s="1191">
        <f>N17</f>
        <v>1418.6</v>
      </c>
      <c r="O16" s="1191">
        <f aca="true" t="shared" si="2" ref="O16:S19">O17</f>
        <v>0</v>
      </c>
      <c r="P16" s="1191">
        <f>P17</f>
        <v>1418.6</v>
      </c>
      <c r="Q16" s="1191">
        <f t="shared" si="2"/>
        <v>0</v>
      </c>
      <c r="R16" s="1191">
        <f t="shared" si="2"/>
        <v>1418.6</v>
      </c>
      <c r="S16" s="1191">
        <f t="shared" si="2"/>
        <v>0</v>
      </c>
      <c r="U16" s="1249">
        <v>1418.6</v>
      </c>
    </row>
    <row r="17" spans="1:21" s="1198" customFormat="1" ht="45" customHeight="1">
      <c r="A17" s="1354" t="s">
        <v>484</v>
      </c>
      <c r="B17" s="1355"/>
      <c r="C17" s="1355"/>
      <c r="D17" s="1356"/>
      <c r="E17" s="1193"/>
      <c r="F17" s="1193"/>
      <c r="G17" s="1193"/>
      <c r="H17" s="1193"/>
      <c r="I17" s="1193">
        <v>656</v>
      </c>
      <c r="J17" s="1194">
        <v>1</v>
      </c>
      <c r="K17" s="1194">
        <v>2</v>
      </c>
      <c r="L17" s="1195" t="s">
        <v>63</v>
      </c>
      <c r="M17" s="1196"/>
      <c r="N17" s="1197">
        <f>N18</f>
        <v>1418.6</v>
      </c>
      <c r="O17" s="1197">
        <f t="shared" si="2"/>
        <v>0</v>
      </c>
      <c r="P17" s="1197">
        <f t="shared" si="2"/>
        <v>1418.6</v>
      </c>
      <c r="Q17" s="1197">
        <f t="shared" si="2"/>
        <v>0</v>
      </c>
      <c r="R17" s="1197">
        <f t="shared" si="2"/>
        <v>1418.6</v>
      </c>
      <c r="S17" s="1197">
        <f t="shared" si="2"/>
        <v>0</v>
      </c>
      <c r="U17" s="1250">
        <v>1418.6</v>
      </c>
    </row>
    <row r="18" spans="1:21" s="1190" customFormat="1" ht="47.25" customHeight="1">
      <c r="A18" s="1357" t="s">
        <v>635</v>
      </c>
      <c r="B18" s="1357"/>
      <c r="C18" s="1357"/>
      <c r="D18" s="1357"/>
      <c r="E18" s="1357"/>
      <c r="F18" s="1357"/>
      <c r="G18" s="1357"/>
      <c r="H18" s="1357"/>
      <c r="I18" s="1239">
        <v>656</v>
      </c>
      <c r="J18" s="1199">
        <v>1</v>
      </c>
      <c r="K18" s="1199">
        <v>2</v>
      </c>
      <c r="L18" s="968" t="s">
        <v>486</v>
      </c>
      <c r="M18" s="1200"/>
      <c r="N18" s="1201">
        <f>N19</f>
        <v>1418.6</v>
      </c>
      <c r="O18" s="1201">
        <f t="shared" si="2"/>
        <v>0</v>
      </c>
      <c r="P18" s="1201">
        <f t="shared" si="2"/>
        <v>1418.6</v>
      </c>
      <c r="Q18" s="1201">
        <f t="shared" si="2"/>
        <v>0</v>
      </c>
      <c r="R18" s="1201">
        <f t="shared" si="2"/>
        <v>1418.6</v>
      </c>
      <c r="S18" s="1201">
        <f t="shared" si="2"/>
        <v>0</v>
      </c>
      <c r="U18" s="1249">
        <v>1418.6</v>
      </c>
    </row>
    <row r="19" spans="1:21" s="1190" customFormat="1" ht="60.75" customHeight="1">
      <c r="A19" s="1357" t="s">
        <v>636</v>
      </c>
      <c r="B19" s="1357"/>
      <c r="C19" s="1357"/>
      <c r="D19" s="1357"/>
      <c r="E19" s="1357"/>
      <c r="F19" s="1357"/>
      <c r="G19" s="1357"/>
      <c r="H19" s="1357"/>
      <c r="I19" s="1239">
        <v>656</v>
      </c>
      <c r="J19" s="1199">
        <v>1</v>
      </c>
      <c r="K19" s="1199">
        <v>2</v>
      </c>
      <c r="L19" s="968" t="s">
        <v>486</v>
      </c>
      <c r="M19" s="1200">
        <v>100</v>
      </c>
      <c r="N19" s="1201">
        <f>N20</f>
        <v>1418.6</v>
      </c>
      <c r="O19" s="1201">
        <f t="shared" si="2"/>
        <v>0</v>
      </c>
      <c r="P19" s="1201">
        <f t="shared" si="2"/>
        <v>1418.6</v>
      </c>
      <c r="Q19" s="1201">
        <f t="shared" si="2"/>
        <v>0</v>
      </c>
      <c r="R19" s="1201">
        <f t="shared" si="2"/>
        <v>1418.6</v>
      </c>
      <c r="S19" s="1201">
        <f t="shared" si="2"/>
        <v>0</v>
      </c>
      <c r="U19" s="1249">
        <v>1418.6</v>
      </c>
    </row>
    <row r="20" spans="1:21" s="1190" customFormat="1" ht="27.75" customHeight="1">
      <c r="A20" s="1357" t="s">
        <v>64</v>
      </c>
      <c r="B20" s="1357"/>
      <c r="C20" s="1357"/>
      <c r="D20" s="1357"/>
      <c r="E20" s="1357"/>
      <c r="F20" s="1357"/>
      <c r="G20" s="1357"/>
      <c r="H20" s="1357"/>
      <c r="I20" s="1239">
        <v>656</v>
      </c>
      <c r="J20" s="1199">
        <v>1</v>
      </c>
      <c r="K20" s="1199">
        <v>2</v>
      </c>
      <c r="L20" s="968" t="s">
        <v>486</v>
      </c>
      <c r="M20" s="1200">
        <v>120</v>
      </c>
      <c r="N20" s="1201">
        <v>1418.6</v>
      </c>
      <c r="O20" s="1201">
        <v>0</v>
      </c>
      <c r="P20" s="1201">
        <v>1418.6</v>
      </c>
      <c r="Q20" s="1201">
        <v>0</v>
      </c>
      <c r="R20" s="1201">
        <v>1418.6</v>
      </c>
      <c r="S20" s="1201">
        <v>0</v>
      </c>
      <c r="U20" s="1249">
        <v>1418.6</v>
      </c>
    </row>
    <row r="21" spans="1:21" s="1190" customFormat="1" ht="42.75" customHeight="1">
      <c r="A21" s="1353" t="s">
        <v>14</v>
      </c>
      <c r="B21" s="1353"/>
      <c r="C21" s="1353"/>
      <c r="D21" s="1353"/>
      <c r="E21" s="1353"/>
      <c r="F21" s="1353"/>
      <c r="G21" s="1353"/>
      <c r="H21" s="1353"/>
      <c r="I21" s="1238">
        <v>656</v>
      </c>
      <c r="J21" s="1186">
        <v>1</v>
      </c>
      <c r="K21" s="1186">
        <v>4</v>
      </c>
      <c r="L21" s="1187"/>
      <c r="M21" s="1188"/>
      <c r="N21" s="1191">
        <f aca="true" t="shared" si="3" ref="N21:S21">N22</f>
        <v>6766.988998604</v>
      </c>
      <c r="O21" s="1191">
        <f t="shared" si="3"/>
        <v>0</v>
      </c>
      <c r="P21" s="1191">
        <f t="shared" si="3"/>
        <v>6448.5</v>
      </c>
      <c r="Q21" s="1191">
        <f t="shared" si="3"/>
        <v>0</v>
      </c>
      <c r="R21" s="1191">
        <f t="shared" si="3"/>
        <v>6621.6</v>
      </c>
      <c r="S21" s="1191">
        <f t="shared" si="3"/>
        <v>0</v>
      </c>
      <c r="U21" s="1249">
        <v>6766.988998604</v>
      </c>
    </row>
    <row r="22" spans="1:21" s="1190" customFormat="1" ht="45.75" customHeight="1">
      <c r="A22" s="1358" t="s">
        <v>484</v>
      </c>
      <c r="B22" s="1358"/>
      <c r="C22" s="1358"/>
      <c r="D22" s="1358"/>
      <c r="E22" s="1240"/>
      <c r="F22" s="1240"/>
      <c r="G22" s="1240"/>
      <c r="H22" s="1240"/>
      <c r="I22" s="1240">
        <v>656</v>
      </c>
      <c r="J22" s="1202">
        <v>1</v>
      </c>
      <c r="K22" s="1202">
        <v>4</v>
      </c>
      <c r="L22" s="1203" t="s">
        <v>63</v>
      </c>
      <c r="M22" s="1204"/>
      <c r="N22" s="1205">
        <f aca="true" t="shared" si="4" ref="N22:S24">N23+N27</f>
        <v>6766.988998604</v>
      </c>
      <c r="O22" s="1205">
        <f t="shared" si="4"/>
        <v>0</v>
      </c>
      <c r="P22" s="1205">
        <f t="shared" si="4"/>
        <v>6448.5</v>
      </c>
      <c r="Q22" s="1205">
        <f t="shared" si="4"/>
        <v>0</v>
      </c>
      <c r="R22" s="1205">
        <f t="shared" si="4"/>
        <v>6621.6</v>
      </c>
      <c r="S22" s="1205">
        <f t="shared" si="4"/>
        <v>0</v>
      </c>
      <c r="U22" s="1249">
        <v>6766.988998604</v>
      </c>
    </row>
    <row r="23" spans="1:21" s="1190" customFormat="1" ht="70.5" customHeight="1">
      <c r="A23" s="1334" t="s">
        <v>635</v>
      </c>
      <c r="B23" s="1335"/>
      <c r="C23" s="1335"/>
      <c r="D23" s="1336"/>
      <c r="E23" s="1206">
        <v>656</v>
      </c>
      <c r="F23" s="1199">
        <v>1</v>
      </c>
      <c r="G23" s="1199">
        <v>4</v>
      </c>
      <c r="H23" s="1207" t="s">
        <v>485</v>
      </c>
      <c r="I23" s="1239"/>
      <c r="J23" s="1199">
        <v>1</v>
      </c>
      <c r="K23" s="1199">
        <v>4</v>
      </c>
      <c r="L23" s="968" t="s">
        <v>485</v>
      </c>
      <c r="M23" s="1200"/>
      <c r="N23" s="1201">
        <f>N24</f>
        <v>6555.588998604</v>
      </c>
      <c r="O23" s="1201">
        <f t="shared" si="4"/>
        <v>0</v>
      </c>
      <c r="P23" s="1201">
        <f t="shared" si="4"/>
        <v>6448.5</v>
      </c>
      <c r="Q23" s="1201">
        <f t="shared" si="4"/>
        <v>0</v>
      </c>
      <c r="R23" s="1201">
        <f t="shared" si="4"/>
        <v>6621.6</v>
      </c>
      <c r="S23" s="1201">
        <f t="shared" si="4"/>
        <v>0</v>
      </c>
      <c r="U23" s="1249">
        <v>6555.588998604</v>
      </c>
    </row>
    <row r="24" spans="1:21" s="1190" customFormat="1" ht="83.25" customHeight="1">
      <c r="A24" s="1334" t="s">
        <v>637</v>
      </c>
      <c r="B24" s="1335"/>
      <c r="C24" s="1335"/>
      <c r="D24" s="1335"/>
      <c r="E24" s="1335"/>
      <c r="F24" s="1335"/>
      <c r="G24" s="1335"/>
      <c r="H24" s="1336"/>
      <c r="I24" s="1239">
        <v>656</v>
      </c>
      <c r="J24" s="1199">
        <v>1</v>
      </c>
      <c r="K24" s="1199">
        <v>4</v>
      </c>
      <c r="L24" s="968" t="s">
        <v>546</v>
      </c>
      <c r="M24" s="1200">
        <v>0</v>
      </c>
      <c r="N24" s="1201">
        <f>N25</f>
        <v>6555.588998604</v>
      </c>
      <c r="O24" s="1201">
        <f t="shared" si="4"/>
        <v>0</v>
      </c>
      <c r="P24" s="1201">
        <f t="shared" si="4"/>
        <v>6448.5</v>
      </c>
      <c r="Q24" s="1201">
        <f t="shared" si="4"/>
        <v>0</v>
      </c>
      <c r="R24" s="1201">
        <f t="shared" si="4"/>
        <v>6621.6</v>
      </c>
      <c r="S24" s="1201">
        <f t="shared" si="4"/>
        <v>0</v>
      </c>
      <c r="U24" s="1249">
        <v>6555.588998604</v>
      </c>
    </row>
    <row r="25" spans="1:21" s="1190" customFormat="1" ht="60" customHeight="1">
      <c r="A25" s="1334" t="s">
        <v>60</v>
      </c>
      <c r="B25" s="1335"/>
      <c r="C25" s="1335"/>
      <c r="D25" s="1335"/>
      <c r="E25" s="1335"/>
      <c r="F25" s="1335"/>
      <c r="G25" s="1335"/>
      <c r="H25" s="1336"/>
      <c r="I25" s="1239">
        <v>656</v>
      </c>
      <c r="J25" s="1199">
        <v>1</v>
      </c>
      <c r="K25" s="1199">
        <v>4</v>
      </c>
      <c r="L25" s="968" t="s">
        <v>546</v>
      </c>
      <c r="M25" s="1200">
        <v>100</v>
      </c>
      <c r="N25" s="1201">
        <f>N26</f>
        <v>6555.588998604</v>
      </c>
      <c r="O25" s="1201">
        <f>O26</f>
        <v>0</v>
      </c>
      <c r="P25" s="1201">
        <f>P26</f>
        <v>6448.5</v>
      </c>
      <c r="Q25" s="1201">
        <f>Q26</f>
        <v>0</v>
      </c>
      <c r="R25" s="1201">
        <f>R26</f>
        <v>6621.6</v>
      </c>
      <c r="S25" s="1201">
        <f>S26</f>
        <v>0</v>
      </c>
      <c r="U25" s="1249">
        <v>6555.588998604</v>
      </c>
    </row>
    <row r="26" spans="1:21" s="1190" customFormat="1" ht="33.75" customHeight="1">
      <c r="A26" s="1357" t="s">
        <v>64</v>
      </c>
      <c r="B26" s="1357"/>
      <c r="C26" s="1357"/>
      <c r="D26" s="1357"/>
      <c r="E26" s="1357"/>
      <c r="F26" s="1357"/>
      <c r="G26" s="1357"/>
      <c r="H26" s="1357"/>
      <c r="I26" s="1239">
        <v>656</v>
      </c>
      <c r="J26" s="1199">
        <v>1</v>
      </c>
      <c r="K26" s="1199">
        <v>4</v>
      </c>
      <c r="L26" s="968" t="s">
        <v>546</v>
      </c>
      <c r="M26" s="1200">
        <v>120</v>
      </c>
      <c r="N26" s="1201">
        <f>'Прил.4'!D59</f>
        <v>6555.588998604</v>
      </c>
      <c r="O26" s="1201">
        <v>0</v>
      </c>
      <c r="P26" s="1201">
        <v>6448.5</v>
      </c>
      <c r="Q26" s="1201">
        <v>0</v>
      </c>
      <c r="R26" s="1201">
        <v>6621.6</v>
      </c>
      <c r="S26" s="1201">
        <v>0</v>
      </c>
      <c r="U26" s="1249">
        <v>6555.588998604</v>
      </c>
    </row>
    <row r="27" spans="1:21" s="1190" customFormat="1" ht="41.25" customHeight="1">
      <c r="A27" s="1358" t="s">
        <v>484</v>
      </c>
      <c r="B27" s="1358"/>
      <c r="C27" s="1358"/>
      <c r="D27" s="1358"/>
      <c r="E27" s="1208"/>
      <c r="F27" s="1240"/>
      <c r="G27" s="1240"/>
      <c r="H27" s="1240"/>
      <c r="I27" s="1240">
        <v>656</v>
      </c>
      <c r="J27" s="1202">
        <v>1</v>
      </c>
      <c r="K27" s="1202">
        <v>4</v>
      </c>
      <c r="L27" s="1203" t="s">
        <v>63</v>
      </c>
      <c r="M27" s="1204"/>
      <c r="N27" s="1205">
        <f>N28</f>
        <v>211.4</v>
      </c>
      <c r="O27" s="1205">
        <v>0</v>
      </c>
      <c r="P27" s="1205">
        <v>0</v>
      </c>
      <c r="Q27" s="1205">
        <v>0</v>
      </c>
      <c r="R27" s="1205">
        <v>0</v>
      </c>
      <c r="S27" s="1205">
        <v>0</v>
      </c>
      <c r="U27" s="1249">
        <v>211.4</v>
      </c>
    </row>
    <row r="28" spans="1:21" s="1190" customFormat="1" ht="90" customHeight="1">
      <c r="A28" s="1359" t="s">
        <v>638</v>
      </c>
      <c r="B28" s="1360"/>
      <c r="C28" s="1360"/>
      <c r="D28" s="1360"/>
      <c r="E28" s="1242"/>
      <c r="F28" s="1239"/>
      <c r="G28" s="1239"/>
      <c r="H28" s="1239"/>
      <c r="I28" s="1239">
        <v>656</v>
      </c>
      <c r="J28" s="1199">
        <v>1</v>
      </c>
      <c r="K28" s="1199">
        <v>4</v>
      </c>
      <c r="L28" s="968" t="s">
        <v>487</v>
      </c>
      <c r="M28" s="1200">
        <v>0</v>
      </c>
      <c r="N28" s="1201">
        <f>N29</f>
        <v>211.4</v>
      </c>
      <c r="O28" s="1201">
        <v>0</v>
      </c>
      <c r="P28" s="1201">
        <v>0</v>
      </c>
      <c r="Q28" s="1201">
        <v>0</v>
      </c>
      <c r="R28" s="1201">
        <v>0</v>
      </c>
      <c r="S28" s="1201">
        <v>0</v>
      </c>
      <c r="U28" s="1249">
        <v>211.4</v>
      </c>
    </row>
    <row r="29" spans="1:21" s="1190" customFormat="1" ht="14.25">
      <c r="A29" s="1357" t="s">
        <v>41</v>
      </c>
      <c r="B29" s="1357"/>
      <c r="C29" s="1357"/>
      <c r="D29" s="1357"/>
      <c r="E29" s="1357"/>
      <c r="F29" s="1239"/>
      <c r="G29" s="1239"/>
      <c r="H29" s="1239"/>
      <c r="I29" s="1239">
        <v>656</v>
      </c>
      <c r="J29" s="1199">
        <v>1</v>
      </c>
      <c r="K29" s="1199">
        <v>4</v>
      </c>
      <c r="L29" s="968" t="s">
        <v>487</v>
      </c>
      <c r="M29" s="1200">
        <v>500</v>
      </c>
      <c r="N29" s="1201">
        <f aca="true" t="shared" si="5" ref="N29:S29">N30</f>
        <v>211.4</v>
      </c>
      <c r="O29" s="1201">
        <f t="shared" si="5"/>
        <v>0</v>
      </c>
      <c r="P29" s="1201">
        <f t="shared" si="5"/>
        <v>0</v>
      </c>
      <c r="Q29" s="1201">
        <f t="shared" si="5"/>
        <v>0</v>
      </c>
      <c r="R29" s="1201">
        <f t="shared" si="5"/>
        <v>0</v>
      </c>
      <c r="S29" s="1201">
        <f t="shared" si="5"/>
        <v>0</v>
      </c>
      <c r="U29" s="1249">
        <v>211.4</v>
      </c>
    </row>
    <row r="30" spans="1:21" s="1190" customFormat="1" ht="14.25">
      <c r="A30" s="1357" t="s">
        <v>43</v>
      </c>
      <c r="B30" s="1357"/>
      <c r="C30" s="1357"/>
      <c r="D30" s="1357"/>
      <c r="E30" s="1357"/>
      <c r="F30" s="1357"/>
      <c r="G30" s="1357"/>
      <c r="H30" s="1357"/>
      <c r="I30" s="1239">
        <v>656</v>
      </c>
      <c r="J30" s="1199">
        <v>1</v>
      </c>
      <c r="K30" s="1199">
        <v>4</v>
      </c>
      <c r="L30" s="968" t="s">
        <v>487</v>
      </c>
      <c r="M30" s="1200">
        <v>540</v>
      </c>
      <c r="N30" s="1201">
        <f>326.3-114.9</f>
        <v>211.4</v>
      </c>
      <c r="O30" s="1201">
        <v>0</v>
      </c>
      <c r="P30" s="1201">
        <v>0</v>
      </c>
      <c r="Q30" s="1201">
        <v>0</v>
      </c>
      <c r="R30" s="1201">
        <v>0</v>
      </c>
      <c r="S30" s="1201">
        <v>0</v>
      </c>
      <c r="U30" s="1249">
        <v>211.4</v>
      </c>
    </row>
    <row r="31" spans="1:21" s="1190" customFormat="1" ht="14.25">
      <c r="A31" s="1353" t="s">
        <v>13</v>
      </c>
      <c r="B31" s="1353"/>
      <c r="C31" s="1353"/>
      <c r="D31" s="1353"/>
      <c r="E31" s="1353"/>
      <c r="F31" s="1353"/>
      <c r="G31" s="1353"/>
      <c r="H31" s="1353"/>
      <c r="I31" s="1238">
        <v>656</v>
      </c>
      <c r="J31" s="1186">
        <v>1</v>
      </c>
      <c r="K31" s="1186">
        <v>11</v>
      </c>
      <c r="L31" s="1187"/>
      <c r="M31" s="1188"/>
      <c r="N31" s="1191">
        <f aca="true" t="shared" si="6" ref="N31:S31">N32</f>
        <v>10</v>
      </c>
      <c r="O31" s="1191">
        <f t="shared" si="6"/>
        <v>0</v>
      </c>
      <c r="P31" s="1191">
        <f t="shared" si="6"/>
        <v>10</v>
      </c>
      <c r="Q31" s="1191">
        <f t="shared" si="6"/>
        <v>0</v>
      </c>
      <c r="R31" s="1191">
        <f t="shared" si="6"/>
        <v>10</v>
      </c>
      <c r="S31" s="1191">
        <f t="shared" si="6"/>
        <v>0</v>
      </c>
      <c r="U31" s="1249">
        <v>10</v>
      </c>
    </row>
    <row r="32" spans="1:21" s="1209" customFormat="1" ht="44.25" customHeight="1">
      <c r="A32" s="1358" t="s">
        <v>497</v>
      </c>
      <c r="B32" s="1358"/>
      <c r="C32" s="1358"/>
      <c r="D32" s="1358"/>
      <c r="E32" s="1240"/>
      <c r="F32" s="1240"/>
      <c r="G32" s="1240"/>
      <c r="H32" s="1240"/>
      <c r="I32" s="1240">
        <v>656</v>
      </c>
      <c r="J32" s="1202">
        <v>1</v>
      </c>
      <c r="K32" s="1202">
        <v>11</v>
      </c>
      <c r="L32" s="1203" t="s">
        <v>39</v>
      </c>
      <c r="M32" s="1204"/>
      <c r="N32" s="1205">
        <f>N34+N41</f>
        <v>10</v>
      </c>
      <c r="O32" s="1205">
        <f>O34+O41</f>
        <v>0</v>
      </c>
      <c r="P32" s="1205">
        <f>P34</f>
        <v>10</v>
      </c>
      <c r="Q32" s="1205">
        <f>Q34+Q41</f>
        <v>0</v>
      </c>
      <c r="R32" s="1205">
        <f>R34</f>
        <v>10</v>
      </c>
      <c r="S32" s="1205">
        <f>S34+S41</f>
        <v>0</v>
      </c>
      <c r="U32" s="1251">
        <v>10</v>
      </c>
    </row>
    <row r="33" spans="1:21" s="1209" customFormat="1" ht="21" customHeight="1">
      <c r="A33" s="1361" t="s">
        <v>490</v>
      </c>
      <c r="B33" s="1362"/>
      <c r="C33" s="1362"/>
      <c r="D33" s="1363"/>
      <c r="E33" s="1240"/>
      <c r="F33" s="1240"/>
      <c r="G33" s="1240"/>
      <c r="H33" s="1240"/>
      <c r="I33" s="1240"/>
      <c r="J33" s="1202"/>
      <c r="K33" s="1202"/>
      <c r="L33" s="968" t="s">
        <v>491</v>
      </c>
      <c r="M33" s="1204"/>
      <c r="N33" s="1205"/>
      <c r="O33" s="1205"/>
      <c r="P33" s="1205"/>
      <c r="Q33" s="1205"/>
      <c r="R33" s="1205"/>
      <c r="S33" s="1205"/>
      <c r="U33" s="1251"/>
    </row>
    <row r="34" spans="1:21" s="1190" customFormat="1" ht="57" customHeight="1">
      <c r="A34" s="1357" t="s">
        <v>492</v>
      </c>
      <c r="B34" s="1357"/>
      <c r="C34" s="1357"/>
      <c r="D34" s="1357"/>
      <c r="E34" s="1357"/>
      <c r="F34" s="1357"/>
      <c r="G34" s="1357"/>
      <c r="H34" s="1357"/>
      <c r="I34" s="1239">
        <v>656</v>
      </c>
      <c r="J34" s="1199">
        <v>1</v>
      </c>
      <c r="K34" s="1199">
        <v>11</v>
      </c>
      <c r="L34" s="968" t="s">
        <v>493</v>
      </c>
      <c r="M34" s="1200">
        <v>0</v>
      </c>
      <c r="N34" s="1201">
        <f aca="true" t="shared" si="7" ref="N34:S35">N35</f>
        <v>10</v>
      </c>
      <c r="O34" s="1201">
        <f t="shared" si="7"/>
        <v>0</v>
      </c>
      <c r="P34" s="1201">
        <f t="shared" si="7"/>
        <v>10</v>
      </c>
      <c r="Q34" s="1201">
        <f t="shared" si="7"/>
        <v>0</v>
      </c>
      <c r="R34" s="1201">
        <f t="shared" si="7"/>
        <v>10</v>
      </c>
      <c r="S34" s="1201">
        <f t="shared" si="7"/>
        <v>0</v>
      </c>
      <c r="U34" s="1249">
        <v>10</v>
      </c>
    </row>
    <row r="35" spans="1:21" s="1190" customFormat="1" ht="14.25">
      <c r="A35" s="1357" t="s">
        <v>45</v>
      </c>
      <c r="B35" s="1357"/>
      <c r="C35" s="1357"/>
      <c r="D35" s="1357"/>
      <c r="E35" s="1357"/>
      <c r="F35" s="1239"/>
      <c r="G35" s="1239"/>
      <c r="H35" s="1239"/>
      <c r="I35" s="1239">
        <v>656</v>
      </c>
      <c r="J35" s="1199">
        <v>1</v>
      </c>
      <c r="K35" s="1199">
        <v>11</v>
      </c>
      <c r="L35" s="968" t="s">
        <v>493</v>
      </c>
      <c r="M35" s="1200">
        <v>800</v>
      </c>
      <c r="N35" s="1201">
        <f t="shared" si="7"/>
        <v>10</v>
      </c>
      <c r="O35" s="1201">
        <f t="shared" si="7"/>
        <v>0</v>
      </c>
      <c r="P35" s="1201">
        <f t="shared" si="7"/>
        <v>10</v>
      </c>
      <c r="Q35" s="1201">
        <f t="shared" si="7"/>
        <v>0</v>
      </c>
      <c r="R35" s="1201">
        <f t="shared" si="7"/>
        <v>10</v>
      </c>
      <c r="S35" s="1201">
        <f t="shared" si="7"/>
        <v>0</v>
      </c>
      <c r="U35" s="1249">
        <v>10</v>
      </c>
    </row>
    <row r="36" spans="1:21" s="1190" customFormat="1" ht="14.25">
      <c r="A36" s="1357" t="s">
        <v>47</v>
      </c>
      <c r="B36" s="1357"/>
      <c r="C36" s="1357"/>
      <c r="D36" s="1357"/>
      <c r="E36" s="1357"/>
      <c r="F36" s="1357"/>
      <c r="G36" s="1357"/>
      <c r="H36" s="1357"/>
      <c r="I36" s="1239">
        <v>656</v>
      </c>
      <c r="J36" s="1199">
        <v>1</v>
      </c>
      <c r="K36" s="1199">
        <v>11</v>
      </c>
      <c r="L36" s="968" t="s">
        <v>493</v>
      </c>
      <c r="M36" s="1200">
        <v>870</v>
      </c>
      <c r="N36" s="1201">
        <v>10</v>
      </c>
      <c r="O36" s="1201">
        <v>0</v>
      </c>
      <c r="P36" s="1201">
        <v>10</v>
      </c>
      <c r="Q36" s="1201">
        <v>0</v>
      </c>
      <c r="R36" s="1201">
        <v>10</v>
      </c>
      <c r="S36" s="1201">
        <v>0</v>
      </c>
      <c r="U36" s="1249">
        <v>10</v>
      </c>
    </row>
    <row r="37" spans="1:21" s="1190" customFormat="1" ht="22.5" customHeight="1">
      <c r="A37" s="1353" t="s">
        <v>12</v>
      </c>
      <c r="B37" s="1353"/>
      <c r="C37" s="1353"/>
      <c r="D37" s="1353"/>
      <c r="E37" s="1353"/>
      <c r="F37" s="1353"/>
      <c r="G37" s="1353"/>
      <c r="H37" s="1353"/>
      <c r="I37" s="1238">
        <v>656</v>
      </c>
      <c r="J37" s="1186">
        <v>1</v>
      </c>
      <c r="K37" s="1186">
        <v>13</v>
      </c>
      <c r="L37" s="1187"/>
      <c r="M37" s="1188"/>
      <c r="N37" s="1191">
        <f>N38+N43+N50</f>
        <v>9237.00408086144</v>
      </c>
      <c r="O37" s="1191">
        <f>O38+O43+O50</f>
        <v>0</v>
      </c>
      <c r="P37" s="1191">
        <f>P39+P43+P50</f>
        <v>8444.8</v>
      </c>
      <c r="Q37" s="1191">
        <f>Q38+Q43+Q50</f>
        <v>0</v>
      </c>
      <c r="R37" s="1191">
        <f>R38+R43+R50</f>
        <v>10368.5</v>
      </c>
      <c r="S37" s="1191">
        <f>S38+S43+S50</f>
        <v>0</v>
      </c>
      <c r="U37" s="1249">
        <v>9237.008670861438</v>
      </c>
    </row>
    <row r="38" spans="1:21" s="1190" customFormat="1" ht="30" customHeight="1">
      <c r="A38" s="1358" t="s">
        <v>497</v>
      </c>
      <c r="B38" s="1358"/>
      <c r="C38" s="1358"/>
      <c r="D38" s="1358"/>
      <c r="E38" s="1240"/>
      <c r="F38" s="1240"/>
      <c r="G38" s="1240"/>
      <c r="H38" s="1240"/>
      <c r="I38" s="1240">
        <v>656</v>
      </c>
      <c r="J38" s="1202">
        <v>1</v>
      </c>
      <c r="K38" s="1202">
        <v>13</v>
      </c>
      <c r="L38" s="1203" t="s">
        <v>39</v>
      </c>
      <c r="M38" s="1204"/>
      <c r="N38" s="1205">
        <f>N39</f>
        <v>0</v>
      </c>
      <c r="O38" s="1205">
        <f aca="true" t="shared" si="8" ref="O38:S39">O39</f>
        <v>0</v>
      </c>
      <c r="P38" s="1205">
        <f t="shared" si="8"/>
        <v>1400</v>
      </c>
      <c r="Q38" s="1205">
        <f t="shared" si="8"/>
        <v>0</v>
      </c>
      <c r="R38" s="1205">
        <f t="shared" si="8"/>
        <v>2500</v>
      </c>
      <c r="S38" s="1205">
        <f t="shared" si="8"/>
        <v>0</v>
      </c>
      <c r="U38" s="1249">
        <v>0</v>
      </c>
    </row>
    <row r="39" spans="1:21" s="1190" customFormat="1" ht="20.25" customHeight="1">
      <c r="A39" s="1361" t="s">
        <v>490</v>
      </c>
      <c r="B39" s="1362"/>
      <c r="C39" s="1362"/>
      <c r="D39" s="1363"/>
      <c r="E39" s="1239"/>
      <c r="F39" s="1239"/>
      <c r="G39" s="1239"/>
      <c r="H39" s="1239"/>
      <c r="I39" s="1239">
        <v>656</v>
      </c>
      <c r="J39" s="1199">
        <v>1</v>
      </c>
      <c r="K39" s="1199">
        <v>13</v>
      </c>
      <c r="L39" s="968" t="s">
        <v>489</v>
      </c>
      <c r="M39" s="1200"/>
      <c r="N39" s="1201">
        <f>N40</f>
        <v>0</v>
      </c>
      <c r="O39" s="1201">
        <f t="shared" si="8"/>
        <v>0</v>
      </c>
      <c r="P39" s="1201">
        <f t="shared" si="8"/>
        <v>1400</v>
      </c>
      <c r="Q39" s="1201">
        <f t="shared" si="8"/>
        <v>0</v>
      </c>
      <c r="R39" s="1201">
        <f t="shared" si="8"/>
        <v>2500</v>
      </c>
      <c r="S39" s="1201">
        <f t="shared" si="8"/>
        <v>0</v>
      </c>
      <c r="U39" s="1249">
        <v>0</v>
      </c>
    </row>
    <row r="40" spans="1:21" s="1190" customFormat="1" ht="59.25" customHeight="1">
      <c r="A40" s="1357" t="s">
        <v>495</v>
      </c>
      <c r="B40" s="1360"/>
      <c r="C40" s="1360"/>
      <c r="D40" s="1360"/>
      <c r="E40" s="1239"/>
      <c r="F40" s="1239"/>
      <c r="G40" s="1239"/>
      <c r="H40" s="1239"/>
      <c r="I40" s="1239">
        <v>656</v>
      </c>
      <c r="J40" s="1199">
        <v>1</v>
      </c>
      <c r="K40" s="1199">
        <v>13</v>
      </c>
      <c r="L40" s="968" t="s">
        <v>489</v>
      </c>
      <c r="M40" s="1200">
        <v>0</v>
      </c>
      <c r="N40" s="1201">
        <v>0</v>
      </c>
      <c r="O40" s="1201">
        <v>0</v>
      </c>
      <c r="P40" s="1201">
        <f>P41</f>
        <v>1400</v>
      </c>
      <c r="Q40" s="1201">
        <v>0</v>
      </c>
      <c r="R40" s="1201">
        <f>R41</f>
        <v>2500</v>
      </c>
      <c r="S40" s="1201">
        <v>0</v>
      </c>
      <c r="U40" s="1249">
        <v>0</v>
      </c>
    </row>
    <row r="41" spans="1:21" s="1190" customFormat="1" ht="16.5" customHeight="1">
      <c r="A41" s="1357" t="s">
        <v>45</v>
      </c>
      <c r="B41" s="1357"/>
      <c r="C41" s="1357"/>
      <c r="D41" s="1357"/>
      <c r="E41" s="1357"/>
      <c r="F41" s="1239"/>
      <c r="G41" s="1239"/>
      <c r="H41" s="1239"/>
      <c r="I41" s="1239">
        <v>656</v>
      </c>
      <c r="J41" s="1199">
        <v>1</v>
      </c>
      <c r="K41" s="1199">
        <v>13</v>
      </c>
      <c r="L41" s="968" t="s">
        <v>489</v>
      </c>
      <c r="M41" s="1200">
        <v>800</v>
      </c>
      <c r="N41" s="1201">
        <v>0</v>
      </c>
      <c r="O41" s="1201">
        <v>0</v>
      </c>
      <c r="P41" s="1201">
        <f>P42</f>
        <v>1400</v>
      </c>
      <c r="Q41" s="1201">
        <v>0</v>
      </c>
      <c r="R41" s="1201">
        <f>R42</f>
        <v>2500</v>
      </c>
      <c r="S41" s="1201">
        <v>0</v>
      </c>
      <c r="U41" s="1249">
        <v>0</v>
      </c>
    </row>
    <row r="42" spans="1:21" s="1190" customFormat="1" ht="16.5" customHeight="1">
      <c r="A42" s="1357" t="s">
        <v>47</v>
      </c>
      <c r="B42" s="1357"/>
      <c r="C42" s="1357"/>
      <c r="D42" s="1357"/>
      <c r="E42" s="1357"/>
      <c r="F42" s="1357"/>
      <c r="G42" s="1357"/>
      <c r="H42" s="1357"/>
      <c r="I42" s="1239">
        <v>656</v>
      </c>
      <c r="J42" s="1199">
        <v>1</v>
      </c>
      <c r="K42" s="1199">
        <v>13</v>
      </c>
      <c r="L42" s="968" t="s">
        <v>489</v>
      </c>
      <c r="M42" s="1200">
        <v>870</v>
      </c>
      <c r="N42" s="1201">
        <v>0</v>
      </c>
      <c r="O42" s="1201">
        <v>0</v>
      </c>
      <c r="P42" s="1201">
        <f>1300+100</f>
        <v>1400</v>
      </c>
      <c r="Q42" s="1201">
        <v>0</v>
      </c>
      <c r="R42" s="1201">
        <f>2300+200</f>
        <v>2500</v>
      </c>
      <c r="S42" s="1201">
        <v>0</v>
      </c>
      <c r="U42" s="1249">
        <v>0</v>
      </c>
    </row>
    <row r="43" spans="1:21" s="1190" customFormat="1" ht="49.5" customHeight="1">
      <c r="A43" s="1358" t="s">
        <v>484</v>
      </c>
      <c r="B43" s="1358"/>
      <c r="C43" s="1358"/>
      <c r="D43" s="1358"/>
      <c r="E43" s="1240"/>
      <c r="F43" s="1240"/>
      <c r="G43" s="1240"/>
      <c r="H43" s="1240"/>
      <c r="I43" s="1240">
        <v>656</v>
      </c>
      <c r="J43" s="1202">
        <v>1</v>
      </c>
      <c r="K43" s="1202">
        <v>13</v>
      </c>
      <c r="L43" s="1203" t="s">
        <v>63</v>
      </c>
      <c r="M43" s="1204"/>
      <c r="N43" s="1205">
        <f aca="true" t="shared" si="9" ref="N43:S44">N44</f>
        <v>323.69999999999993</v>
      </c>
      <c r="O43" s="1205">
        <f t="shared" si="9"/>
        <v>0</v>
      </c>
      <c r="P43" s="1205">
        <f t="shared" si="9"/>
        <v>0</v>
      </c>
      <c r="Q43" s="1205">
        <f t="shared" si="9"/>
        <v>0</v>
      </c>
      <c r="R43" s="1205">
        <f t="shared" si="9"/>
        <v>220</v>
      </c>
      <c r="S43" s="1205">
        <f t="shared" si="9"/>
        <v>0</v>
      </c>
      <c r="U43" s="1249">
        <v>323.70458999999994</v>
      </c>
    </row>
    <row r="44" spans="1:21" s="1190" customFormat="1" ht="63.75" customHeight="1">
      <c r="A44" s="1334" t="s">
        <v>635</v>
      </c>
      <c r="B44" s="1335"/>
      <c r="C44" s="1335"/>
      <c r="D44" s="1336"/>
      <c r="E44" s="1239"/>
      <c r="F44" s="1239"/>
      <c r="G44" s="1239"/>
      <c r="H44" s="1239"/>
      <c r="I44" s="1239">
        <v>656</v>
      </c>
      <c r="J44" s="1199">
        <v>1</v>
      </c>
      <c r="K44" s="1199">
        <v>13</v>
      </c>
      <c r="L44" s="968" t="s">
        <v>485</v>
      </c>
      <c r="M44" s="1200"/>
      <c r="N44" s="1201">
        <f t="shared" si="9"/>
        <v>323.69999999999993</v>
      </c>
      <c r="O44" s="1201">
        <f t="shared" si="9"/>
        <v>0</v>
      </c>
      <c r="P44" s="1201">
        <f t="shared" si="9"/>
        <v>0</v>
      </c>
      <c r="Q44" s="1201">
        <f t="shared" si="9"/>
        <v>0</v>
      </c>
      <c r="R44" s="1201">
        <f t="shared" si="9"/>
        <v>220</v>
      </c>
      <c r="S44" s="1201">
        <f t="shared" si="9"/>
        <v>0</v>
      </c>
      <c r="U44" s="1249">
        <v>323.70458999999994</v>
      </c>
    </row>
    <row r="45" spans="1:21" s="1190" customFormat="1" ht="68.25" customHeight="1">
      <c r="A45" s="1357" t="s">
        <v>725</v>
      </c>
      <c r="B45" s="1360"/>
      <c r="C45" s="1360"/>
      <c r="D45" s="1360"/>
      <c r="E45" s="1239"/>
      <c r="F45" s="1239"/>
      <c r="G45" s="1239"/>
      <c r="H45" s="1239"/>
      <c r="I45" s="1239">
        <v>656</v>
      </c>
      <c r="J45" s="1199">
        <v>1</v>
      </c>
      <c r="K45" s="1199">
        <v>13</v>
      </c>
      <c r="L45" s="968" t="s">
        <v>550</v>
      </c>
      <c r="M45" s="1200">
        <v>0</v>
      </c>
      <c r="N45" s="1201">
        <f aca="true" t="shared" si="10" ref="N45:S45">N46+N48</f>
        <v>323.69999999999993</v>
      </c>
      <c r="O45" s="1201">
        <f t="shared" si="10"/>
        <v>0</v>
      </c>
      <c r="P45" s="1201">
        <f t="shared" si="10"/>
        <v>0</v>
      </c>
      <c r="Q45" s="1201">
        <f t="shared" si="10"/>
        <v>0</v>
      </c>
      <c r="R45" s="1201">
        <f t="shared" si="10"/>
        <v>220</v>
      </c>
      <c r="S45" s="1201">
        <f t="shared" si="10"/>
        <v>0</v>
      </c>
      <c r="U45" s="1249">
        <v>323.70458999999994</v>
      </c>
    </row>
    <row r="46" spans="1:21" s="1190" customFormat="1" ht="31.5" customHeight="1">
      <c r="A46" s="1357" t="s">
        <v>53</v>
      </c>
      <c r="B46" s="1357"/>
      <c r="C46" s="1357"/>
      <c r="D46" s="1357"/>
      <c r="E46" s="1357"/>
      <c r="F46" s="1357"/>
      <c r="G46" s="1357"/>
      <c r="H46" s="1357"/>
      <c r="I46" s="1239">
        <v>656</v>
      </c>
      <c r="J46" s="1199">
        <v>1</v>
      </c>
      <c r="K46" s="1199">
        <v>13</v>
      </c>
      <c r="L46" s="968" t="s">
        <v>550</v>
      </c>
      <c r="M46" s="1200">
        <v>200</v>
      </c>
      <c r="N46" s="1201">
        <f aca="true" t="shared" si="11" ref="N46:S46">N47</f>
        <v>308.69999999999993</v>
      </c>
      <c r="O46" s="1201">
        <f t="shared" si="11"/>
        <v>0</v>
      </c>
      <c r="P46" s="1201">
        <f t="shared" si="11"/>
        <v>0</v>
      </c>
      <c r="Q46" s="1201">
        <f t="shared" si="11"/>
        <v>0</v>
      </c>
      <c r="R46" s="1201">
        <f t="shared" si="11"/>
        <v>205</v>
      </c>
      <c r="S46" s="1201">
        <f t="shared" si="11"/>
        <v>0</v>
      </c>
      <c r="U46" s="1249">
        <v>308.70458999999994</v>
      </c>
    </row>
    <row r="47" spans="1:34" s="1190" customFormat="1" ht="31.5" customHeight="1">
      <c r="A47" s="1357" t="s">
        <v>55</v>
      </c>
      <c r="B47" s="1357"/>
      <c r="C47" s="1357"/>
      <c r="D47" s="1357"/>
      <c r="E47" s="1357"/>
      <c r="F47" s="1357"/>
      <c r="G47" s="1357"/>
      <c r="H47" s="1357"/>
      <c r="I47" s="1239">
        <v>656</v>
      </c>
      <c r="J47" s="1199">
        <v>1</v>
      </c>
      <c r="K47" s="1199">
        <v>13</v>
      </c>
      <c r="L47" s="968" t="s">
        <v>550</v>
      </c>
      <c r="M47" s="1200">
        <v>240</v>
      </c>
      <c r="N47" s="1201">
        <f>'Прил.4'!D66</f>
        <v>308.69999999999993</v>
      </c>
      <c r="O47" s="1201">
        <v>0</v>
      </c>
      <c r="P47" s="1201">
        <v>0</v>
      </c>
      <c r="Q47" s="1201">
        <v>0</v>
      </c>
      <c r="R47" s="1201">
        <v>205</v>
      </c>
      <c r="S47" s="1201">
        <v>0</v>
      </c>
      <c r="U47" s="1249">
        <v>308.70459</v>
      </c>
      <c r="AH47" s="1249">
        <v>308.69999999999993</v>
      </c>
    </row>
    <row r="48" spans="1:21" s="1190" customFormat="1" ht="18" customHeight="1">
      <c r="A48" s="1357" t="s">
        <v>45</v>
      </c>
      <c r="B48" s="1357"/>
      <c r="C48" s="1357"/>
      <c r="D48" s="1357"/>
      <c r="E48" s="1357"/>
      <c r="F48" s="1357"/>
      <c r="G48" s="1357"/>
      <c r="H48" s="1357"/>
      <c r="I48" s="1239">
        <v>656</v>
      </c>
      <c r="J48" s="1199">
        <v>1</v>
      </c>
      <c r="K48" s="1199">
        <v>13</v>
      </c>
      <c r="L48" s="968" t="s">
        <v>550</v>
      </c>
      <c r="M48" s="1200">
        <v>800</v>
      </c>
      <c r="N48" s="1201">
        <f>N49</f>
        <v>15</v>
      </c>
      <c r="O48" s="1201">
        <v>0</v>
      </c>
      <c r="P48" s="1201">
        <f>P49</f>
        <v>0</v>
      </c>
      <c r="Q48" s="1201">
        <f>Q49</f>
        <v>0</v>
      </c>
      <c r="R48" s="1201">
        <f>R49</f>
        <v>15</v>
      </c>
      <c r="S48" s="1201">
        <f>S49</f>
        <v>0</v>
      </c>
      <c r="U48" s="1249">
        <v>15</v>
      </c>
    </row>
    <row r="49" spans="1:21" s="1190" customFormat="1" ht="18" customHeight="1">
      <c r="A49" s="1357" t="s">
        <v>58</v>
      </c>
      <c r="B49" s="1364"/>
      <c r="C49" s="1364"/>
      <c r="D49" s="1364"/>
      <c r="E49" s="1239"/>
      <c r="F49" s="1239"/>
      <c r="G49" s="1239"/>
      <c r="H49" s="1239"/>
      <c r="I49" s="1239">
        <v>656</v>
      </c>
      <c r="J49" s="1199">
        <v>1</v>
      </c>
      <c r="K49" s="1199">
        <v>13</v>
      </c>
      <c r="L49" s="968" t="s">
        <v>550</v>
      </c>
      <c r="M49" s="1200">
        <v>850</v>
      </c>
      <c r="N49" s="1201">
        <v>15</v>
      </c>
      <c r="O49" s="1201">
        <v>0</v>
      </c>
      <c r="P49" s="1201">
        <v>0</v>
      </c>
      <c r="Q49" s="1201">
        <v>0</v>
      </c>
      <c r="R49" s="1201">
        <v>15</v>
      </c>
      <c r="S49" s="1201">
        <v>0</v>
      </c>
      <c r="U49" s="1249">
        <v>15</v>
      </c>
    </row>
    <row r="50" spans="1:21" s="1190" customFormat="1" ht="49.5" customHeight="1">
      <c r="A50" s="1358" t="s">
        <v>483</v>
      </c>
      <c r="B50" s="1358"/>
      <c r="C50" s="1358"/>
      <c r="D50" s="1358"/>
      <c r="E50" s="1240"/>
      <c r="F50" s="1240"/>
      <c r="G50" s="1240"/>
      <c r="H50" s="1240"/>
      <c r="I50" s="1240">
        <v>656</v>
      </c>
      <c r="J50" s="1202">
        <v>1</v>
      </c>
      <c r="K50" s="1202">
        <v>13</v>
      </c>
      <c r="L50" s="1203" t="s">
        <v>479</v>
      </c>
      <c r="M50" s="1204"/>
      <c r="N50" s="1205">
        <f>N51</f>
        <v>8913.304080861439</v>
      </c>
      <c r="O50" s="1205">
        <f aca="true" t="shared" si="12" ref="O50:S57">O51</f>
        <v>0</v>
      </c>
      <c r="P50" s="1205">
        <f t="shared" si="12"/>
        <v>7044.799999999999</v>
      </c>
      <c r="Q50" s="1205">
        <f>Q51</f>
        <v>0</v>
      </c>
      <c r="R50" s="1205">
        <f t="shared" si="12"/>
        <v>7648.5</v>
      </c>
      <c r="S50" s="1205">
        <f t="shared" si="12"/>
        <v>0</v>
      </c>
      <c r="U50" s="1249">
        <v>8913.304080861439</v>
      </c>
    </row>
    <row r="51" spans="1:21" s="1190" customFormat="1" ht="51.75" customHeight="1">
      <c r="A51" s="1357" t="s">
        <v>520</v>
      </c>
      <c r="B51" s="1360"/>
      <c r="C51" s="1360"/>
      <c r="D51" s="1360"/>
      <c r="E51" s="1239"/>
      <c r="F51" s="1239"/>
      <c r="G51" s="1239"/>
      <c r="H51" s="1239"/>
      <c r="I51" s="1239">
        <v>656</v>
      </c>
      <c r="J51" s="1199">
        <v>1</v>
      </c>
      <c r="K51" s="1199">
        <v>13</v>
      </c>
      <c r="L51" s="968" t="s">
        <v>521</v>
      </c>
      <c r="M51" s="1200"/>
      <c r="N51" s="1201">
        <f>N52</f>
        <v>8913.304080861439</v>
      </c>
      <c r="O51" s="1201">
        <f t="shared" si="12"/>
        <v>0</v>
      </c>
      <c r="P51" s="1201">
        <f t="shared" si="12"/>
        <v>7044.799999999999</v>
      </c>
      <c r="Q51" s="1201">
        <f>Q52</f>
        <v>0</v>
      </c>
      <c r="R51" s="1201">
        <f t="shared" si="12"/>
        <v>7648.5</v>
      </c>
      <c r="S51" s="1201">
        <f t="shared" si="12"/>
        <v>0</v>
      </c>
      <c r="U51" s="1249">
        <v>8913.304080861439</v>
      </c>
    </row>
    <row r="52" spans="1:34" s="1190" customFormat="1" ht="78.75" customHeight="1">
      <c r="A52" s="1357" t="s">
        <v>522</v>
      </c>
      <c r="B52" s="1360"/>
      <c r="C52" s="1360"/>
      <c r="D52" s="1360"/>
      <c r="E52" s="1239"/>
      <c r="F52" s="1239"/>
      <c r="G52" s="1239"/>
      <c r="H52" s="1239"/>
      <c r="I52" s="1239">
        <v>656</v>
      </c>
      <c r="J52" s="1199">
        <v>1</v>
      </c>
      <c r="K52" s="1199">
        <v>13</v>
      </c>
      <c r="L52" s="968" t="s">
        <v>517</v>
      </c>
      <c r="M52" s="1200">
        <v>0</v>
      </c>
      <c r="N52" s="1201">
        <f aca="true" t="shared" si="13" ref="N52:S52">N53+N55+N57</f>
        <v>8913.304080861439</v>
      </c>
      <c r="O52" s="1201">
        <f t="shared" si="13"/>
        <v>0</v>
      </c>
      <c r="P52" s="1201">
        <f t="shared" si="13"/>
        <v>7044.799999999999</v>
      </c>
      <c r="Q52" s="1201">
        <f t="shared" si="13"/>
        <v>0</v>
      </c>
      <c r="R52" s="1201">
        <f t="shared" si="13"/>
        <v>7648.5</v>
      </c>
      <c r="S52" s="1201">
        <f t="shared" si="13"/>
        <v>0</v>
      </c>
      <c r="U52" s="1249">
        <v>8913.304080861439</v>
      </c>
      <c r="AH52" s="1190">
        <v>8913.304080861439</v>
      </c>
    </row>
    <row r="53" spans="1:34" s="1190" customFormat="1" ht="58.5" customHeight="1">
      <c r="A53" s="1334" t="s">
        <v>60</v>
      </c>
      <c r="B53" s="1335" t="s">
        <v>60</v>
      </c>
      <c r="C53" s="1335" t="s">
        <v>60</v>
      </c>
      <c r="D53" s="1335" t="s">
        <v>60</v>
      </c>
      <c r="E53" s="1335" t="s">
        <v>60</v>
      </c>
      <c r="F53" s="1335" t="s">
        <v>60</v>
      </c>
      <c r="G53" s="1335" t="s">
        <v>60</v>
      </c>
      <c r="H53" s="1336" t="s">
        <v>60</v>
      </c>
      <c r="I53" s="1239">
        <v>656</v>
      </c>
      <c r="J53" s="1199">
        <v>1</v>
      </c>
      <c r="K53" s="1199">
        <v>13</v>
      </c>
      <c r="L53" s="968" t="s">
        <v>517</v>
      </c>
      <c r="M53" s="1200">
        <v>100</v>
      </c>
      <c r="N53" s="1201">
        <f>N54</f>
        <v>5963.44200293744</v>
      </c>
      <c r="O53" s="1201">
        <f t="shared" si="12"/>
        <v>0</v>
      </c>
      <c r="P53" s="1201">
        <f t="shared" si="12"/>
        <v>5843.4</v>
      </c>
      <c r="Q53" s="1201">
        <f>Q54</f>
        <v>0</v>
      </c>
      <c r="R53" s="1201">
        <f t="shared" si="12"/>
        <v>5958.5</v>
      </c>
      <c r="S53" s="1201">
        <f t="shared" si="12"/>
        <v>0</v>
      </c>
      <c r="U53" s="1249">
        <v>5963.44200293744</v>
      </c>
      <c r="AH53" s="1190">
        <v>5963.44200293744</v>
      </c>
    </row>
    <row r="54" spans="1:34" s="1190" customFormat="1" ht="26.25" customHeight="1">
      <c r="A54" s="1334" t="s">
        <v>61</v>
      </c>
      <c r="B54" s="1335" t="s">
        <v>61</v>
      </c>
      <c r="C54" s="1335" t="s">
        <v>61</v>
      </c>
      <c r="D54" s="1335" t="s">
        <v>61</v>
      </c>
      <c r="E54" s="1335" t="s">
        <v>61</v>
      </c>
      <c r="F54" s="1335" t="s">
        <v>61</v>
      </c>
      <c r="G54" s="1335" t="s">
        <v>61</v>
      </c>
      <c r="H54" s="1336" t="s">
        <v>61</v>
      </c>
      <c r="I54" s="1239">
        <v>656</v>
      </c>
      <c r="J54" s="1199">
        <v>1</v>
      </c>
      <c r="K54" s="1199">
        <v>13</v>
      </c>
      <c r="L54" s="968" t="s">
        <v>517</v>
      </c>
      <c r="M54" s="1200">
        <v>110</v>
      </c>
      <c r="N54" s="1201">
        <f>'Прил.4'!D151</f>
        <v>5963.44200293744</v>
      </c>
      <c r="O54" s="1201">
        <v>0</v>
      </c>
      <c r="P54" s="1201">
        <v>5843.4</v>
      </c>
      <c r="Q54" s="1201">
        <v>0</v>
      </c>
      <c r="R54" s="1201">
        <v>5958.5</v>
      </c>
      <c r="S54" s="1201">
        <v>0</v>
      </c>
      <c r="U54" s="1249">
        <v>5963.44200293744</v>
      </c>
      <c r="AH54" s="1190">
        <v>5963.44200293744</v>
      </c>
    </row>
    <row r="55" spans="1:34" s="1190" customFormat="1" ht="26.25" customHeight="1">
      <c r="A55" s="1357" t="s">
        <v>53</v>
      </c>
      <c r="B55" s="1357"/>
      <c r="C55" s="1357"/>
      <c r="D55" s="1357"/>
      <c r="E55" s="1357"/>
      <c r="F55" s="1357"/>
      <c r="G55" s="1357"/>
      <c r="H55" s="1357"/>
      <c r="I55" s="1239">
        <v>656</v>
      </c>
      <c r="J55" s="1199">
        <v>1</v>
      </c>
      <c r="K55" s="1199">
        <v>13</v>
      </c>
      <c r="L55" s="968" t="s">
        <v>517</v>
      </c>
      <c r="M55" s="1200">
        <v>200</v>
      </c>
      <c r="N55" s="1201">
        <f>N56</f>
        <v>2945.862077924</v>
      </c>
      <c r="O55" s="1201">
        <f t="shared" si="12"/>
        <v>0</v>
      </c>
      <c r="P55" s="1201">
        <f t="shared" si="12"/>
        <v>1201.4</v>
      </c>
      <c r="Q55" s="1201">
        <f>Q56</f>
        <v>0</v>
      </c>
      <c r="R55" s="1201">
        <f t="shared" si="12"/>
        <v>1690</v>
      </c>
      <c r="S55" s="1201">
        <f t="shared" si="12"/>
        <v>0</v>
      </c>
      <c r="U55" s="1249">
        <v>2945.862077924</v>
      </c>
      <c r="AH55" s="1190">
        <v>2945.862077924</v>
      </c>
    </row>
    <row r="56" spans="1:34" s="1190" customFormat="1" ht="26.25" customHeight="1">
      <c r="A56" s="1357" t="s">
        <v>55</v>
      </c>
      <c r="B56" s="1357"/>
      <c r="C56" s="1357"/>
      <c r="D56" s="1357"/>
      <c r="E56" s="1357"/>
      <c r="F56" s="1357"/>
      <c r="G56" s="1357"/>
      <c r="H56" s="1357"/>
      <c r="I56" s="1239">
        <v>656</v>
      </c>
      <c r="J56" s="1199">
        <v>1</v>
      </c>
      <c r="K56" s="1199">
        <v>13</v>
      </c>
      <c r="L56" s="968" t="s">
        <v>517</v>
      </c>
      <c r="M56" s="1200">
        <v>240</v>
      </c>
      <c r="N56" s="1201">
        <f>'Прил.4'!D155</f>
        <v>2945.862077924</v>
      </c>
      <c r="O56" s="1201">
        <v>0</v>
      </c>
      <c r="P56" s="1201">
        <f>1301.4-100</f>
        <v>1201.4</v>
      </c>
      <c r="Q56" s="1201">
        <v>0</v>
      </c>
      <c r="R56" s="1201">
        <f>1890-200</f>
        <v>1690</v>
      </c>
      <c r="S56" s="1201">
        <v>0</v>
      </c>
      <c r="U56" s="1249">
        <v>2945.862077924</v>
      </c>
      <c r="AH56" s="1190">
        <v>2945.862077924</v>
      </c>
    </row>
    <row r="57" spans="1:21" s="1190" customFormat="1" ht="26.25" customHeight="1">
      <c r="A57" s="1357" t="s">
        <v>45</v>
      </c>
      <c r="B57" s="1357"/>
      <c r="C57" s="1357"/>
      <c r="D57" s="1357"/>
      <c r="E57" s="1357"/>
      <c r="F57" s="1357"/>
      <c r="G57" s="1357"/>
      <c r="H57" s="1357"/>
      <c r="I57" s="1239">
        <v>656</v>
      </c>
      <c r="J57" s="1199">
        <v>1</v>
      </c>
      <c r="K57" s="1199">
        <v>13</v>
      </c>
      <c r="L57" s="968" t="s">
        <v>517</v>
      </c>
      <c r="M57" s="1200">
        <v>800</v>
      </c>
      <c r="N57" s="1201">
        <f>N58</f>
        <v>4</v>
      </c>
      <c r="O57" s="1201">
        <f t="shared" si="12"/>
        <v>0</v>
      </c>
      <c r="P57" s="1201">
        <f t="shared" si="12"/>
        <v>0</v>
      </c>
      <c r="Q57" s="1201">
        <f>Q58</f>
        <v>0</v>
      </c>
      <c r="R57" s="1201">
        <f t="shared" si="12"/>
        <v>0</v>
      </c>
      <c r="S57" s="1201">
        <f t="shared" si="12"/>
        <v>0</v>
      </c>
      <c r="U57" s="1249">
        <v>4</v>
      </c>
    </row>
    <row r="58" spans="1:21" s="1190" customFormat="1" ht="26.25" customHeight="1">
      <c r="A58" s="1357" t="s">
        <v>58</v>
      </c>
      <c r="B58" s="1357"/>
      <c r="C58" s="1357"/>
      <c r="D58" s="1357"/>
      <c r="E58" s="1357"/>
      <c r="F58" s="1357"/>
      <c r="G58" s="1357"/>
      <c r="H58" s="1357"/>
      <c r="I58" s="1239">
        <v>656</v>
      </c>
      <c r="J58" s="1199">
        <v>1</v>
      </c>
      <c r="K58" s="1199">
        <v>13</v>
      </c>
      <c r="L58" s="968" t="s">
        <v>517</v>
      </c>
      <c r="M58" s="1200">
        <v>850</v>
      </c>
      <c r="N58" s="1201">
        <f>'Прил.4'!D157</f>
        <v>4</v>
      </c>
      <c r="O58" s="1201">
        <v>0</v>
      </c>
      <c r="P58" s="1201">
        <v>0</v>
      </c>
      <c r="Q58" s="1201">
        <v>0</v>
      </c>
      <c r="R58" s="1201">
        <v>0</v>
      </c>
      <c r="S58" s="1201">
        <v>0</v>
      </c>
      <c r="U58" s="1249">
        <v>4</v>
      </c>
    </row>
    <row r="59" spans="1:21" s="1190" customFormat="1" ht="14.25">
      <c r="A59" s="1353" t="s">
        <v>24</v>
      </c>
      <c r="B59" s="1353"/>
      <c r="C59" s="1353"/>
      <c r="D59" s="1353"/>
      <c r="E59" s="1353"/>
      <c r="F59" s="1353"/>
      <c r="G59" s="1353"/>
      <c r="H59" s="1353"/>
      <c r="I59" s="1238">
        <v>656</v>
      </c>
      <c r="J59" s="1186">
        <v>2</v>
      </c>
      <c r="K59" s="1186"/>
      <c r="L59" s="1187"/>
      <c r="M59" s="1188"/>
      <c r="N59" s="1191">
        <f>N60</f>
        <v>219</v>
      </c>
      <c r="O59" s="1191">
        <f aca="true" t="shared" si="14" ref="O59:S60">O60</f>
        <v>219</v>
      </c>
      <c r="P59" s="1191">
        <f t="shared" si="14"/>
        <v>221.1</v>
      </c>
      <c r="Q59" s="1191">
        <f t="shared" si="14"/>
        <v>221.1</v>
      </c>
      <c r="R59" s="1191">
        <f t="shared" si="14"/>
        <v>227.6</v>
      </c>
      <c r="S59" s="1191">
        <f t="shared" si="14"/>
        <v>227.6</v>
      </c>
      <c r="U59" s="1249">
        <v>219</v>
      </c>
    </row>
    <row r="60" spans="1:21" s="1190" customFormat="1" ht="14.25">
      <c r="A60" s="1353" t="s">
        <v>11</v>
      </c>
      <c r="B60" s="1353"/>
      <c r="C60" s="1353"/>
      <c r="D60" s="1353"/>
      <c r="E60" s="1353"/>
      <c r="F60" s="1353"/>
      <c r="G60" s="1353"/>
      <c r="H60" s="1353"/>
      <c r="I60" s="1238">
        <v>656</v>
      </c>
      <c r="J60" s="1186">
        <v>2</v>
      </c>
      <c r="K60" s="1186">
        <v>3</v>
      </c>
      <c r="L60" s="1187"/>
      <c r="M60" s="1188"/>
      <c r="N60" s="1191">
        <f>N61</f>
        <v>219</v>
      </c>
      <c r="O60" s="1191">
        <f t="shared" si="14"/>
        <v>219</v>
      </c>
      <c r="P60" s="1191">
        <f t="shared" si="14"/>
        <v>221.1</v>
      </c>
      <c r="Q60" s="1191">
        <f t="shared" si="14"/>
        <v>221.1</v>
      </c>
      <c r="R60" s="1191">
        <f t="shared" si="14"/>
        <v>227.6</v>
      </c>
      <c r="S60" s="1191">
        <f t="shared" si="14"/>
        <v>227.6</v>
      </c>
      <c r="U60" s="1249">
        <v>219</v>
      </c>
    </row>
    <row r="61" spans="1:21" s="1190" customFormat="1" ht="51.75" customHeight="1">
      <c r="A61" s="1358" t="s">
        <v>481</v>
      </c>
      <c r="B61" s="1358"/>
      <c r="C61" s="1358"/>
      <c r="D61" s="1358"/>
      <c r="E61" s="1240"/>
      <c r="F61" s="1240"/>
      <c r="G61" s="1240"/>
      <c r="H61" s="1240"/>
      <c r="I61" s="1240">
        <v>656</v>
      </c>
      <c r="J61" s="1202">
        <v>2</v>
      </c>
      <c r="K61" s="1202">
        <v>3</v>
      </c>
      <c r="L61" s="1203" t="s">
        <v>63</v>
      </c>
      <c r="M61" s="1204"/>
      <c r="N61" s="1205">
        <f aca="true" t="shared" si="15" ref="N61:S61">N63</f>
        <v>219</v>
      </c>
      <c r="O61" s="1205">
        <f t="shared" si="15"/>
        <v>219</v>
      </c>
      <c r="P61" s="1205">
        <f t="shared" si="15"/>
        <v>221.1</v>
      </c>
      <c r="Q61" s="1205">
        <f t="shared" si="15"/>
        <v>221.1</v>
      </c>
      <c r="R61" s="1205">
        <f t="shared" si="15"/>
        <v>227.6</v>
      </c>
      <c r="S61" s="1205">
        <f t="shared" si="15"/>
        <v>227.6</v>
      </c>
      <c r="U61" s="1249">
        <v>219</v>
      </c>
    </row>
    <row r="62" spans="1:21" s="1190" customFormat="1" ht="42" customHeight="1">
      <c r="A62" s="1357" t="s">
        <v>635</v>
      </c>
      <c r="B62" s="1360"/>
      <c r="C62" s="1360"/>
      <c r="D62" s="1360"/>
      <c r="E62" s="1239"/>
      <c r="F62" s="1239"/>
      <c r="G62" s="1239"/>
      <c r="H62" s="1239"/>
      <c r="I62" s="1239">
        <v>656</v>
      </c>
      <c r="J62" s="1199">
        <v>2</v>
      </c>
      <c r="K62" s="1199">
        <v>3</v>
      </c>
      <c r="L62" s="968" t="s">
        <v>485</v>
      </c>
      <c r="M62" s="1200"/>
      <c r="N62" s="1201">
        <f>N63</f>
        <v>219</v>
      </c>
      <c r="O62" s="1201">
        <f aca="true" t="shared" si="16" ref="O62:S64">O63</f>
        <v>219</v>
      </c>
      <c r="P62" s="1201">
        <f t="shared" si="16"/>
        <v>221.1</v>
      </c>
      <c r="Q62" s="1201">
        <f t="shared" si="16"/>
        <v>221.1</v>
      </c>
      <c r="R62" s="1201">
        <f t="shared" si="16"/>
        <v>227.6</v>
      </c>
      <c r="S62" s="1201">
        <f t="shared" si="16"/>
        <v>227.6</v>
      </c>
      <c r="U62" s="1249">
        <v>219</v>
      </c>
    </row>
    <row r="63" spans="1:21" s="1190" customFormat="1" ht="60" customHeight="1">
      <c r="A63" s="1357" t="s">
        <v>519</v>
      </c>
      <c r="B63" s="1360"/>
      <c r="C63" s="1360"/>
      <c r="D63" s="1360"/>
      <c r="E63" s="1239"/>
      <c r="F63" s="1239"/>
      <c r="G63" s="1239"/>
      <c r="H63" s="1239"/>
      <c r="I63" s="1239">
        <v>656</v>
      </c>
      <c r="J63" s="1199">
        <v>2</v>
      </c>
      <c r="K63" s="1199">
        <v>3</v>
      </c>
      <c r="L63" s="1207" t="s">
        <v>549</v>
      </c>
      <c r="M63" s="1200">
        <v>0</v>
      </c>
      <c r="N63" s="1201">
        <f aca="true" t="shared" si="17" ref="N63:S63">N64+N66</f>
        <v>219</v>
      </c>
      <c r="O63" s="1201">
        <f t="shared" si="17"/>
        <v>219</v>
      </c>
      <c r="P63" s="1201">
        <f t="shared" si="17"/>
        <v>221.1</v>
      </c>
      <c r="Q63" s="1201">
        <f t="shared" si="17"/>
        <v>221.1</v>
      </c>
      <c r="R63" s="1201">
        <f t="shared" si="17"/>
        <v>227.6</v>
      </c>
      <c r="S63" s="1201">
        <f t="shared" si="17"/>
        <v>227.6</v>
      </c>
      <c r="U63" s="1249">
        <v>219</v>
      </c>
    </row>
    <row r="64" spans="1:21" s="1190" customFormat="1" ht="36" customHeight="1">
      <c r="A64" s="1357" t="s">
        <v>89</v>
      </c>
      <c r="B64" s="1364"/>
      <c r="C64" s="1364"/>
      <c r="D64" s="1364"/>
      <c r="E64" s="1239"/>
      <c r="F64" s="1239"/>
      <c r="G64" s="1239"/>
      <c r="H64" s="1239"/>
      <c r="I64" s="1239">
        <v>656</v>
      </c>
      <c r="J64" s="1199">
        <v>2</v>
      </c>
      <c r="K64" s="1199">
        <v>3</v>
      </c>
      <c r="L64" s="1207" t="s">
        <v>549</v>
      </c>
      <c r="M64" s="1200">
        <v>100</v>
      </c>
      <c r="N64" s="1201">
        <f>N65</f>
        <v>219</v>
      </c>
      <c r="O64" s="1201">
        <f>O65</f>
        <v>219</v>
      </c>
      <c r="P64" s="1201">
        <f t="shared" si="16"/>
        <v>221.1</v>
      </c>
      <c r="Q64" s="1201">
        <f t="shared" si="16"/>
        <v>221.1</v>
      </c>
      <c r="R64" s="1201">
        <f t="shared" si="16"/>
        <v>227.6</v>
      </c>
      <c r="S64" s="1201">
        <f t="shared" si="16"/>
        <v>227.6</v>
      </c>
      <c r="U64" s="1249">
        <v>219</v>
      </c>
    </row>
    <row r="65" spans="1:21" s="1190" customFormat="1" ht="32.25" customHeight="1">
      <c r="A65" s="1357" t="s">
        <v>64</v>
      </c>
      <c r="B65" s="1364"/>
      <c r="C65" s="1364"/>
      <c r="D65" s="1364"/>
      <c r="E65" s="1239"/>
      <c r="F65" s="1239"/>
      <c r="G65" s="1239"/>
      <c r="H65" s="1239"/>
      <c r="I65" s="1239">
        <v>656</v>
      </c>
      <c r="J65" s="1199">
        <v>2</v>
      </c>
      <c r="K65" s="1199">
        <v>3</v>
      </c>
      <c r="L65" s="1207" t="s">
        <v>549</v>
      </c>
      <c r="M65" s="1200">
        <v>120</v>
      </c>
      <c r="N65" s="1201">
        <v>219</v>
      </c>
      <c r="O65" s="1201">
        <f>N65</f>
        <v>219</v>
      </c>
      <c r="P65" s="1201">
        <v>221.1</v>
      </c>
      <c r="Q65" s="1201">
        <f>P65</f>
        <v>221.1</v>
      </c>
      <c r="R65" s="1201">
        <v>227.6</v>
      </c>
      <c r="S65" s="1201">
        <f>R65</f>
        <v>227.6</v>
      </c>
      <c r="U65" s="1249">
        <v>219</v>
      </c>
    </row>
    <row r="66" spans="1:21" s="1190" customFormat="1" ht="26.25" customHeight="1" hidden="1">
      <c r="A66" s="1357" t="s">
        <v>53</v>
      </c>
      <c r="B66" s="1357"/>
      <c r="C66" s="1357"/>
      <c r="D66" s="1357"/>
      <c r="E66" s="1357"/>
      <c r="F66" s="1357"/>
      <c r="G66" s="1357"/>
      <c r="H66" s="1357"/>
      <c r="I66" s="1239">
        <v>656</v>
      </c>
      <c r="J66" s="1199">
        <v>2</v>
      </c>
      <c r="K66" s="1199">
        <v>3</v>
      </c>
      <c r="L66" s="1207" t="s">
        <v>549</v>
      </c>
      <c r="M66" s="1200">
        <v>200</v>
      </c>
      <c r="N66" s="1201">
        <f aca="true" t="shared" si="18" ref="N66:S66">N67</f>
        <v>0</v>
      </c>
      <c r="O66" s="1201">
        <f t="shared" si="18"/>
        <v>0</v>
      </c>
      <c r="P66" s="1201">
        <f t="shared" si="18"/>
        <v>0</v>
      </c>
      <c r="Q66" s="1201">
        <f t="shared" si="18"/>
        <v>0</v>
      </c>
      <c r="R66" s="1201">
        <f t="shared" si="18"/>
        <v>0</v>
      </c>
      <c r="S66" s="1201">
        <f t="shared" si="18"/>
        <v>0</v>
      </c>
      <c r="U66" s="1249">
        <v>0</v>
      </c>
    </row>
    <row r="67" spans="1:21" s="1190" customFormat="1" ht="26.25" customHeight="1" hidden="1">
      <c r="A67" s="1357" t="s">
        <v>55</v>
      </c>
      <c r="B67" s="1357"/>
      <c r="C67" s="1357"/>
      <c r="D67" s="1357"/>
      <c r="E67" s="1357"/>
      <c r="F67" s="1357"/>
      <c r="G67" s="1357"/>
      <c r="H67" s="1357"/>
      <c r="I67" s="1239">
        <v>656</v>
      </c>
      <c r="J67" s="1199">
        <v>2</v>
      </c>
      <c r="K67" s="1199">
        <v>3</v>
      </c>
      <c r="L67" s="1207" t="s">
        <v>549</v>
      </c>
      <c r="M67" s="1200">
        <v>240</v>
      </c>
      <c r="N67" s="1201">
        <v>0</v>
      </c>
      <c r="O67" s="1201">
        <f>N67</f>
        <v>0</v>
      </c>
      <c r="P67" s="1201">
        <v>0</v>
      </c>
      <c r="Q67" s="1201">
        <f>P67</f>
        <v>0</v>
      </c>
      <c r="R67" s="1201">
        <v>0</v>
      </c>
      <c r="S67" s="1201">
        <f>R67</f>
        <v>0</v>
      </c>
      <c r="U67" s="1249">
        <v>0</v>
      </c>
    </row>
    <row r="68" spans="1:21" s="1190" customFormat="1" ht="33.75" customHeight="1">
      <c r="A68" s="1353" t="s">
        <v>21</v>
      </c>
      <c r="B68" s="1353"/>
      <c r="C68" s="1353"/>
      <c r="D68" s="1353"/>
      <c r="E68" s="1353"/>
      <c r="F68" s="1353"/>
      <c r="G68" s="1353"/>
      <c r="H68" s="1353"/>
      <c r="I68" s="1238">
        <v>656</v>
      </c>
      <c r="J68" s="1186">
        <v>3</v>
      </c>
      <c r="K68" s="1186"/>
      <c r="L68" s="1187"/>
      <c r="M68" s="1188"/>
      <c r="N68" s="1191">
        <f aca="true" t="shared" si="19" ref="N68:S68">N69+N78+N93</f>
        <v>1350.70004</v>
      </c>
      <c r="O68" s="1191">
        <f t="shared" si="19"/>
        <v>7</v>
      </c>
      <c r="P68" s="1191">
        <f t="shared" si="19"/>
        <v>1161.576</v>
      </c>
      <c r="Q68" s="1191">
        <f t="shared" si="19"/>
        <v>7</v>
      </c>
      <c r="R68" s="1191">
        <f t="shared" si="19"/>
        <v>1161.576</v>
      </c>
      <c r="S68" s="1191">
        <f t="shared" si="19"/>
        <v>7</v>
      </c>
      <c r="U68" s="1249">
        <v>1350.77104</v>
      </c>
    </row>
    <row r="69" spans="1:21" s="1210" customFormat="1" ht="14.25">
      <c r="A69" s="1353" t="s">
        <v>19</v>
      </c>
      <c r="B69" s="1353"/>
      <c r="C69" s="1353"/>
      <c r="D69" s="1353"/>
      <c r="E69" s="1353"/>
      <c r="F69" s="1353"/>
      <c r="G69" s="1353"/>
      <c r="H69" s="1353"/>
      <c r="I69" s="1238">
        <v>656</v>
      </c>
      <c r="J69" s="1186">
        <v>3</v>
      </c>
      <c r="K69" s="1186">
        <v>4</v>
      </c>
      <c r="L69" s="1187"/>
      <c r="M69" s="1188"/>
      <c r="N69" s="1191">
        <f aca="true" t="shared" si="20" ref="N69:S70">N70</f>
        <v>7</v>
      </c>
      <c r="O69" s="1191">
        <f t="shared" si="20"/>
        <v>7</v>
      </c>
      <c r="P69" s="1191">
        <f t="shared" si="20"/>
        <v>7</v>
      </c>
      <c r="Q69" s="1191">
        <f t="shared" si="20"/>
        <v>7</v>
      </c>
      <c r="R69" s="1191">
        <f t="shared" si="20"/>
        <v>7</v>
      </c>
      <c r="S69" s="1191">
        <f t="shared" si="20"/>
        <v>7</v>
      </c>
      <c r="U69" s="1252">
        <v>7</v>
      </c>
    </row>
    <row r="70" spans="1:21" s="1190" customFormat="1" ht="44.25" customHeight="1">
      <c r="A70" s="1358" t="s">
        <v>484</v>
      </c>
      <c r="B70" s="1358"/>
      <c r="C70" s="1358"/>
      <c r="D70" s="1358"/>
      <c r="E70" s="1240"/>
      <c r="F70" s="1240"/>
      <c r="G70" s="1240"/>
      <c r="H70" s="1240"/>
      <c r="I70" s="1240">
        <v>656</v>
      </c>
      <c r="J70" s="1202">
        <v>3</v>
      </c>
      <c r="K70" s="1202">
        <v>4</v>
      </c>
      <c r="L70" s="1203" t="s">
        <v>63</v>
      </c>
      <c r="M70" s="1204">
        <v>0</v>
      </c>
      <c r="N70" s="1205">
        <f>N71</f>
        <v>7</v>
      </c>
      <c r="O70" s="1205">
        <f t="shared" si="20"/>
        <v>7</v>
      </c>
      <c r="P70" s="1205">
        <f t="shared" si="20"/>
        <v>7</v>
      </c>
      <c r="Q70" s="1205">
        <f t="shared" si="20"/>
        <v>7</v>
      </c>
      <c r="R70" s="1205">
        <f t="shared" si="20"/>
        <v>7</v>
      </c>
      <c r="S70" s="1205">
        <f t="shared" si="20"/>
        <v>7</v>
      </c>
      <c r="U70" s="1249">
        <v>7</v>
      </c>
    </row>
    <row r="71" spans="1:21" s="1190" customFormat="1" ht="57.75" customHeight="1">
      <c r="A71" s="1334" t="s">
        <v>635</v>
      </c>
      <c r="B71" s="1335"/>
      <c r="C71" s="1335"/>
      <c r="D71" s="1336"/>
      <c r="E71" s="1239"/>
      <c r="F71" s="1239"/>
      <c r="G71" s="1239"/>
      <c r="H71" s="1239"/>
      <c r="I71" s="1239">
        <v>656</v>
      </c>
      <c r="J71" s="1199">
        <v>3</v>
      </c>
      <c r="K71" s="1199">
        <v>4</v>
      </c>
      <c r="L71" s="1207" t="s">
        <v>485</v>
      </c>
      <c r="M71" s="1200"/>
      <c r="N71" s="1201">
        <f aca="true" t="shared" si="21" ref="N71:S71">N72+N75</f>
        <v>7</v>
      </c>
      <c r="O71" s="1201">
        <f t="shared" si="21"/>
        <v>7</v>
      </c>
      <c r="P71" s="1201">
        <f t="shared" si="21"/>
        <v>7</v>
      </c>
      <c r="Q71" s="1201">
        <f t="shared" si="21"/>
        <v>7</v>
      </c>
      <c r="R71" s="1201">
        <f t="shared" si="21"/>
        <v>7</v>
      </c>
      <c r="S71" s="1201">
        <f t="shared" si="21"/>
        <v>7</v>
      </c>
      <c r="U71" s="1249">
        <v>7</v>
      </c>
    </row>
    <row r="72" spans="1:21" s="1190" customFormat="1" ht="123" customHeight="1">
      <c r="A72" s="1334" t="s">
        <v>523</v>
      </c>
      <c r="B72" s="1335" t="s">
        <v>523</v>
      </c>
      <c r="C72" s="1335" t="s">
        <v>523</v>
      </c>
      <c r="D72" s="1336" t="s">
        <v>523</v>
      </c>
      <c r="E72" s="1239"/>
      <c r="F72" s="1239"/>
      <c r="G72" s="1239"/>
      <c r="H72" s="1239"/>
      <c r="I72" s="1239">
        <v>656</v>
      </c>
      <c r="J72" s="1199">
        <v>3</v>
      </c>
      <c r="K72" s="1199">
        <v>4</v>
      </c>
      <c r="L72" s="1207" t="s">
        <v>552</v>
      </c>
      <c r="M72" s="1200">
        <v>0</v>
      </c>
      <c r="N72" s="1201">
        <f>N73</f>
        <v>5.6</v>
      </c>
      <c r="O72" s="1201">
        <f aca="true" t="shared" si="22" ref="O72:S73">O73</f>
        <v>5.6</v>
      </c>
      <c r="P72" s="1201">
        <f t="shared" si="22"/>
        <v>5.6</v>
      </c>
      <c r="Q72" s="1201">
        <f t="shared" si="22"/>
        <v>5.6</v>
      </c>
      <c r="R72" s="1201">
        <f t="shared" si="22"/>
        <v>5.6</v>
      </c>
      <c r="S72" s="1201">
        <f t="shared" si="22"/>
        <v>5.6</v>
      </c>
      <c r="U72" s="1249">
        <v>5.6</v>
      </c>
    </row>
    <row r="73" spans="1:21" s="1190" customFormat="1" ht="27" customHeight="1">
      <c r="A73" s="1357" t="s">
        <v>53</v>
      </c>
      <c r="B73" s="1357"/>
      <c r="C73" s="1357"/>
      <c r="D73" s="1357"/>
      <c r="E73" s="1357"/>
      <c r="F73" s="1357"/>
      <c r="G73" s="1357"/>
      <c r="H73" s="1357"/>
      <c r="I73" s="1239">
        <v>656</v>
      </c>
      <c r="J73" s="1199">
        <v>3</v>
      </c>
      <c r="K73" s="1199">
        <v>4</v>
      </c>
      <c r="L73" s="968" t="s">
        <v>552</v>
      </c>
      <c r="M73" s="1200">
        <v>200</v>
      </c>
      <c r="N73" s="1201">
        <f>N74</f>
        <v>5.6</v>
      </c>
      <c r="O73" s="1201">
        <f t="shared" si="22"/>
        <v>5.6</v>
      </c>
      <c r="P73" s="1201">
        <f t="shared" si="22"/>
        <v>5.6</v>
      </c>
      <c r="Q73" s="1201">
        <f t="shared" si="22"/>
        <v>5.6</v>
      </c>
      <c r="R73" s="1201">
        <f t="shared" si="22"/>
        <v>5.6</v>
      </c>
      <c r="S73" s="1201">
        <f t="shared" si="22"/>
        <v>5.6</v>
      </c>
      <c r="U73" s="1249">
        <v>5.6</v>
      </c>
    </row>
    <row r="74" spans="1:21" s="1190" customFormat="1" ht="27" customHeight="1">
      <c r="A74" s="1357" t="s">
        <v>55</v>
      </c>
      <c r="B74" s="1357"/>
      <c r="C74" s="1357"/>
      <c r="D74" s="1357"/>
      <c r="E74" s="1357"/>
      <c r="F74" s="1357"/>
      <c r="G74" s="1357"/>
      <c r="H74" s="1357"/>
      <c r="I74" s="1239">
        <v>656</v>
      </c>
      <c r="J74" s="1199">
        <v>3</v>
      </c>
      <c r="K74" s="1199">
        <v>4</v>
      </c>
      <c r="L74" s="968" t="s">
        <v>552</v>
      </c>
      <c r="M74" s="1200">
        <v>240</v>
      </c>
      <c r="N74" s="1201">
        <v>5.6</v>
      </c>
      <c r="O74" s="1201">
        <f>N74</f>
        <v>5.6</v>
      </c>
      <c r="P74" s="1201">
        <v>5.6</v>
      </c>
      <c r="Q74" s="1201">
        <f>P74</f>
        <v>5.6</v>
      </c>
      <c r="R74" s="1201">
        <v>5.6</v>
      </c>
      <c r="S74" s="1201">
        <f>R74</f>
        <v>5.6</v>
      </c>
      <c r="U74" s="1249">
        <v>5.6</v>
      </c>
    </row>
    <row r="75" spans="1:21" s="1190" customFormat="1" ht="121.5" customHeight="1">
      <c r="A75" s="1357" t="s">
        <v>524</v>
      </c>
      <c r="B75" s="1360" t="s">
        <v>524</v>
      </c>
      <c r="C75" s="1360" t="s">
        <v>524</v>
      </c>
      <c r="D75" s="1360" t="s">
        <v>524</v>
      </c>
      <c r="E75" s="1239"/>
      <c r="F75" s="1239"/>
      <c r="G75" s="1239"/>
      <c r="H75" s="1239"/>
      <c r="I75" s="1239">
        <v>656</v>
      </c>
      <c r="J75" s="1199">
        <v>3</v>
      </c>
      <c r="K75" s="1199">
        <v>4</v>
      </c>
      <c r="L75" s="968" t="s">
        <v>551</v>
      </c>
      <c r="M75" s="1200">
        <v>0</v>
      </c>
      <c r="N75" s="1201">
        <f aca="true" t="shared" si="23" ref="N75:S76">N76</f>
        <v>1.4</v>
      </c>
      <c r="O75" s="1201">
        <f t="shared" si="23"/>
        <v>1.4</v>
      </c>
      <c r="P75" s="1201">
        <f t="shared" si="23"/>
        <v>1.4</v>
      </c>
      <c r="Q75" s="1201">
        <f t="shared" si="23"/>
        <v>1.4</v>
      </c>
      <c r="R75" s="1201">
        <f t="shared" si="23"/>
        <v>1.4</v>
      </c>
      <c r="S75" s="1201">
        <f t="shared" si="23"/>
        <v>1.4</v>
      </c>
      <c r="U75" s="1249">
        <v>1.4</v>
      </c>
    </row>
    <row r="76" spans="1:21" s="1190" customFormat="1" ht="33" customHeight="1">
      <c r="A76" s="1357" t="s">
        <v>53</v>
      </c>
      <c r="B76" s="1357"/>
      <c r="C76" s="1357"/>
      <c r="D76" s="1357"/>
      <c r="E76" s="1357"/>
      <c r="F76" s="1357"/>
      <c r="G76" s="1357"/>
      <c r="H76" s="1357"/>
      <c r="I76" s="1239">
        <v>656</v>
      </c>
      <c r="J76" s="1199">
        <v>3</v>
      </c>
      <c r="K76" s="1199">
        <v>4</v>
      </c>
      <c r="L76" s="968" t="s">
        <v>551</v>
      </c>
      <c r="M76" s="1200">
        <v>200</v>
      </c>
      <c r="N76" s="1201">
        <f t="shared" si="23"/>
        <v>1.4</v>
      </c>
      <c r="O76" s="1201">
        <f t="shared" si="23"/>
        <v>1.4</v>
      </c>
      <c r="P76" s="1201">
        <f t="shared" si="23"/>
        <v>1.4</v>
      </c>
      <c r="Q76" s="1201">
        <f t="shared" si="23"/>
        <v>1.4</v>
      </c>
      <c r="R76" s="1201">
        <f t="shared" si="23"/>
        <v>1.4</v>
      </c>
      <c r="S76" s="1201">
        <f t="shared" si="23"/>
        <v>1.4</v>
      </c>
      <c r="U76" s="1249">
        <v>1.4</v>
      </c>
    </row>
    <row r="77" spans="1:21" s="1190" customFormat="1" ht="33" customHeight="1">
      <c r="A77" s="1358" t="s">
        <v>55</v>
      </c>
      <c r="B77" s="1358"/>
      <c r="C77" s="1358"/>
      <c r="D77" s="1358"/>
      <c r="E77" s="1358"/>
      <c r="F77" s="1358"/>
      <c r="G77" s="1358"/>
      <c r="H77" s="1358"/>
      <c r="I77" s="1239">
        <v>656</v>
      </c>
      <c r="J77" s="1199">
        <v>3</v>
      </c>
      <c r="K77" s="1199">
        <v>4</v>
      </c>
      <c r="L77" s="968" t="s">
        <v>551</v>
      </c>
      <c r="M77" s="1200">
        <v>240</v>
      </c>
      <c r="N77" s="1201">
        <v>1.4</v>
      </c>
      <c r="O77" s="1201">
        <f>N77</f>
        <v>1.4</v>
      </c>
      <c r="P77" s="1201">
        <v>1.4</v>
      </c>
      <c r="Q77" s="1201">
        <f>P77</f>
        <v>1.4</v>
      </c>
      <c r="R77" s="1201">
        <v>1.4</v>
      </c>
      <c r="S77" s="1201">
        <f>R77</f>
        <v>1.4</v>
      </c>
      <c r="U77" s="1249">
        <v>1.4</v>
      </c>
    </row>
    <row r="78" spans="1:21" s="1190" customFormat="1" ht="42.75" customHeight="1">
      <c r="A78" s="1353" t="s">
        <v>10</v>
      </c>
      <c r="B78" s="1353"/>
      <c r="C78" s="1353"/>
      <c r="D78" s="1353"/>
      <c r="E78" s="1353"/>
      <c r="F78" s="1353"/>
      <c r="G78" s="1353"/>
      <c r="H78" s="1353"/>
      <c r="I78" s="1238">
        <v>656</v>
      </c>
      <c r="J78" s="1186">
        <v>3</v>
      </c>
      <c r="K78" s="1186">
        <v>9</v>
      </c>
      <c r="L78" s="1187"/>
      <c r="M78" s="1188"/>
      <c r="N78" s="1191">
        <f aca="true" t="shared" si="24" ref="N78:S78">N79+N88</f>
        <v>1316.60004</v>
      </c>
      <c r="O78" s="1191">
        <f t="shared" si="24"/>
        <v>0</v>
      </c>
      <c r="P78" s="1191">
        <f t="shared" si="24"/>
        <v>1127.376</v>
      </c>
      <c r="Q78" s="1191">
        <f t="shared" si="24"/>
        <v>0</v>
      </c>
      <c r="R78" s="1191">
        <f t="shared" si="24"/>
        <v>1127.376</v>
      </c>
      <c r="S78" s="1191">
        <f t="shared" si="24"/>
        <v>0</v>
      </c>
      <c r="U78" s="1249">
        <v>1316.6710400000002</v>
      </c>
    </row>
    <row r="79" spans="1:21" s="1190" customFormat="1" ht="41.25" customHeight="1">
      <c r="A79" s="1365" t="s">
        <v>480</v>
      </c>
      <c r="B79" s="1366"/>
      <c r="C79" s="1366"/>
      <c r="D79" s="1367"/>
      <c r="E79" s="1240">
        <v>0</v>
      </c>
      <c r="F79" s="1240">
        <v>0</v>
      </c>
      <c r="G79" s="1240">
        <v>459.26</v>
      </c>
      <c r="H79" s="1240">
        <v>271.88278</v>
      </c>
      <c r="I79" s="1240">
        <v>656</v>
      </c>
      <c r="J79" s="1202">
        <v>3</v>
      </c>
      <c r="K79" s="1202">
        <v>9</v>
      </c>
      <c r="L79" s="1203" t="s">
        <v>726</v>
      </c>
      <c r="M79" s="1204"/>
      <c r="N79" s="1205">
        <f aca="true" t="shared" si="25" ref="N79:S79">N80+N84</f>
        <v>946.60004</v>
      </c>
      <c r="O79" s="1205">
        <f t="shared" si="25"/>
        <v>0</v>
      </c>
      <c r="P79" s="1205">
        <f t="shared" si="25"/>
        <v>827.376</v>
      </c>
      <c r="Q79" s="1205">
        <f t="shared" si="25"/>
        <v>0</v>
      </c>
      <c r="R79" s="1205">
        <f t="shared" si="25"/>
        <v>827.376</v>
      </c>
      <c r="S79" s="1205">
        <f t="shared" si="25"/>
        <v>0</v>
      </c>
      <c r="U79" s="1249">
        <v>946.6710400000001</v>
      </c>
    </row>
    <row r="80" spans="1:21" s="1190" customFormat="1" ht="75" customHeight="1">
      <c r="A80" s="1334" t="s">
        <v>727</v>
      </c>
      <c r="B80" s="1335"/>
      <c r="C80" s="1335"/>
      <c r="D80" s="1336"/>
      <c r="E80" s="1239">
        <v>0</v>
      </c>
      <c r="F80" s="1239">
        <v>0</v>
      </c>
      <c r="G80" s="1239">
        <v>72.45</v>
      </c>
      <c r="H80" s="1239">
        <v>72.45</v>
      </c>
      <c r="I80" s="1239">
        <v>656</v>
      </c>
      <c r="J80" s="1199">
        <v>3</v>
      </c>
      <c r="K80" s="1199">
        <v>9</v>
      </c>
      <c r="L80" s="968" t="s">
        <v>525</v>
      </c>
      <c r="M80" s="1200"/>
      <c r="N80" s="1201">
        <f>N81</f>
        <v>946.60004</v>
      </c>
      <c r="O80" s="1201">
        <f aca="true" t="shared" si="26" ref="O80:S81">O81</f>
        <v>0</v>
      </c>
      <c r="P80" s="1201">
        <f t="shared" si="26"/>
        <v>827.376</v>
      </c>
      <c r="Q80" s="1201">
        <f t="shared" si="26"/>
        <v>0</v>
      </c>
      <c r="R80" s="1201">
        <f t="shared" si="26"/>
        <v>827.376</v>
      </c>
      <c r="S80" s="1201">
        <f t="shared" si="26"/>
        <v>0</v>
      </c>
      <c r="U80" s="1249">
        <v>946.6710400000001</v>
      </c>
    </row>
    <row r="81" spans="1:21" s="1190" customFormat="1" ht="74.25" customHeight="1">
      <c r="A81" s="1334" t="s">
        <v>728</v>
      </c>
      <c r="B81" s="1335"/>
      <c r="C81" s="1335"/>
      <c r="D81" s="1335"/>
      <c r="E81" s="1335"/>
      <c r="F81" s="1335"/>
      <c r="G81" s="1335"/>
      <c r="H81" s="1336"/>
      <c r="I81" s="1239">
        <v>656</v>
      </c>
      <c r="J81" s="1199">
        <v>3</v>
      </c>
      <c r="K81" s="1199">
        <v>9</v>
      </c>
      <c r="L81" s="968" t="s">
        <v>729</v>
      </c>
      <c r="M81" s="1200" t="s">
        <v>40</v>
      </c>
      <c r="N81" s="1201">
        <f>N82</f>
        <v>946.60004</v>
      </c>
      <c r="O81" s="1201">
        <f t="shared" si="26"/>
        <v>0</v>
      </c>
      <c r="P81" s="1201">
        <f t="shared" si="26"/>
        <v>827.376</v>
      </c>
      <c r="Q81" s="1201">
        <f t="shared" si="26"/>
        <v>0</v>
      </c>
      <c r="R81" s="1201">
        <f t="shared" si="26"/>
        <v>827.376</v>
      </c>
      <c r="S81" s="1201">
        <f t="shared" si="26"/>
        <v>0</v>
      </c>
      <c r="U81" s="1249">
        <v>946.6710400000001</v>
      </c>
    </row>
    <row r="82" spans="1:21" s="1190" customFormat="1" ht="30" customHeight="1">
      <c r="A82" s="1334" t="s">
        <v>53</v>
      </c>
      <c r="B82" s="1335"/>
      <c r="C82" s="1335"/>
      <c r="D82" s="1335"/>
      <c r="E82" s="1335"/>
      <c r="F82" s="1335"/>
      <c r="G82" s="1335"/>
      <c r="H82" s="1336"/>
      <c r="I82" s="1239">
        <v>656</v>
      </c>
      <c r="J82" s="1199">
        <v>3</v>
      </c>
      <c r="K82" s="1199">
        <v>9</v>
      </c>
      <c r="L82" s="968" t="s">
        <v>729</v>
      </c>
      <c r="M82" s="1200" t="s">
        <v>54</v>
      </c>
      <c r="N82" s="1201">
        <f>N83</f>
        <v>946.60004</v>
      </c>
      <c r="O82" s="1201">
        <f>O83</f>
        <v>0</v>
      </c>
      <c r="P82" s="1201">
        <f>P83</f>
        <v>827.376</v>
      </c>
      <c r="Q82" s="1201">
        <f>Q83</f>
        <v>0</v>
      </c>
      <c r="R82" s="1201">
        <f>R83</f>
        <v>827.376</v>
      </c>
      <c r="S82" s="1201">
        <f>S83</f>
        <v>0</v>
      </c>
      <c r="U82" s="1249">
        <v>946.6710400000001</v>
      </c>
    </row>
    <row r="83" spans="1:21" s="1190" customFormat="1" ht="43.5" customHeight="1">
      <c r="A83" s="1334" t="s">
        <v>55</v>
      </c>
      <c r="B83" s="1335"/>
      <c r="C83" s="1335"/>
      <c r="D83" s="1336"/>
      <c r="E83" s="1239">
        <v>0</v>
      </c>
      <c r="F83" s="1239">
        <v>0</v>
      </c>
      <c r="G83" s="1239">
        <v>72.45</v>
      </c>
      <c r="H83" s="1239">
        <v>72.45</v>
      </c>
      <c r="I83" s="1239">
        <v>656</v>
      </c>
      <c r="J83" s="1199">
        <v>3</v>
      </c>
      <c r="K83" s="1199">
        <v>9</v>
      </c>
      <c r="L83" s="968" t="s">
        <v>729</v>
      </c>
      <c r="M83" s="1200" t="s">
        <v>56</v>
      </c>
      <c r="N83" s="1201">
        <v>946.60004</v>
      </c>
      <c r="O83" s="1201">
        <v>0</v>
      </c>
      <c r="P83" s="1201">
        <v>827.376</v>
      </c>
      <c r="Q83" s="1201">
        <v>0</v>
      </c>
      <c r="R83" s="1201">
        <v>827.376</v>
      </c>
      <c r="S83" s="1201">
        <v>0</v>
      </c>
      <c r="U83" s="1249">
        <v>946.6710400000001</v>
      </c>
    </row>
    <row r="84" spans="1:21" s="1190" customFormat="1" ht="33" customHeight="1" hidden="1">
      <c r="A84" s="1334"/>
      <c r="B84" s="1335"/>
      <c r="C84" s="1335"/>
      <c r="D84" s="1336"/>
      <c r="E84" s="1239"/>
      <c r="F84" s="1239"/>
      <c r="G84" s="1239"/>
      <c r="H84" s="1239"/>
      <c r="I84" s="1239"/>
      <c r="J84" s="1199"/>
      <c r="K84" s="1199"/>
      <c r="L84" s="968"/>
      <c r="M84" s="1200"/>
      <c r="N84" s="1201"/>
      <c r="O84" s="1201"/>
      <c r="P84" s="1201"/>
      <c r="Q84" s="1201"/>
      <c r="R84" s="1201"/>
      <c r="S84" s="1201"/>
      <c r="U84" s="1249"/>
    </row>
    <row r="85" spans="1:21" s="1190" customFormat="1" ht="53.25" customHeight="1" hidden="1">
      <c r="A85" s="1334"/>
      <c r="B85" s="1335"/>
      <c r="C85" s="1335"/>
      <c r="D85" s="1335"/>
      <c r="E85" s="1335"/>
      <c r="F85" s="1335"/>
      <c r="G85" s="1335"/>
      <c r="H85" s="1336"/>
      <c r="I85" s="1239"/>
      <c r="J85" s="1199"/>
      <c r="K85" s="1199"/>
      <c r="L85" s="968"/>
      <c r="M85" s="1200"/>
      <c r="N85" s="1201"/>
      <c r="O85" s="1201"/>
      <c r="P85" s="1201"/>
      <c r="Q85" s="1201"/>
      <c r="R85" s="1201"/>
      <c r="S85" s="1201"/>
      <c r="U85" s="1249"/>
    </row>
    <row r="86" spans="1:21" s="1190" customFormat="1" ht="36" customHeight="1" hidden="1">
      <c r="A86" s="1334"/>
      <c r="B86" s="1335"/>
      <c r="C86" s="1335"/>
      <c r="D86" s="1335"/>
      <c r="E86" s="1335"/>
      <c r="F86" s="1335"/>
      <c r="G86" s="1335"/>
      <c r="H86" s="1336"/>
      <c r="I86" s="1239"/>
      <c r="J86" s="1199"/>
      <c r="K86" s="1199"/>
      <c r="L86" s="968"/>
      <c r="M86" s="1200"/>
      <c r="N86" s="1201"/>
      <c r="O86" s="1201"/>
      <c r="P86" s="1201"/>
      <c r="Q86" s="1201"/>
      <c r="R86" s="1201"/>
      <c r="S86" s="1201"/>
      <c r="U86" s="1249"/>
    </row>
    <row r="87" spans="1:21" s="1190" customFormat="1" ht="44.25" customHeight="1" hidden="1">
      <c r="A87" s="1334"/>
      <c r="B87" s="1335"/>
      <c r="C87" s="1335"/>
      <c r="D87" s="1336"/>
      <c r="E87" s="1239"/>
      <c r="F87" s="1239"/>
      <c r="G87" s="1239"/>
      <c r="H87" s="1239"/>
      <c r="I87" s="1211"/>
      <c r="J87" s="1212"/>
      <c r="K87" s="1212"/>
      <c r="L87" s="1213"/>
      <c r="M87" s="1214"/>
      <c r="N87" s="1215"/>
      <c r="O87" s="1215"/>
      <c r="P87" s="1215"/>
      <c r="Q87" s="1215"/>
      <c r="R87" s="1215"/>
      <c r="S87" s="1215"/>
      <c r="U87" s="1249"/>
    </row>
    <row r="88" spans="1:21" s="1221" customFormat="1" ht="44.25" customHeight="1">
      <c r="A88" s="1368" t="s">
        <v>476</v>
      </c>
      <c r="B88" s="1369"/>
      <c r="C88" s="1369"/>
      <c r="D88" s="1370"/>
      <c r="E88" s="1240"/>
      <c r="F88" s="1240"/>
      <c r="G88" s="1240"/>
      <c r="H88" s="1240"/>
      <c r="I88" s="1216">
        <v>656</v>
      </c>
      <c r="J88" s="1217">
        <v>3</v>
      </c>
      <c r="K88" s="1217">
        <v>9</v>
      </c>
      <c r="L88" s="1218" t="s">
        <v>75</v>
      </c>
      <c r="M88" s="1219"/>
      <c r="N88" s="1220">
        <f>N89</f>
        <v>370</v>
      </c>
      <c r="O88" s="1220">
        <v>0</v>
      </c>
      <c r="P88" s="1220">
        <f>P89</f>
        <v>300</v>
      </c>
      <c r="Q88" s="1220">
        <v>0</v>
      </c>
      <c r="R88" s="1220">
        <f>R89</f>
        <v>300</v>
      </c>
      <c r="S88" s="1220">
        <v>0</v>
      </c>
      <c r="U88" s="1253">
        <v>370</v>
      </c>
    </row>
    <row r="89" spans="1:21" s="1190" customFormat="1" ht="44.25" customHeight="1">
      <c r="A89" s="1361" t="s">
        <v>536</v>
      </c>
      <c r="B89" s="1362"/>
      <c r="C89" s="1362"/>
      <c r="D89" s="1363"/>
      <c r="E89" s="1239"/>
      <c r="F89" s="1239"/>
      <c r="G89" s="1239"/>
      <c r="H89" s="1239"/>
      <c r="I89" s="1211">
        <v>656</v>
      </c>
      <c r="J89" s="1212">
        <v>3</v>
      </c>
      <c r="K89" s="1212">
        <v>9</v>
      </c>
      <c r="L89" s="1213" t="s">
        <v>541</v>
      </c>
      <c r="M89" s="1214"/>
      <c r="N89" s="1215">
        <f>N90</f>
        <v>370</v>
      </c>
      <c r="O89" s="1215">
        <v>0</v>
      </c>
      <c r="P89" s="1215">
        <f>P90</f>
        <v>300</v>
      </c>
      <c r="Q89" s="1215"/>
      <c r="R89" s="1215">
        <f>R90</f>
        <v>300</v>
      </c>
      <c r="S89" s="1215">
        <v>0</v>
      </c>
      <c r="U89" s="1249">
        <v>370</v>
      </c>
    </row>
    <row r="90" spans="1:21" s="1190" customFormat="1" ht="58.5" customHeight="1">
      <c r="A90" s="1361" t="s">
        <v>537</v>
      </c>
      <c r="B90" s="1362"/>
      <c r="C90" s="1362"/>
      <c r="D90" s="1363"/>
      <c r="E90" s="1239"/>
      <c r="F90" s="1239"/>
      <c r="G90" s="1239"/>
      <c r="H90" s="1239"/>
      <c r="I90" s="1211">
        <v>656</v>
      </c>
      <c r="J90" s="1212">
        <v>3</v>
      </c>
      <c r="K90" s="1212">
        <v>9</v>
      </c>
      <c r="L90" s="1213" t="s">
        <v>76</v>
      </c>
      <c r="M90" s="1214"/>
      <c r="N90" s="1215">
        <f>N91</f>
        <v>370</v>
      </c>
      <c r="O90" s="1215">
        <v>0</v>
      </c>
      <c r="P90" s="1215">
        <f>P91</f>
        <v>300</v>
      </c>
      <c r="Q90" s="1215"/>
      <c r="R90" s="1215">
        <f>R91</f>
        <v>300</v>
      </c>
      <c r="S90" s="1215">
        <v>0</v>
      </c>
      <c r="U90" s="1249">
        <v>370</v>
      </c>
    </row>
    <row r="91" spans="1:21" s="1190" customFormat="1" ht="44.25" customHeight="1">
      <c r="A91" s="1361" t="s">
        <v>53</v>
      </c>
      <c r="B91" s="1362"/>
      <c r="C91" s="1362"/>
      <c r="D91" s="1363"/>
      <c r="E91" s="1239"/>
      <c r="F91" s="1239"/>
      <c r="G91" s="1239"/>
      <c r="H91" s="1239"/>
      <c r="I91" s="1211">
        <v>656</v>
      </c>
      <c r="J91" s="1212">
        <v>3</v>
      </c>
      <c r="K91" s="1212">
        <v>9</v>
      </c>
      <c r="L91" s="1213" t="s">
        <v>76</v>
      </c>
      <c r="M91" s="1214" t="s">
        <v>54</v>
      </c>
      <c r="N91" s="1215">
        <f>N92</f>
        <v>370</v>
      </c>
      <c r="O91" s="1215">
        <v>0</v>
      </c>
      <c r="P91" s="1215">
        <f>P92</f>
        <v>300</v>
      </c>
      <c r="Q91" s="1215"/>
      <c r="R91" s="1215">
        <f>R92</f>
        <v>300</v>
      </c>
      <c r="S91" s="1215">
        <v>0</v>
      </c>
      <c r="U91" s="1249">
        <v>370</v>
      </c>
    </row>
    <row r="92" spans="1:21" s="1190" customFormat="1" ht="44.25" customHeight="1">
      <c r="A92" s="1361" t="s">
        <v>55</v>
      </c>
      <c r="B92" s="1362"/>
      <c r="C92" s="1362"/>
      <c r="D92" s="1363"/>
      <c r="E92" s="1239"/>
      <c r="F92" s="1239"/>
      <c r="G92" s="1239"/>
      <c r="H92" s="1239"/>
      <c r="I92" s="1211">
        <v>656</v>
      </c>
      <c r="J92" s="1212">
        <v>3</v>
      </c>
      <c r="K92" s="1212">
        <v>9</v>
      </c>
      <c r="L92" s="1213" t="s">
        <v>76</v>
      </c>
      <c r="M92" s="1214" t="s">
        <v>56</v>
      </c>
      <c r="N92" s="1201">
        <f>('Проект на 20-22г отраб.с ДФ '!V204+'Проект на 20-22г отраб.с ДФ '!X204)/1000</f>
        <v>370</v>
      </c>
      <c r="O92" s="1215">
        <v>0</v>
      </c>
      <c r="P92" s="1201">
        <v>300</v>
      </c>
      <c r="Q92" s="1215">
        <v>0</v>
      </c>
      <c r="R92" s="1201">
        <v>300</v>
      </c>
      <c r="S92" s="1215">
        <v>0</v>
      </c>
      <c r="U92" s="1249">
        <v>370</v>
      </c>
    </row>
    <row r="93" spans="1:21" s="1190" customFormat="1" ht="27.75" customHeight="1">
      <c r="A93" s="1353" t="s">
        <v>18</v>
      </c>
      <c r="B93" s="1353"/>
      <c r="C93" s="1353"/>
      <c r="D93" s="1353"/>
      <c r="E93" s="1353"/>
      <c r="F93" s="1353"/>
      <c r="G93" s="1353"/>
      <c r="H93" s="1353"/>
      <c r="I93" s="1238">
        <v>656</v>
      </c>
      <c r="J93" s="1186">
        <v>3</v>
      </c>
      <c r="K93" s="1186">
        <v>14</v>
      </c>
      <c r="L93" s="1187"/>
      <c r="M93" s="1188"/>
      <c r="N93" s="1191">
        <f>N94</f>
        <v>27.1</v>
      </c>
      <c r="O93" s="1191">
        <f aca="true" t="shared" si="27" ref="N93:S94">O94</f>
        <v>0</v>
      </c>
      <c r="P93" s="1191">
        <f t="shared" si="27"/>
        <v>27.2</v>
      </c>
      <c r="Q93" s="1191">
        <f t="shared" si="27"/>
        <v>0</v>
      </c>
      <c r="R93" s="1191">
        <f t="shared" si="27"/>
        <v>27.2</v>
      </c>
      <c r="S93" s="1191">
        <f t="shared" si="27"/>
        <v>0</v>
      </c>
      <c r="U93" s="1249">
        <v>27.1</v>
      </c>
    </row>
    <row r="94" spans="1:21" s="1190" customFormat="1" ht="28.5" customHeight="1">
      <c r="A94" s="1371" t="s">
        <v>469</v>
      </c>
      <c r="B94" s="1371"/>
      <c r="C94" s="1371"/>
      <c r="D94" s="1371"/>
      <c r="E94" s="1371"/>
      <c r="F94" s="1371"/>
      <c r="G94" s="1371"/>
      <c r="H94" s="1371"/>
      <c r="I94" s="1239">
        <v>656</v>
      </c>
      <c r="J94" s="1199">
        <v>3</v>
      </c>
      <c r="K94" s="1199">
        <v>14</v>
      </c>
      <c r="L94" s="968" t="s">
        <v>70</v>
      </c>
      <c r="M94" s="1200">
        <v>0</v>
      </c>
      <c r="N94" s="1201">
        <f t="shared" si="27"/>
        <v>27.1</v>
      </c>
      <c r="O94" s="1201">
        <f t="shared" si="27"/>
        <v>0</v>
      </c>
      <c r="P94" s="1201">
        <f t="shared" si="27"/>
        <v>27.2</v>
      </c>
      <c r="Q94" s="1201">
        <f t="shared" si="27"/>
        <v>0</v>
      </c>
      <c r="R94" s="1201">
        <f t="shared" si="27"/>
        <v>27.2</v>
      </c>
      <c r="S94" s="1201">
        <f t="shared" si="27"/>
        <v>0</v>
      </c>
      <c r="U94" s="1249">
        <v>27.1</v>
      </c>
    </row>
    <row r="95" spans="1:21" s="1190" customFormat="1" ht="28.5" customHeight="1">
      <c r="A95" s="1372" t="s">
        <v>498</v>
      </c>
      <c r="B95" s="1373"/>
      <c r="C95" s="1373"/>
      <c r="D95" s="1374"/>
      <c r="E95" s="1241"/>
      <c r="F95" s="1241"/>
      <c r="G95" s="1241"/>
      <c r="H95" s="1241"/>
      <c r="I95" s="1239"/>
      <c r="J95" s="1199"/>
      <c r="K95" s="1199"/>
      <c r="L95" s="968" t="s">
        <v>501</v>
      </c>
      <c r="M95" s="1200"/>
      <c r="N95" s="1201">
        <f aca="true" t="shared" si="28" ref="N95:S95">N96+N99</f>
        <v>27.1</v>
      </c>
      <c r="O95" s="1201">
        <f t="shared" si="28"/>
        <v>0</v>
      </c>
      <c r="P95" s="1201">
        <f t="shared" si="28"/>
        <v>27.2</v>
      </c>
      <c r="Q95" s="1201">
        <f t="shared" si="28"/>
        <v>0</v>
      </c>
      <c r="R95" s="1201">
        <f t="shared" si="28"/>
        <v>27.2</v>
      </c>
      <c r="S95" s="1201">
        <f t="shared" si="28"/>
        <v>0</v>
      </c>
      <c r="U95" s="1249">
        <v>27.1</v>
      </c>
    </row>
    <row r="96" spans="1:21" s="1190" customFormat="1" ht="54" customHeight="1">
      <c r="A96" s="1371" t="s">
        <v>499</v>
      </c>
      <c r="B96" s="1371"/>
      <c r="C96" s="1371"/>
      <c r="D96" s="1371"/>
      <c r="E96" s="1371"/>
      <c r="F96" s="1371"/>
      <c r="G96" s="1371"/>
      <c r="H96" s="1371"/>
      <c r="I96" s="1239">
        <v>656</v>
      </c>
      <c r="J96" s="1199">
        <v>3</v>
      </c>
      <c r="K96" s="1199">
        <v>14</v>
      </c>
      <c r="L96" s="968" t="s">
        <v>71</v>
      </c>
      <c r="M96" s="1200">
        <v>0</v>
      </c>
      <c r="N96" s="1201">
        <f>N97</f>
        <v>13.5</v>
      </c>
      <c r="O96" s="1201">
        <f aca="true" t="shared" si="29" ref="O96:S97">O97</f>
        <v>0</v>
      </c>
      <c r="P96" s="1201">
        <f t="shared" si="29"/>
        <v>13.6</v>
      </c>
      <c r="Q96" s="1201">
        <f t="shared" si="29"/>
        <v>0</v>
      </c>
      <c r="R96" s="1201">
        <f t="shared" si="29"/>
        <v>13.6</v>
      </c>
      <c r="S96" s="1201">
        <f t="shared" si="29"/>
        <v>0</v>
      </c>
      <c r="U96" s="1249">
        <v>13.5</v>
      </c>
    </row>
    <row r="97" spans="1:21" s="1190" customFormat="1" ht="30" customHeight="1">
      <c r="A97" s="1357" t="s">
        <v>53</v>
      </c>
      <c r="B97" s="1357"/>
      <c r="C97" s="1357"/>
      <c r="D97" s="1357"/>
      <c r="E97" s="1357"/>
      <c r="F97" s="1357"/>
      <c r="G97" s="1357"/>
      <c r="H97" s="1357"/>
      <c r="I97" s="1239">
        <v>656</v>
      </c>
      <c r="J97" s="1199">
        <v>3</v>
      </c>
      <c r="K97" s="1199">
        <v>14</v>
      </c>
      <c r="L97" s="968" t="s">
        <v>71</v>
      </c>
      <c r="M97" s="1200">
        <v>200</v>
      </c>
      <c r="N97" s="1201">
        <f>N98</f>
        <v>13.5</v>
      </c>
      <c r="O97" s="1201">
        <f t="shared" si="29"/>
        <v>0</v>
      </c>
      <c r="P97" s="1201">
        <f t="shared" si="29"/>
        <v>13.6</v>
      </c>
      <c r="Q97" s="1201">
        <f t="shared" si="29"/>
        <v>0</v>
      </c>
      <c r="R97" s="1201">
        <f t="shared" si="29"/>
        <v>13.6</v>
      </c>
      <c r="S97" s="1201">
        <f t="shared" si="29"/>
        <v>0</v>
      </c>
      <c r="U97" s="1249">
        <v>13.5</v>
      </c>
    </row>
    <row r="98" spans="1:21" s="1190" customFormat="1" ht="30" customHeight="1">
      <c r="A98" s="1357" t="s">
        <v>55</v>
      </c>
      <c r="B98" s="1357"/>
      <c r="C98" s="1357"/>
      <c r="D98" s="1357"/>
      <c r="E98" s="1357"/>
      <c r="F98" s="1357"/>
      <c r="G98" s="1357"/>
      <c r="H98" s="1357"/>
      <c r="I98" s="1239">
        <v>656</v>
      </c>
      <c r="J98" s="1199">
        <v>3</v>
      </c>
      <c r="K98" s="1199">
        <v>14</v>
      </c>
      <c r="L98" s="968" t="s">
        <v>71</v>
      </c>
      <c r="M98" s="1200">
        <v>240</v>
      </c>
      <c r="N98" s="1201">
        <v>13.5</v>
      </c>
      <c r="O98" s="1201">
        <v>0</v>
      </c>
      <c r="P98" s="1201">
        <v>13.6</v>
      </c>
      <c r="Q98" s="1201">
        <v>0</v>
      </c>
      <c r="R98" s="1201">
        <v>13.6</v>
      </c>
      <c r="S98" s="1201">
        <v>0</v>
      </c>
      <c r="U98" s="1249">
        <v>13.5</v>
      </c>
    </row>
    <row r="99" spans="1:21" s="1190" customFormat="1" ht="54.75" customHeight="1">
      <c r="A99" s="1371" t="s">
        <v>500</v>
      </c>
      <c r="B99" s="1371"/>
      <c r="C99" s="1371"/>
      <c r="D99" s="1371"/>
      <c r="E99" s="1371"/>
      <c r="F99" s="1371"/>
      <c r="G99" s="1371"/>
      <c r="H99" s="1371"/>
      <c r="I99" s="1239">
        <v>656</v>
      </c>
      <c r="J99" s="1199">
        <v>3</v>
      </c>
      <c r="K99" s="1199">
        <v>14</v>
      </c>
      <c r="L99" s="968" t="s">
        <v>72</v>
      </c>
      <c r="M99" s="1200">
        <v>0</v>
      </c>
      <c r="N99" s="1201">
        <f>N100</f>
        <v>13.6</v>
      </c>
      <c r="O99" s="1201">
        <f aca="true" t="shared" si="30" ref="O99:S100">O100</f>
        <v>0</v>
      </c>
      <c r="P99" s="1201">
        <f t="shared" si="30"/>
        <v>13.6</v>
      </c>
      <c r="Q99" s="1201">
        <f t="shared" si="30"/>
        <v>0</v>
      </c>
      <c r="R99" s="1201">
        <f t="shared" si="30"/>
        <v>13.6</v>
      </c>
      <c r="S99" s="1201">
        <f t="shared" si="30"/>
        <v>0</v>
      </c>
      <c r="U99" s="1249">
        <v>13.6</v>
      </c>
    </row>
    <row r="100" spans="1:21" s="1190" customFormat="1" ht="27" customHeight="1">
      <c r="A100" s="1357" t="s">
        <v>53</v>
      </c>
      <c r="B100" s="1357"/>
      <c r="C100" s="1357"/>
      <c r="D100" s="1357"/>
      <c r="E100" s="1357"/>
      <c r="F100" s="1357"/>
      <c r="G100" s="1357"/>
      <c r="H100" s="1357"/>
      <c r="I100" s="1239">
        <v>656</v>
      </c>
      <c r="J100" s="1199">
        <v>3</v>
      </c>
      <c r="K100" s="1199">
        <v>14</v>
      </c>
      <c r="L100" s="968" t="s">
        <v>72</v>
      </c>
      <c r="M100" s="1200">
        <v>200</v>
      </c>
      <c r="N100" s="1201">
        <f>N101</f>
        <v>13.6</v>
      </c>
      <c r="O100" s="1201">
        <f t="shared" si="30"/>
        <v>0</v>
      </c>
      <c r="P100" s="1201">
        <f t="shared" si="30"/>
        <v>13.6</v>
      </c>
      <c r="Q100" s="1201">
        <f t="shared" si="30"/>
        <v>0</v>
      </c>
      <c r="R100" s="1201">
        <f t="shared" si="30"/>
        <v>13.6</v>
      </c>
      <c r="S100" s="1201">
        <f t="shared" si="30"/>
        <v>0</v>
      </c>
      <c r="U100" s="1249">
        <v>13.6</v>
      </c>
    </row>
    <row r="101" spans="1:21" s="1190" customFormat="1" ht="27" customHeight="1">
      <c r="A101" s="1357" t="s">
        <v>55</v>
      </c>
      <c r="B101" s="1357"/>
      <c r="C101" s="1357"/>
      <c r="D101" s="1357"/>
      <c r="E101" s="1357"/>
      <c r="F101" s="1357"/>
      <c r="G101" s="1357"/>
      <c r="H101" s="1357"/>
      <c r="I101" s="1239">
        <v>656</v>
      </c>
      <c r="J101" s="1199">
        <v>3</v>
      </c>
      <c r="K101" s="1199">
        <v>14</v>
      </c>
      <c r="L101" s="968" t="s">
        <v>72</v>
      </c>
      <c r="M101" s="1200">
        <v>240</v>
      </c>
      <c r="N101" s="1201">
        <v>13.6</v>
      </c>
      <c r="O101" s="1201">
        <v>0</v>
      </c>
      <c r="P101" s="1201">
        <v>13.6</v>
      </c>
      <c r="Q101" s="1201">
        <v>0</v>
      </c>
      <c r="R101" s="1201">
        <v>13.6</v>
      </c>
      <c r="S101" s="1201">
        <v>0</v>
      </c>
      <c r="U101" s="1249">
        <v>13.6</v>
      </c>
    </row>
    <row r="102" spans="1:21" s="1190" customFormat="1" ht="23.25" customHeight="1">
      <c r="A102" s="1353" t="s">
        <v>22</v>
      </c>
      <c r="B102" s="1353"/>
      <c r="C102" s="1353"/>
      <c r="D102" s="1353"/>
      <c r="E102" s="1353"/>
      <c r="F102" s="1353"/>
      <c r="G102" s="1353"/>
      <c r="H102" s="1353"/>
      <c r="I102" s="1238">
        <v>656</v>
      </c>
      <c r="J102" s="1186">
        <v>4</v>
      </c>
      <c r="K102" s="1186"/>
      <c r="L102" s="1187"/>
      <c r="M102" s="1188"/>
      <c r="N102" s="1191">
        <f>N115+N104+N127+N121+N109</f>
        <v>9634.002</v>
      </c>
      <c r="O102" s="1191">
        <f>O115</f>
        <v>0</v>
      </c>
      <c r="P102" s="1191">
        <f>P115+P121+P127</f>
        <v>16969.3</v>
      </c>
      <c r="Q102" s="1191">
        <f>Q115</f>
        <v>0</v>
      </c>
      <c r="R102" s="1191">
        <f>R115</f>
        <v>9141.9</v>
      </c>
      <c r="S102" s="1191">
        <f>S115</f>
        <v>0</v>
      </c>
      <c r="U102" s="1249">
        <v>9633.982000000002</v>
      </c>
    </row>
    <row r="103" spans="1:21" s="1190" customFormat="1" ht="12.75" customHeight="1">
      <c r="A103" s="1353" t="s">
        <v>448</v>
      </c>
      <c r="B103" s="1353"/>
      <c r="C103" s="1353"/>
      <c r="D103" s="1353"/>
      <c r="E103" s="1353"/>
      <c r="F103" s="1353"/>
      <c r="G103" s="1353"/>
      <c r="H103" s="1353"/>
      <c r="I103" s="1238">
        <v>656</v>
      </c>
      <c r="J103" s="1186">
        <v>4</v>
      </c>
      <c r="K103" s="1186">
        <v>1</v>
      </c>
      <c r="L103" s="1187"/>
      <c r="M103" s="1188"/>
      <c r="N103" s="1191">
        <f aca="true" t="shared" si="31" ref="N103:S103">N104</f>
        <v>347.5</v>
      </c>
      <c r="O103" s="1191">
        <f t="shared" si="31"/>
        <v>0</v>
      </c>
      <c r="P103" s="1191">
        <f t="shared" si="31"/>
        <v>0</v>
      </c>
      <c r="Q103" s="1191">
        <f t="shared" si="31"/>
        <v>0</v>
      </c>
      <c r="R103" s="1191">
        <f t="shared" si="31"/>
        <v>0</v>
      </c>
      <c r="S103" s="1191">
        <f t="shared" si="31"/>
        <v>0</v>
      </c>
      <c r="U103" s="1249">
        <v>347.5</v>
      </c>
    </row>
    <row r="104" spans="1:21" s="1190" customFormat="1" ht="70.5" customHeight="1">
      <c r="A104" s="1375" t="s">
        <v>483</v>
      </c>
      <c r="B104" s="1376"/>
      <c r="C104" s="1376"/>
      <c r="D104" s="1377"/>
      <c r="E104" s="13" t="s">
        <v>483</v>
      </c>
      <c r="F104" s="13" t="s">
        <v>483</v>
      </c>
      <c r="G104" s="13" t="s">
        <v>483</v>
      </c>
      <c r="H104" s="13" t="s">
        <v>483</v>
      </c>
      <c r="I104" s="1240">
        <v>656</v>
      </c>
      <c r="J104" s="1199">
        <v>4</v>
      </c>
      <c r="K104" s="1199">
        <v>1</v>
      </c>
      <c r="L104" s="1203" t="s">
        <v>479</v>
      </c>
      <c r="M104" s="1204"/>
      <c r="N104" s="1205">
        <f aca="true" t="shared" si="32" ref="N104:S104">N106</f>
        <v>347.5</v>
      </c>
      <c r="O104" s="1205">
        <f t="shared" si="32"/>
        <v>0</v>
      </c>
      <c r="P104" s="1205">
        <f t="shared" si="32"/>
        <v>0</v>
      </c>
      <c r="Q104" s="1205">
        <f t="shared" si="32"/>
        <v>0</v>
      </c>
      <c r="R104" s="1205">
        <f t="shared" si="32"/>
        <v>0</v>
      </c>
      <c r="S104" s="1205">
        <f t="shared" si="32"/>
        <v>0</v>
      </c>
      <c r="U104" s="1249">
        <v>347.5</v>
      </c>
    </row>
    <row r="105" spans="1:21" s="1190" customFormat="1" ht="45" customHeight="1">
      <c r="A105" s="1378" t="s">
        <v>520</v>
      </c>
      <c r="B105" s="1379"/>
      <c r="C105" s="1379"/>
      <c r="D105" s="1380"/>
      <c r="E105" s="16" t="s">
        <v>520</v>
      </c>
      <c r="F105" s="16" t="s">
        <v>520</v>
      </c>
      <c r="G105" s="16" t="s">
        <v>520</v>
      </c>
      <c r="H105" s="16" t="s">
        <v>520</v>
      </c>
      <c r="I105" s="1239">
        <v>656</v>
      </c>
      <c r="J105" s="1199">
        <v>4</v>
      </c>
      <c r="K105" s="1199">
        <v>1</v>
      </c>
      <c r="L105" s="968" t="s">
        <v>521</v>
      </c>
      <c r="M105" s="1200">
        <v>0</v>
      </c>
      <c r="N105" s="1201">
        <f>N106</f>
        <v>347.5</v>
      </c>
      <c r="O105" s="1201">
        <f aca="true" t="shared" si="33" ref="O105:S107">O106</f>
        <v>0</v>
      </c>
      <c r="P105" s="1201">
        <f t="shared" si="33"/>
        <v>0</v>
      </c>
      <c r="Q105" s="1201">
        <f t="shared" si="33"/>
        <v>0</v>
      </c>
      <c r="R105" s="1201">
        <f t="shared" si="33"/>
        <v>0</v>
      </c>
      <c r="S105" s="1201">
        <f t="shared" si="33"/>
        <v>0</v>
      </c>
      <c r="U105" s="1249">
        <v>347.5</v>
      </c>
    </row>
    <row r="106" spans="1:21" s="1190" customFormat="1" ht="100.5" customHeight="1">
      <c r="A106" s="1375" t="s">
        <v>522</v>
      </c>
      <c r="B106" s="1376"/>
      <c r="C106" s="1376"/>
      <c r="D106" s="1377"/>
      <c r="E106" s="13" t="s">
        <v>522</v>
      </c>
      <c r="F106" s="13" t="s">
        <v>522</v>
      </c>
      <c r="G106" s="13" t="s">
        <v>522</v>
      </c>
      <c r="H106" s="13" t="s">
        <v>522</v>
      </c>
      <c r="I106" s="1239">
        <v>656</v>
      </c>
      <c r="J106" s="1199">
        <v>4</v>
      </c>
      <c r="K106" s="1199">
        <v>1</v>
      </c>
      <c r="L106" s="968" t="s">
        <v>517</v>
      </c>
      <c r="M106" s="1200" t="s">
        <v>40</v>
      </c>
      <c r="N106" s="1201">
        <f>N107</f>
        <v>347.5</v>
      </c>
      <c r="O106" s="1201">
        <f t="shared" si="33"/>
        <v>0</v>
      </c>
      <c r="P106" s="1201">
        <f t="shared" si="33"/>
        <v>0</v>
      </c>
      <c r="Q106" s="1201">
        <f t="shared" si="33"/>
        <v>0</v>
      </c>
      <c r="R106" s="1201">
        <f t="shared" si="33"/>
        <v>0</v>
      </c>
      <c r="S106" s="1201">
        <f t="shared" si="33"/>
        <v>0</v>
      </c>
      <c r="U106" s="1249">
        <v>347.5</v>
      </c>
    </row>
    <row r="107" spans="1:21" s="1190" customFormat="1" ht="83.25" customHeight="1">
      <c r="A107" s="1375" t="s">
        <v>60</v>
      </c>
      <c r="B107" s="1376"/>
      <c r="C107" s="1376"/>
      <c r="D107" s="1377"/>
      <c r="E107" s="13" t="s">
        <v>60</v>
      </c>
      <c r="F107" s="13" t="s">
        <v>60</v>
      </c>
      <c r="G107" s="13" t="s">
        <v>60</v>
      </c>
      <c r="H107" s="13" t="s">
        <v>60</v>
      </c>
      <c r="I107" s="1239">
        <v>656</v>
      </c>
      <c r="J107" s="1199">
        <v>4</v>
      </c>
      <c r="K107" s="1199">
        <v>1</v>
      </c>
      <c r="L107" s="968" t="s">
        <v>517</v>
      </c>
      <c r="M107" s="1200" t="s">
        <v>50</v>
      </c>
      <c r="N107" s="1201">
        <f>N108</f>
        <v>347.5</v>
      </c>
      <c r="O107" s="1201">
        <f t="shared" si="33"/>
        <v>0</v>
      </c>
      <c r="P107" s="1201">
        <f t="shared" si="33"/>
        <v>0</v>
      </c>
      <c r="Q107" s="1201">
        <f t="shared" si="33"/>
        <v>0</v>
      </c>
      <c r="R107" s="1201">
        <f t="shared" si="33"/>
        <v>0</v>
      </c>
      <c r="S107" s="1201">
        <f t="shared" si="33"/>
        <v>0</v>
      </c>
      <c r="U107" s="1249">
        <v>347.5</v>
      </c>
    </row>
    <row r="108" spans="1:21" s="1190" customFormat="1" ht="24" customHeight="1">
      <c r="A108" s="1375" t="s">
        <v>61</v>
      </c>
      <c r="B108" s="1376"/>
      <c r="C108" s="1376"/>
      <c r="D108" s="1377"/>
      <c r="E108" s="13" t="s">
        <v>61</v>
      </c>
      <c r="F108" s="13" t="s">
        <v>61</v>
      </c>
      <c r="G108" s="13" t="s">
        <v>61</v>
      </c>
      <c r="H108" s="13" t="s">
        <v>61</v>
      </c>
      <c r="I108" s="1239">
        <v>656</v>
      </c>
      <c r="J108" s="1199">
        <v>4</v>
      </c>
      <c r="K108" s="1199">
        <v>1</v>
      </c>
      <c r="L108" s="968" t="s">
        <v>517</v>
      </c>
      <c r="M108" s="1200" t="s">
        <v>52</v>
      </c>
      <c r="N108" s="1201">
        <v>347.5</v>
      </c>
      <c r="O108" s="1201">
        <v>0</v>
      </c>
      <c r="P108" s="1201">
        <v>0</v>
      </c>
      <c r="Q108" s="1201">
        <v>0</v>
      </c>
      <c r="R108" s="1201">
        <v>0</v>
      </c>
      <c r="S108" s="1201">
        <v>0</v>
      </c>
      <c r="U108" s="1249">
        <v>347.5</v>
      </c>
    </row>
    <row r="109" spans="1:21" s="1190" customFormat="1" ht="12.75" customHeight="1">
      <c r="A109" s="1340" t="s">
        <v>738</v>
      </c>
      <c r="B109" s="1341"/>
      <c r="C109" s="1341"/>
      <c r="D109" s="1342"/>
      <c r="E109" s="1340" t="s">
        <v>434</v>
      </c>
      <c r="F109" s="1341"/>
      <c r="G109" s="1341"/>
      <c r="H109" s="1342"/>
      <c r="I109" s="1238">
        <v>656</v>
      </c>
      <c r="J109" s="1186">
        <v>4</v>
      </c>
      <c r="K109" s="1222">
        <v>5</v>
      </c>
      <c r="L109" s="1223"/>
      <c r="M109" s="1188"/>
      <c r="N109" s="1191">
        <f aca="true" t="shared" si="34" ref="N109:S109">N110</f>
        <v>57.300000000000004</v>
      </c>
      <c r="O109" s="1191">
        <f t="shared" si="34"/>
        <v>0</v>
      </c>
      <c r="P109" s="1191">
        <f t="shared" si="34"/>
        <v>0</v>
      </c>
      <c r="Q109" s="1191">
        <f t="shared" si="34"/>
        <v>0</v>
      </c>
      <c r="R109" s="1191">
        <f t="shared" si="34"/>
        <v>0</v>
      </c>
      <c r="S109" s="1191">
        <f t="shared" si="34"/>
        <v>0</v>
      </c>
      <c r="U109" s="1249">
        <v>57.28</v>
      </c>
    </row>
    <row r="110" spans="1:21" s="1190" customFormat="1" ht="42" customHeight="1">
      <c r="A110" s="1343" t="s">
        <v>475</v>
      </c>
      <c r="B110" s="1344" t="s">
        <v>475</v>
      </c>
      <c r="C110" s="1344" t="s">
        <v>475</v>
      </c>
      <c r="D110" s="1345" t="s">
        <v>475</v>
      </c>
      <c r="E110" s="1343" t="s">
        <v>655</v>
      </c>
      <c r="F110" s="1344"/>
      <c r="G110" s="1344"/>
      <c r="H110" s="1345"/>
      <c r="I110" s="1240">
        <v>656</v>
      </c>
      <c r="J110" s="1186">
        <v>4</v>
      </c>
      <c r="K110" s="1186">
        <v>5</v>
      </c>
      <c r="L110" s="1224" t="s">
        <v>78</v>
      </c>
      <c r="M110" s="1204"/>
      <c r="N110" s="1205">
        <f aca="true" t="shared" si="35" ref="N110:S110">N112</f>
        <v>57.300000000000004</v>
      </c>
      <c r="O110" s="1205">
        <f t="shared" si="35"/>
        <v>0</v>
      </c>
      <c r="P110" s="1205">
        <f t="shared" si="35"/>
        <v>0</v>
      </c>
      <c r="Q110" s="1205">
        <f t="shared" si="35"/>
        <v>0</v>
      </c>
      <c r="R110" s="1205">
        <f t="shared" si="35"/>
        <v>0</v>
      </c>
      <c r="S110" s="1205">
        <f t="shared" si="35"/>
        <v>0</v>
      </c>
      <c r="U110" s="1249">
        <v>57.28</v>
      </c>
    </row>
    <row r="111" spans="1:21" s="1190" customFormat="1" ht="24" customHeight="1">
      <c r="A111" s="1331" t="s">
        <v>646</v>
      </c>
      <c r="B111" s="1332"/>
      <c r="C111" s="1332"/>
      <c r="D111" s="1333"/>
      <c r="E111" s="1331" t="s">
        <v>656</v>
      </c>
      <c r="F111" s="1332"/>
      <c r="G111" s="1332"/>
      <c r="H111" s="1333"/>
      <c r="I111" s="1239">
        <v>656</v>
      </c>
      <c r="J111" s="1199">
        <v>4</v>
      </c>
      <c r="K111" s="1199">
        <v>5</v>
      </c>
      <c r="L111" s="1225" t="s">
        <v>78</v>
      </c>
      <c r="M111" s="1200">
        <v>0</v>
      </c>
      <c r="N111" s="1201">
        <f>N112</f>
        <v>57.300000000000004</v>
      </c>
      <c r="O111" s="1201">
        <f aca="true" t="shared" si="36" ref="O111:S113">O112</f>
        <v>0</v>
      </c>
      <c r="P111" s="1201">
        <f t="shared" si="36"/>
        <v>0</v>
      </c>
      <c r="Q111" s="1201">
        <f t="shared" si="36"/>
        <v>0</v>
      </c>
      <c r="R111" s="1201">
        <f t="shared" si="36"/>
        <v>0</v>
      </c>
      <c r="S111" s="1201">
        <f t="shared" si="36"/>
        <v>0</v>
      </c>
      <c r="U111" s="1249">
        <v>57.28</v>
      </c>
    </row>
    <row r="112" spans="1:21" s="1190" customFormat="1" ht="52.5" customHeight="1">
      <c r="A112" s="1331" t="s">
        <v>716</v>
      </c>
      <c r="B112" s="1332"/>
      <c r="C112" s="1332"/>
      <c r="D112" s="1333"/>
      <c r="E112" s="1331" t="s">
        <v>643</v>
      </c>
      <c r="F112" s="1332"/>
      <c r="G112" s="1332"/>
      <c r="H112" s="1333"/>
      <c r="I112" s="1239">
        <v>656</v>
      </c>
      <c r="J112" s="1199">
        <v>4</v>
      </c>
      <c r="K112" s="1199">
        <v>5</v>
      </c>
      <c r="L112" s="1230" t="s">
        <v>713</v>
      </c>
      <c r="M112" s="1200">
        <v>0</v>
      </c>
      <c r="N112" s="1201">
        <f>N113</f>
        <v>57.300000000000004</v>
      </c>
      <c r="O112" s="1201">
        <f t="shared" si="36"/>
        <v>0</v>
      </c>
      <c r="P112" s="1201">
        <f t="shared" si="36"/>
        <v>0</v>
      </c>
      <c r="Q112" s="1201">
        <f t="shared" si="36"/>
        <v>0</v>
      </c>
      <c r="R112" s="1201">
        <f t="shared" si="36"/>
        <v>0</v>
      </c>
      <c r="S112" s="1201">
        <f t="shared" si="36"/>
        <v>0</v>
      </c>
      <c r="U112" s="1249">
        <v>57.28</v>
      </c>
    </row>
    <row r="113" spans="1:21" s="1190" customFormat="1" ht="25.5" customHeight="1">
      <c r="A113" s="1334" t="s">
        <v>53</v>
      </c>
      <c r="B113" s="1335"/>
      <c r="C113" s="1335"/>
      <c r="D113" s="1335"/>
      <c r="E113" s="1335"/>
      <c r="F113" s="1335"/>
      <c r="G113" s="1335"/>
      <c r="H113" s="1336"/>
      <c r="I113" s="1239">
        <v>656</v>
      </c>
      <c r="J113" s="1199">
        <v>4</v>
      </c>
      <c r="K113" s="1199">
        <v>5</v>
      </c>
      <c r="L113" s="1230" t="s">
        <v>713</v>
      </c>
      <c r="M113" s="1200">
        <v>200</v>
      </c>
      <c r="N113" s="1201">
        <f>N114</f>
        <v>57.300000000000004</v>
      </c>
      <c r="O113" s="1201">
        <f t="shared" si="36"/>
        <v>0</v>
      </c>
      <c r="P113" s="1201">
        <f t="shared" si="36"/>
        <v>0</v>
      </c>
      <c r="Q113" s="1201">
        <f t="shared" si="36"/>
        <v>0</v>
      </c>
      <c r="R113" s="1201">
        <f t="shared" si="36"/>
        <v>0</v>
      </c>
      <c r="S113" s="1201">
        <f t="shared" si="36"/>
        <v>0</v>
      </c>
      <c r="U113" s="1249">
        <v>57.28</v>
      </c>
    </row>
    <row r="114" spans="1:21" s="1190" customFormat="1" ht="55.5" customHeight="1">
      <c r="A114" s="1334" t="s">
        <v>55</v>
      </c>
      <c r="B114" s="1335"/>
      <c r="C114" s="1335"/>
      <c r="D114" s="1335"/>
      <c r="E114" s="1335"/>
      <c r="F114" s="1335"/>
      <c r="G114" s="1335"/>
      <c r="H114" s="1336"/>
      <c r="I114" s="1239">
        <v>656</v>
      </c>
      <c r="J114" s="1199">
        <v>4</v>
      </c>
      <c r="K114" s="1199">
        <v>5</v>
      </c>
      <c r="L114" s="1230" t="s">
        <v>713</v>
      </c>
      <c r="M114" s="1200">
        <v>240</v>
      </c>
      <c r="N114" s="1201">
        <f>'Прил.4'!D133</f>
        <v>57.300000000000004</v>
      </c>
      <c r="O114" s="1201">
        <v>0</v>
      </c>
      <c r="P114" s="1201">
        <v>0</v>
      </c>
      <c r="Q114" s="1201">
        <v>0</v>
      </c>
      <c r="R114" s="1201">
        <v>0</v>
      </c>
      <c r="S114" s="1201">
        <v>0</v>
      </c>
      <c r="U114" s="1249">
        <v>57.28</v>
      </c>
    </row>
    <row r="115" spans="1:21" s="1190" customFormat="1" ht="12.75" customHeight="1">
      <c r="A115" s="1353" t="s">
        <v>0</v>
      </c>
      <c r="B115" s="1353"/>
      <c r="C115" s="1353"/>
      <c r="D115" s="1353"/>
      <c r="E115" s="1353"/>
      <c r="F115" s="1353"/>
      <c r="G115" s="1353"/>
      <c r="H115" s="1353"/>
      <c r="I115" s="1238">
        <v>656</v>
      </c>
      <c r="J115" s="1186">
        <v>4</v>
      </c>
      <c r="K115" s="1186">
        <v>9</v>
      </c>
      <c r="L115" s="1187"/>
      <c r="M115" s="1188"/>
      <c r="N115" s="1191">
        <f aca="true" t="shared" si="37" ref="N115:S115">N116</f>
        <v>8740.1</v>
      </c>
      <c r="O115" s="1191">
        <f t="shared" si="37"/>
        <v>0</v>
      </c>
      <c r="P115" s="1191">
        <f t="shared" si="37"/>
        <v>14369.3</v>
      </c>
      <c r="Q115" s="1191">
        <f t="shared" si="37"/>
        <v>0</v>
      </c>
      <c r="R115" s="1191">
        <f t="shared" si="37"/>
        <v>9141.9</v>
      </c>
      <c r="S115" s="1191">
        <f t="shared" si="37"/>
        <v>0</v>
      </c>
      <c r="U115" s="1249">
        <v>8740.1</v>
      </c>
    </row>
    <row r="116" spans="1:21" s="1190" customFormat="1" ht="27.75" customHeight="1">
      <c r="A116" s="1358" t="s">
        <v>478</v>
      </c>
      <c r="B116" s="1358"/>
      <c r="C116" s="1358"/>
      <c r="D116" s="1358"/>
      <c r="E116" s="1240"/>
      <c r="F116" s="1240"/>
      <c r="G116" s="1240"/>
      <c r="H116" s="1240"/>
      <c r="I116" s="1240">
        <v>656</v>
      </c>
      <c r="J116" s="1202">
        <v>4</v>
      </c>
      <c r="K116" s="1202">
        <v>9</v>
      </c>
      <c r="L116" s="1203" t="s">
        <v>73</v>
      </c>
      <c r="M116" s="1204"/>
      <c r="N116" s="1205">
        <f aca="true" t="shared" si="38" ref="N116:S116">N118</f>
        <v>8740.1</v>
      </c>
      <c r="O116" s="1205">
        <f t="shared" si="38"/>
        <v>0</v>
      </c>
      <c r="P116" s="1205">
        <f t="shared" si="38"/>
        <v>14369.3</v>
      </c>
      <c r="Q116" s="1205">
        <f t="shared" si="38"/>
        <v>0</v>
      </c>
      <c r="R116" s="1205">
        <f t="shared" si="38"/>
        <v>9141.9</v>
      </c>
      <c r="S116" s="1205">
        <f t="shared" si="38"/>
        <v>0</v>
      </c>
      <c r="U116" s="1249">
        <v>8740.1</v>
      </c>
    </row>
    <row r="117" spans="1:21" s="1190" customFormat="1" ht="45" customHeight="1">
      <c r="A117" s="1357" t="s">
        <v>730</v>
      </c>
      <c r="B117" s="1360"/>
      <c r="C117" s="1360"/>
      <c r="D117" s="1360"/>
      <c r="E117" s="1239"/>
      <c r="F117" s="1239"/>
      <c r="G117" s="1239"/>
      <c r="H117" s="1239"/>
      <c r="I117" s="1239">
        <v>656</v>
      </c>
      <c r="J117" s="1199">
        <v>4</v>
      </c>
      <c r="K117" s="1199">
        <v>9</v>
      </c>
      <c r="L117" s="968" t="s">
        <v>502</v>
      </c>
      <c r="M117" s="1200">
        <v>0</v>
      </c>
      <c r="N117" s="1201">
        <f>N118</f>
        <v>8740.1</v>
      </c>
      <c r="O117" s="1201">
        <f aca="true" t="shared" si="39" ref="O117:S119">O118</f>
        <v>0</v>
      </c>
      <c r="P117" s="1201">
        <f t="shared" si="39"/>
        <v>14369.3</v>
      </c>
      <c r="Q117" s="1201">
        <f t="shared" si="39"/>
        <v>0</v>
      </c>
      <c r="R117" s="1201">
        <f t="shared" si="39"/>
        <v>9141.9</v>
      </c>
      <c r="S117" s="1201">
        <f t="shared" si="39"/>
        <v>0</v>
      </c>
      <c r="U117" s="1249">
        <v>8740.1</v>
      </c>
    </row>
    <row r="118" spans="1:21" s="1190" customFormat="1" ht="72.75" customHeight="1">
      <c r="A118" s="1357" t="s">
        <v>731</v>
      </c>
      <c r="B118" s="1360"/>
      <c r="C118" s="1360"/>
      <c r="D118" s="1360"/>
      <c r="E118" s="1239"/>
      <c r="F118" s="1239"/>
      <c r="G118" s="1239"/>
      <c r="H118" s="1239"/>
      <c r="I118" s="1239">
        <v>656</v>
      </c>
      <c r="J118" s="1199">
        <v>4</v>
      </c>
      <c r="K118" s="1199">
        <v>9</v>
      </c>
      <c r="L118" s="968" t="s">
        <v>74</v>
      </c>
      <c r="M118" s="1200">
        <v>0</v>
      </c>
      <c r="N118" s="1201">
        <f>N119</f>
        <v>8740.1</v>
      </c>
      <c r="O118" s="1201">
        <f t="shared" si="39"/>
        <v>0</v>
      </c>
      <c r="P118" s="1201">
        <f t="shared" si="39"/>
        <v>14369.3</v>
      </c>
      <c r="Q118" s="1201">
        <f t="shared" si="39"/>
        <v>0</v>
      </c>
      <c r="R118" s="1201">
        <f t="shared" si="39"/>
        <v>9141.9</v>
      </c>
      <c r="S118" s="1201">
        <f t="shared" si="39"/>
        <v>0</v>
      </c>
      <c r="U118" s="1249">
        <v>8740.1</v>
      </c>
    </row>
    <row r="119" spans="1:21" s="1190" customFormat="1" ht="30.75" customHeight="1">
      <c r="A119" s="1357" t="s">
        <v>53</v>
      </c>
      <c r="B119" s="1357"/>
      <c r="C119" s="1357"/>
      <c r="D119" s="1357"/>
      <c r="E119" s="1357"/>
      <c r="F119" s="1357"/>
      <c r="G119" s="1357"/>
      <c r="H119" s="1357"/>
      <c r="I119" s="1239">
        <v>656</v>
      </c>
      <c r="J119" s="1199">
        <v>4</v>
      </c>
      <c r="K119" s="1199">
        <v>9</v>
      </c>
      <c r="L119" s="968" t="s">
        <v>74</v>
      </c>
      <c r="M119" s="1200">
        <v>200</v>
      </c>
      <c r="N119" s="1201">
        <f>N120</f>
        <v>8740.1</v>
      </c>
      <c r="O119" s="1201">
        <f t="shared" si="39"/>
        <v>0</v>
      </c>
      <c r="P119" s="1201">
        <f t="shared" si="39"/>
        <v>14369.3</v>
      </c>
      <c r="Q119" s="1201">
        <f t="shared" si="39"/>
        <v>0</v>
      </c>
      <c r="R119" s="1201">
        <f t="shared" si="39"/>
        <v>9141.9</v>
      </c>
      <c r="S119" s="1201">
        <f t="shared" si="39"/>
        <v>0</v>
      </c>
      <c r="U119" s="1249">
        <v>8740.1</v>
      </c>
    </row>
    <row r="120" spans="1:21" s="1190" customFormat="1" ht="30.75" customHeight="1">
      <c r="A120" s="1357" t="s">
        <v>55</v>
      </c>
      <c r="B120" s="1357"/>
      <c r="C120" s="1357"/>
      <c r="D120" s="1357"/>
      <c r="E120" s="1357"/>
      <c r="F120" s="1357"/>
      <c r="G120" s="1357"/>
      <c r="H120" s="1357"/>
      <c r="I120" s="1239">
        <v>656</v>
      </c>
      <c r="J120" s="1199">
        <v>4</v>
      </c>
      <c r="K120" s="1199">
        <v>9</v>
      </c>
      <c r="L120" s="968" t="s">
        <v>74</v>
      </c>
      <c r="M120" s="1200">
        <v>240</v>
      </c>
      <c r="N120" s="1201">
        <v>8740.1</v>
      </c>
      <c r="O120" s="1201">
        <v>0</v>
      </c>
      <c r="P120" s="1201">
        <v>14369.3</v>
      </c>
      <c r="Q120" s="1201">
        <v>0</v>
      </c>
      <c r="R120" s="1201">
        <v>9141.9</v>
      </c>
      <c r="S120" s="1201">
        <v>0</v>
      </c>
      <c r="U120" s="1249">
        <v>8740.1</v>
      </c>
    </row>
    <row r="121" spans="1:21" s="1190" customFormat="1" ht="12.75" customHeight="1">
      <c r="A121" s="1340" t="s">
        <v>434</v>
      </c>
      <c r="B121" s="1341"/>
      <c r="C121" s="1341"/>
      <c r="D121" s="1342"/>
      <c r="E121" s="1340" t="s">
        <v>434</v>
      </c>
      <c r="F121" s="1341"/>
      <c r="G121" s="1341"/>
      <c r="H121" s="1342"/>
      <c r="I121" s="1238">
        <v>656</v>
      </c>
      <c r="J121" s="1186">
        <v>4</v>
      </c>
      <c r="K121" s="1222">
        <v>10</v>
      </c>
      <c r="L121" s="1223"/>
      <c r="M121" s="1188"/>
      <c r="N121" s="1191">
        <f aca="true" t="shared" si="40" ref="N121:S121">N122</f>
        <v>155.20000000000002</v>
      </c>
      <c r="O121" s="1191">
        <f t="shared" si="40"/>
        <v>0</v>
      </c>
      <c r="P121" s="1191">
        <f t="shared" si="40"/>
        <v>0</v>
      </c>
      <c r="Q121" s="1191">
        <f t="shared" si="40"/>
        <v>0</v>
      </c>
      <c r="R121" s="1191">
        <f t="shared" si="40"/>
        <v>0</v>
      </c>
      <c r="S121" s="1191">
        <f t="shared" si="40"/>
        <v>0</v>
      </c>
      <c r="U121" s="1249">
        <v>155.20000000000002</v>
      </c>
    </row>
    <row r="122" spans="1:21" s="1190" customFormat="1" ht="27.75" customHeight="1">
      <c r="A122" s="1343" t="s">
        <v>655</v>
      </c>
      <c r="B122" s="1344"/>
      <c r="C122" s="1344"/>
      <c r="D122" s="1345"/>
      <c r="E122" s="1343" t="s">
        <v>655</v>
      </c>
      <c r="F122" s="1344"/>
      <c r="G122" s="1344"/>
      <c r="H122" s="1345"/>
      <c r="I122" s="1240">
        <v>656</v>
      </c>
      <c r="J122" s="1186">
        <v>4</v>
      </c>
      <c r="K122" s="1186">
        <v>10</v>
      </c>
      <c r="L122" s="1224" t="s">
        <v>640</v>
      </c>
      <c r="M122" s="1204"/>
      <c r="N122" s="1205">
        <f aca="true" t="shared" si="41" ref="N122:S122">N124</f>
        <v>155.20000000000002</v>
      </c>
      <c r="O122" s="1205">
        <f t="shared" si="41"/>
        <v>0</v>
      </c>
      <c r="P122" s="1205">
        <f t="shared" si="41"/>
        <v>0</v>
      </c>
      <c r="Q122" s="1205">
        <f t="shared" si="41"/>
        <v>0</v>
      </c>
      <c r="R122" s="1205">
        <f t="shared" si="41"/>
        <v>0</v>
      </c>
      <c r="S122" s="1205">
        <f t="shared" si="41"/>
        <v>0</v>
      </c>
      <c r="U122" s="1249">
        <v>155.20000000000002</v>
      </c>
    </row>
    <row r="123" spans="1:21" s="1190" customFormat="1" ht="36" customHeight="1">
      <c r="A123" s="1331" t="s">
        <v>732</v>
      </c>
      <c r="B123" s="1332"/>
      <c r="C123" s="1332"/>
      <c r="D123" s="1333"/>
      <c r="E123" s="1331" t="s">
        <v>656</v>
      </c>
      <c r="F123" s="1332"/>
      <c r="G123" s="1332"/>
      <c r="H123" s="1333"/>
      <c r="I123" s="1239">
        <v>656</v>
      </c>
      <c r="J123" s="1199">
        <v>4</v>
      </c>
      <c r="K123" s="1199">
        <v>10</v>
      </c>
      <c r="L123" s="1225" t="s">
        <v>640</v>
      </c>
      <c r="M123" s="1200">
        <v>0</v>
      </c>
      <c r="N123" s="1201">
        <f>N124</f>
        <v>155.20000000000002</v>
      </c>
      <c r="O123" s="1201">
        <f aca="true" t="shared" si="42" ref="O123:S125">O124</f>
        <v>0</v>
      </c>
      <c r="P123" s="1201">
        <f t="shared" si="42"/>
        <v>0</v>
      </c>
      <c r="Q123" s="1201">
        <f t="shared" si="42"/>
        <v>0</v>
      </c>
      <c r="R123" s="1201">
        <f t="shared" si="42"/>
        <v>0</v>
      </c>
      <c r="S123" s="1201">
        <f t="shared" si="42"/>
        <v>0</v>
      </c>
      <c r="U123" s="1249">
        <v>155.20000000000002</v>
      </c>
    </row>
    <row r="124" spans="1:21" s="1190" customFormat="1" ht="85.5" customHeight="1">
      <c r="A124" s="1331" t="s">
        <v>643</v>
      </c>
      <c r="B124" s="1332"/>
      <c r="C124" s="1332"/>
      <c r="D124" s="1333"/>
      <c r="E124" s="1331" t="s">
        <v>643</v>
      </c>
      <c r="F124" s="1332"/>
      <c r="G124" s="1332"/>
      <c r="H124" s="1333"/>
      <c r="I124" s="1239">
        <v>656</v>
      </c>
      <c r="J124" s="1199">
        <v>4</v>
      </c>
      <c r="K124" s="1199">
        <v>10</v>
      </c>
      <c r="L124" s="1225" t="s">
        <v>657</v>
      </c>
      <c r="M124" s="1200">
        <v>0</v>
      </c>
      <c r="N124" s="1201">
        <f>N125</f>
        <v>155.20000000000002</v>
      </c>
      <c r="O124" s="1201">
        <f t="shared" si="42"/>
        <v>0</v>
      </c>
      <c r="P124" s="1201">
        <f t="shared" si="42"/>
        <v>0</v>
      </c>
      <c r="Q124" s="1201">
        <f t="shared" si="42"/>
        <v>0</v>
      </c>
      <c r="R124" s="1201">
        <f t="shared" si="42"/>
        <v>0</v>
      </c>
      <c r="S124" s="1201">
        <f t="shared" si="42"/>
        <v>0</v>
      </c>
      <c r="U124" s="1249">
        <v>155.20000000000002</v>
      </c>
    </row>
    <row r="125" spans="1:21" s="1190" customFormat="1" ht="30.75" customHeight="1">
      <c r="A125" s="1381" t="s">
        <v>45</v>
      </c>
      <c r="B125" s="1382"/>
      <c r="C125" s="1382"/>
      <c r="D125" s="1383"/>
      <c r="E125" s="1381" t="s">
        <v>45</v>
      </c>
      <c r="F125" s="1382"/>
      <c r="G125" s="1382"/>
      <c r="H125" s="1383"/>
      <c r="I125" s="1239">
        <v>656</v>
      </c>
      <c r="J125" s="1199">
        <v>4</v>
      </c>
      <c r="K125" s="1199">
        <v>10</v>
      </c>
      <c r="L125" s="1225" t="s">
        <v>657</v>
      </c>
      <c r="M125" s="1200">
        <v>200</v>
      </c>
      <c r="N125" s="1201">
        <f>N126</f>
        <v>155.20000000000002</v>
      </c>
      <c r="O125" s="1201">
        <f t="shared" si="42"/>
        <v>0</v>
      </c>
      <c r="P125" s="1201">
        <f t="shared" si="42"/>
        <v>0</v>
      </c>
      <c r="Q125" s="1201">
        <f t="shared" si="42"/>
        <v>0</v>
      </c>
      <c r="R125" s="1201">
        <f t="shared" si="42"/>
        <v>0</v>
      </c>
      <c r="S125" s="1201">
        <f t="shared" si="42"/>
        <v>0</v>
      </c>
      <c r="U125" s="1249">
        <v>155.20000000000002</v>
      </c>
    </row>
    <row r="126" spans="1:21" s="1190" customFormat="1" ht="55.5" customHeight="1">
      <c r="A126" s="1384" t="s">
        <v>79</v>
      </c>
      <c r="B126" s="1385"/>
      <c r="C126" s="1385"/>
      <c r="D126" s="1386"/>
      <c r="E126" s="1384" t="s">
        <v>79</v>
      </c>
      <c r="F126" s="1385"/>
      <c r="G126" s="1385"/>
      <c r="H126" s="1386"/>
      <c r="I126" s="1239">
        <v>656</v>
      </c>
      <c r="J126" s="1199">
        <v>4</v>
      </c>
      <c r="K126" s="1199">
        <v>10</v>
      </c>
      <c r="L126" s="1225" t="s">
        <v>657</v>
      </c>
      <c r="M126" s="1200">
        <v>240</v>
      </c>
      <c r="N126" s="1201">
        <f>'Прил.4'!D14</f>
        <v>155.20000000000002</v>
      </c>
      <c r="O126" s="1201">
        <v>0</v>
      </c>
      <c r="P126" s="1201">
        <v>0</v>
      </c>
      <c r="Q126" s="1201">
        <v>0</v>
      </c>
      <c r="R126" s="1201">
        <v>0</v>
      </c>
      <c r="S126" s="1201">
        <v>0</v>
      </c>
      <c r="U126" s="1249">
        <v>155.20000000000002</v>
      </c>
    </row>
    <row r="127" spans="1:21" s="1190" customFormat="1" ht="12.75" customHeight="1">
      <c r="A127" s="1387" t="s">
        <v>25</v>
      </c>
      <c r="B127" s="1388"/>
      <c r="C127" s="1388"/>
      <c r="D127" s="1389"/>
      <c r="E127" s="1387" t="s">
        <v>25</v>
      </c>
      <c r="F127" s="1388"/>
      <c r="G127" s="1388"/>
      <c r="H127" s="1389"/>
      <c r="I127" s="1238">
        <v>656</v>
      </c>
      <c r="J127" s="1186">
        <v>4</v>
      </c>
      <c r="K127" s="1186">
        <v>12</v>
      </c>
      <c r="L127" s="1226"/>
      <c r="M127" s="1188"/>
      <c r="N127" s="1191">
        <f aca="true" t="shared" si="43" ref="N127:S127">N128</f>
        <v>333.902</v>
      </c>
      <c r="O127" s="1191">
        <f t="shared" si="43"/>
        <v>0</v>
      </c>
      <c r="P127" s="1191">
        <f t="shared" si="43"/>
        <v>2600</v>
      </c>
      <c r="Q127" s="1191">
        <f t="shared" si="43"/>
        <v>0</v>
      </c>
      <c r="R127" s="1191">
        <f t="shared" si="43"/>
        <v>0</v>
      </c>
      <c r="S127" s="1191">
        <f t="shared" si="43"/>
        <v>0</v>
      </c>
      <c r="U127" s="1249">
        <v>333.902</v>
      </c>
    </row>
    <row r="128" spans="1:21" s="1190" customFormat="1" ht="38.25" customHeight="1">
      <c r="A128" s="1328" t="s">
        <v>497</v>
      </c>
      <c r="B128" s="1329"/>
      <c r="C128" s="1329"/>
      <c r="D128" s="1330"/>
      <c r="E128" s="1328" t="s">
        <v>497</v>
      </c>
      <c r="F128" s="1329"/>
      <c r="G128" s="1329"/>
      <c r="H128" s="1330"/>
      <c r="I128" s="1240">
        <v>656</v>
      </c>
      <c r="J128" s="1202">
        <v>4</v>
      </c>
      <c r="K128" s="1202">
        <v>12</v>
      </c>
      <c r="L128" s="1227" t="s">
        <v>39</v>
      </c>
      <c r="M128" s="1204"/>
      <c r="N128" s="1205">
        <f aca="true" t="shared" si="44" ref="N128:S128">N130</f>
        <v>333.902</v>
      </c>
      <c r="O128" s="1205">
        <f t="shared" si="44"/>
        <v>0</v>
      </c>
      <c r="P128" s="1205">
        <f t="shared" si="44"/>
        <v>2600</v>
      </c>
      <c r="Q128" s="1205">
        <f t="shared" si="44"/>
        <v>0</v>
      </c>
      <c r="R128" s="1205">
        <f t="shared" si="44"/>
        <v>0</v>
      </c>
      <c r="S128" s="1205">
        <f t="shared" si="44"/>
        <v>0</v>
      </c>
      <c r="U128" s="1249">
        <v>333.902</v>
      </c>
    </row>
    <row r="129" spans="1:21" s="1190" customFormat="1" ht="41.25" customHeight="1">
      <c r="A129" s="1337" t="s">
        <v>496</v>
      </c>
      <c r="B129" s="1338"/>
      <c r="C129" s="1338"/>
      <c r="D129" s="1339"/>
      <c r="E129" s="1337" t="s">
        <v>496</v>
      </c>
      <c r="F129" s="1338"/>
      <c r="G129" s="1338"/>
      <c r="H129" s="1339"/>
      <c r="I129" s="1239">
        <v>656</v>
      </c>
      <c r="J129" s="1199">
        <v>4</v>
      </c>
      <c r="K129" s="1199">
        <v>12</v>
      </c>
      <c r="L129" s="1207" t="s">
        <v>489</v>
      </c>
      <c r="M129" s="1200">
        <v>0</v>
      </c>
      <c r="N129" s="1201">
        <f>N130</f>
        <v>333.902</v>
      </c>
      <c r="O129" s="1201">
        <f aca="true" t="shared" si="45" ref="O129:S131">O130</f>
        <v>0</v>
      </c>
      <c r="P129" s="1201">
        <f t="shared" si="45"/>
        <v>2600</v>
      </c>
      <c r="Q129" s="1201">
        <f t="shared" si="45"/>
        <v>0</v>
      </c>
      <c r="R129" s="1201">
        <f t="shared" si="45"/>
        <v>0</v>
      </c>
      <c r="S129" s="1201">
        <f t="shared" si="45"/>
        <v>0</v>
      </c>
      <c r="U129" s="1249">
        <v>333.902</v>
      </c>
    </row>
    <row r="130" spans="1:21" s="1190" customFormat="1" ht="90" customHeight="1">
      <c r="A130" s="1337" t="s">
        <v>632</v>
      </c>
      <c r="B130" s="1338"/>
      <c r="C130" s="1338"/>
      <c r="D130" s="1339"/>
      <c r="E130" s="1337" t="s">
        <v>658</v>
      </c>
      <c r="F130" s="1338"/>
      <c r="G130" s="1338"/>
      <c r="H130" s="1339"/>
      <c r="I130" s="1239">
        <v>656</v>
      </c>
      <c r="J130" s="1199">
        <v>4</v>
      </c>
      <c r="K130" s="1199">
        <v>12</v>
      </c>
      <c r="L130" s="1207" t="s">
        <v>587</v>
      </c>
      <c r="M130" s="1200">
        <v>0</v>
      </c>
      <c r="N130" s="1201">
        <f>N131</f>
        <v>333.902</v>
      </c>
      <c r="O130" s="1201">
        <f t="shared" si="45"/>
        <v>0</v>
      </c>
      <c r="P130" s="1201">
        <f t="shared" si="45"/>
        <v>2600</v>
      </c>
      <c r="Q130" s="1201">
        <f t="shared" si="45"/>
        <v>0</v>
      </c>
      <c r="R130" s="1201">
        <f t="shared" si="45"/>
        <v>0</v>
      </c>
      <c r="S130" s="1201">
        <f t="shared" si="45"/>
        <v>0</v>
      </c>
      <c r="U130" s="1249">
        <v>333.902</v>
      </c>
    </row>
    <row r="131" spans="1:21" s="1190" customFormat="1" ht="19.5" customHeight="1">
      <c r="A131" s="1331" t="s">
        <v>41</v>
      </c>
      <c r="B131" s="1332"/>
      <c r="C131" s="1332"/>
      <c r="D131" s="1333"/>
      <c r="E131" s="1331" t="s">
        <v>41</v>
      </c>
      <c r="F131" s="1332"/>
      <c r="G131" s="1332"/>
      <c r="H131" s="1333"/>
      <c r="I131" s="1239">
        <v>656</v>
      </c>
      <c r="J131" s="1199">
        <v>4</v>
      </c>
      <c r="K131" s="1199">
        <v>12</v>
      </c>
      <c r="L131" s="1207" t="s">
        <v>587</v>
      </c>
      <c r="M131" s="1200">
        <v>500</v>
      </c>
      <c r="N131" s="1201">
        <f>N132</f>
        <v>333.902</v>
      </c>
      <c r="O131" s="1201">
        <f t="shared" si="45"/>
        <v>0</v>
      </c>
      <c r="P131" s="1201">
        <f t="shared" si="45"/>
        <v>2600</v>
      </c>
      <c r="Q131" s="1201">
        <f t="shared" si="45"/>
        <v>0</v>
      </c>
      <c r="R131" s="1201">
        <f t="shared" si="45"/>
        <v>0</v>
      </c>
      <c r="S131" s="1201">
        <f t="shared" si="45"/>
        <v>0</v>
      </c>
      <c r="U131" s="1249">
        <v>333.902</v>
      </c>
    </row>
    <row r="132" spans="1:21" s="1190" customFormat="1" ht="19.5" customHeight="1">
      <c r="A132" s="1325" t="s">
        <v>43</v>
      </c>
      <c r="B132" s="1326"/>
      <c r="C132" s="1326"/>
      <c r="D132" s="1327"/>
      <c r="E132" s="1325" t="s">
        <v>43</v>
      </c>
      <c r="F132" s="1326"/>
      <c r="G132" s="1326"/>
      <c r="H132" s="1327"/>
      <c r="I132" s="1239">
        <v>656</v>
      </c>
      <c r="J132" s="1199">
        <v>4</v>
      </c>
      <c r="K132" s="1199">
        <v>12</v>
      </c>
      <c r="L132" s="1207" t="s">
        <v>587</v>
      </c>
      <c r="M132" s="1200">
        <v>540</v>
      </c>
      <c r="N132" s="1201">
        <f>'Проект на 20-22г отраб.с ДФ '!V268/1000</f>
        <v>333.902</v>
      </c>
      <c r="O132" s="1201">
        <v>0</v>
      </c>
      <c r="P132" s="1201">
        <v>2600</v>
      </c>
      <c r="Q132" s="1201">
        <v>0</v>
      </c>
      <c r="R132" s="1201">
        <v>0</v>
      </c>
      <c r="S132" s="1201">
        <v>0</v>
      </c>
      <c r="U132" s="1249">
        <v>333.902</v>
      </c>
    </row>
    <row r="133" spans="1:21" s="1190" customFormat="1" ht="23.25" customHeight="1">
      <c r="A133" s="1353" t="s">
        <v>23</v>
      </c>
      <c r="B133" s="1353"/>
      <c r="C133" s="1353"/>
      <c r="D133" s="1353"/>
      <c r="E133" s="1353"/>
      <c r="F133" s="1353"/>
      <c r="G133" s="1353"/>
      <c r="H133" s="1353"/>
      <c r="I133" s="1238">
        <v>656</v>
      </c>
      <c r="J133" s="1186">
        <v>5</v>
      </c>
      <c r="K133" s="1186"/>
      <c r="L133" s="1187"/>
      <c r="M133" s="1188"/>
      <c r="N133" s="1191">
        <f aca="true" t="shared" si="46" ref="N133:S133">N134+N154+N160</f>
        <v>22816.77028</v>
      </c>
      <c r="O133" s="1191">
        <f t="shared" si="46"/>
        <v>0</v>
      </c>
      <c r="P133" s="1191">
        <f t="shared" si="46"/>
        <v>11031.2</v>
      </c>
      <c r="Q133" s="1191">
        <f t="shared" si="46"/>
        <v>0</v>
      </c>
      <c r="R133" s="1191">
        <f t="shared" si="46"/>
        <v>11319.7</v>
      </c>
      <c r="S133" s="1191">
        <f t="shared" si="46"/>
        <v>0</v>
      </c>
      <c r="U133" s="1249">
        <v>22816.71511</v>
      </c>
    </row>
    <row r="134" spans="1:21" s="1190" customFormat="1" ht="23.25" customHeight="1">
      <c r="A134" s="1353" t="s">
        <v>9</v>
      </c>
      <c r="B134" s="1353"/>
      <c r="C134" s="1353"/>
      <c r="D134" s="1353"/>
      <c r="E134" s="1353"/>
      <c r="F134" s="1353"/>
      <c r="G134" s="1353"/>
      <c r="H134" s="1353"/>
      <c r="I134" s="1238">
        <v>656</v>
      </c>
      <c r="J134" s="1186">
        <v>5</v>
      </c>
      <c r="K134" s="1186">
        <v>1</v>
      </c>
      <c r="L134" s="1228"/>
      <c r="M134" s="1188"/>
      <c r="N134" s="1191">
        <f>N139+N140+N149</f>
        <v>3538.29687</v>
      </c>
      <c r="O134" s="1191">
        <f>O140+O149</f>
        <v>0</v>
      </c>
      <c r="P134" s="1191">
        <f>P140+P149</f>
        <v>1957.2</v>
      </c>
      <c r="Q134" s="1191">
        <f>Q140+Q149</f>
        <v>0</v>
      </c>
      <c r="R134" s="1191">
        <f>R140+R149</f>
        <v>2035.5</v>
      </c>
      <c r="S134" s="1191">
        <f>S140+S149</f>
        <v>0</v>
      </c>
      <c r="U134" s="1249">
        <v>3538.2417</v>
      </c>
    </row>
    <row r="135" spans="1:21" s="1190" customFormat="1" ht="33" customHeight="1">
      <c r="A135" s="1328" t="s">
        <v>497</v>
      </c>
      <c r="B135" s="1329"/>
      <c r="C135" s="1329"/>
      <c r="D135" s="1330"/>
      <c r="E135" s="1240"/>
      <c r="F135" s="1240"/>
      <c r="G135" s="1240"/>
      <c r="H135" s="1240"/>
      <c r="I135" s="1240">
        <v>656</v>
      </c>
      <c r="J135" s="1202">
        <v>5</v>
      </c>
      <c r="K135" s="1202">
        <v>1</v>
      </c>
      <c r="L135" s="1203" t="s">
        <v>39</v>
      </c>
      <c r="M135" s="1204"/>
      <c r="N135" s="1205">
        <f>N136</f>
        <v>1134.69</v>
      </c>
      <c r="O135" s="1205">
        <v>0</v>
      </c>
      <c r="P135" s="1205">
        <f>P136</f>
        <v>0</v>
      </c>
      <c r="Q135" s="1205">
        <v>0</v>
      </c>
      <c r="R135" s="1205">
        <f>R136</f>
        <v>0</v>
      </c>
      <c r="S135" s="1205">
        <v>0</v>
      </c>
      <c r="U135" s="1249">
        <v>1134.69</v>
      </c>
    </row>
    <row r="136" spans="1:21" s="1190" customFormat="1" ht="36" customHeight="1">
      <c r="A136" s="1337" t="s">
        <v>496</v>
      </c>
      <c r="B136" s="1338"/>
      <c r="C136" s="1338"/>
      <c r="D136" s="1339"/>
      <c r="E136" s="1239"/>
      <c r="F136" s="1239"/>
      <c r="G136" s="1239"/>
      <c r="H136" s="1239"/>
      <c r="I136" s="1239">
        <v>656</v>
      </c>
      <c r="J136" s="1202">
        <v>5</v>
      </c>
      <c r="K136" s="1202">
        <v>1</v>
      </c>
      <c r="L136" s="968" t="s">
        <v>489</v>
      </c>
      <c r="M136" s="1200"/>
      <c r="N136" s="1201">
        <f>N137</f>
        <v>1134.69</v>
      </c>
      <c r="O136" s="1201">
        <v>0</v>
      </c>
      <c r="P136" s="1201">
        <f>P137</f>
        <v>0</v>
      </c>
      <c r="Q136" s="1201">
        <v>0</v>
      </c>
      <c r="R136" s="1201">
        <f>R137</f>
        <v>0</v>
      </c>
      <c r="S136" s="1201">
        <v>0</v>
      </c>
      <c r="U136" s="1249">
        <v>1134.69</v>
      </c>
    </row>
    <row r="137" spans="1:21" s="1190" customFormat="1" ht="81" customHeight="1">
      <c r="A137" s="1337" t="s">
        <v>632</v>
      </c>
      <c r="B137" s="1338"/>
      <c r="C137" s="1338"/>
      <c r="D137" s="1339"/>
      <c r="E137" s="1239"/>
      <c r="F137" s="1239"/>
      <c r="G137" s="1239"/>
      <c r="H137" s="1239"/>
      <c r="I137" s="1239">
        <v>656</v>
      </c>
      <c r="J137" s="1202">
        <v>5</v>
      </c>
      <c r="K137" s="1202">
        <v>1</v>
      </c>
      <c r="L137" s="968" t="s">
        <v>587</v>
      </c>
      <c r="M137" s="1200">
        <v>0</v>
      </c>
      <c r="N137" s="1201">
        <f>N138</f>
        <v>1134.69</v>
      </c>
      <c r="O137" s="1201">
        <v>0</v>
      </c>
      <c r="P137" s="1201">
        <f>P138</f>
        <v>0</v>
      </c>
      <c r="Q137" s="1201">
        <v>0</v>
      </c>
      <c r="R137" s="1201">
        <f>R138</f>
        <v>0</v>
      </c>
      <c r="S137" s="1201">
        <v>0</v>
      </c>
      <c r="U137" s="1249">
        <v>1134.69</v>
      </c>
    </row>
    <row r="138" spans="1:21" s="1190" customFormat="1" ht="21" customHeight="1">
      <c r="A138" s="1331" t="s">
        <v>41</v>
      </c>
      <c r="B138" s="1332"/>
      <c r="C138" s="1332"/>
      <c r="D138" s="1333"/>
      <c r="E138" s="1239"/>
      <c r="F138" s="1239"/>
      <c r="G138" s="1239"/>
      <c r="H138" s="1239"/>
      <c r="I138" s="1239">
        <v>656</v>
      </c>
      <c r="J138" s="1202">
        <v>5</v>
      </c>
      <c r="K138" s="1202">
        <v>1</v>
      </c>
      <c r="L138" s="968" t="s">
        <v>587</v>
      </c>
      <c r="M138" s="1200">
        <v>500</v>
      </c>
      <c r="N138" s="1201">
        <f>N139</f>
        <v>1134.69</v>
      </c>
      <c r="O138" s="1201">
        <v>0</v>
      </c>
      <c r="P138" s="1201">
        <f>P139</f>
        <v>0</v>
      </c>
      <c r="Q138" s="1201">
        <v>0</v>
      </c>
      <c r="R138" s="1201">
        <f>R139</f>
        <v>0</v>
      </c>
      <c r="S138" s="1201">
        <v>0</v>
      </c>
      <c r="U138" s="1249">
        <v>1134.69</v>
      </c>
    </row>
    <row r="139" spans="1:21" s="1190" customFormat="1" ht="21" customHeight="1">
      <c r="A139" s="1325" t="s">
        <v>43</v>
      </c>
      <c r="B139" s="1326"/>
      <c r="C139" s="1326"/>
      <c r="D139" s="1327"/>
      <c r="E139" s="1239"/>
      <c r="F139" s="1239"/>
      <c r="G139" s="1239"/>
      <c r="H139" s="1239"/>
      <c r="I139" s="1239">
        <v>656</v>
      </c>
      <c r="J139" s="1202">
        <v>5</v>
      </c>
      <c r="K139" s="1202">
        <v>1</v>
      </c>
      <c r="L139" s="968" t="s">
        <v>587</v>
      </c>
      <c r="M139" s="1200">
        <v>540</v>
      </c>
      <c r="N139" s="1201">
        <f>'Проект на 20-22г отраб.с ДФ '!V294/1000</f>
        <v>1134.69</v>
      </c>
      <c r="O139" s="1201">
        <v>0</v>
      </c>
      <c r="P139" s="1201">
        <v>0</v>
      </c>
      <c r="Q139" s="1201">
        <v>0</v>
      </c>
      <c r="R139" s="1201">
        <v>0</v>
      </c>
      <c r="S139" s="1201">
        <v>0</v>
      </c>
      <c r="U139" s="1249">
        <v>1134.69</v>
      </c>
    </row>
    <row r="140" spans="1:21" s="1221" customFormat="1" ht="44.25" customHeight="1">
      <c r="A140" s="1368" t="s">
        <v>476</v>
      </c>
      <c r="B140" s="1369"/>
      <c r="C140" s="1369"/>
      <c r="D140" s="1370"/>
      <c r="E140" s="1240"/>
      <c r="F140" s="1240"/>
      <c r="G140" s="1240"/>
      <c r="H140" s="1240"/>
      <c r="I140" s="1216">
        <v>656</v>
      </c>
      <c r="J140" s="1202">
        <v>5</v>
      </c>
      <c r="K140" s="1202">
        <v>1</v>
      </c>
      <c r="L140" s="1218" t="s">
        <v>75</v>
      </c>
      <c r="M140" s="1219"/>
      <c r="N140" s="1220">
        <f>N141</f>
        <v>521.60687</v>
      </c>
      <c r="O140" s="1220">
        <f>O141+O145</f>
        <v>0</v>
      </c>
      <c r="P140" s="1220">
        <f>P141</f>
        <v>0</v>
      </c>
      <c r="Q140" s="1220">
        <f>Q141+Q145</f>
        <v>0</v>
      </c>
      <c r="R140" s="1220">
        <f>R141</f>
        <v>0</v>
      </c>
      <c r="S140" s="1220">
        <v>0</v>
      </c>
      <c r="U140" s="1253">
        <v>521.5517</v>
      </c>
    </row>
    <row r="141" spans="1:21" s="1190" customFormat="1" ht="44.25" customHeight="1">
      <c r="A141" s="1361" t="s">
        <v>536</v>
      </c>
      <c r="B141" s="1362"/>
      <c r="C141" s="1362"/>
      <c r="D141" s="1363"/>
      <c r="E141" s="1239"/>
      <c r="F141" s="1239"/>
      <c r="G141" s="1239"/>
      <c r="H141" s="1239"/>
      <c r="I141" s="1211">
        <v>656</v>
      </c>
      <c r="J141" s="1202">
        <v>5</v>
      </c>
      <c r="K141" s="1202">
        <v>1</v>
      </c>
      <c r="L141" s="1213" t="s">
        <v>541</v>
      </c>
      <c r="M141" s="1214"/>
      <c r="N141" s="1215">
        <f>N142</f>
        <v>521.60687</v>
      </c>
      <c r="O141" s="1215">
        <v>0</v>
      </c>
      <c r="P141" s="1215">
        <f>P142</f>
        <v>0</v>
      </c>
      <c r="Q141" s="1215"/>
      <c r="R141" s="1215">
        <f>R142</f>
        <v>0</v>
      </c>
      <c r="S141" s="1215">
        <v>0</v>
      </c>
      <c r="U141" s="1249">
        <v>521.5517</v>
      </c>
    </row>
    <row r="142" spans="1:21" s="1190" customFormat="1" ht="57" customHeight="1">
      <c r="A142" s="1361" t="s">
        <v>537</v>
      </c>
      <c r="B142" s="1362"/>
      <c r="C142" s="1362"/>
      <c r="D142" s="1363"/>
      <c r="E142" s="1239"/>
      <c r="F142" s="1239"/>
      <c r="G142" s="1239"/>
      <c r="H142" s="1239"/>
      <c r="I142" s="1211">
        <v>656</v>
      </c>
      <c r="J142" s="1202">
        <v>5</v>
      </c>
      <c r="K142" s="1202">
        <v>1</v>
      </c>
      <c r="L142" s="1213" t="s">
        <v>76</v>
      </c>
      <c r="M142" s="1214"/>
      <c r="N142" s="1215">
        <f>N143</f>
        <v>521.60687</v>
      </c>
      <c r="O142" s="1215">
        <v>0</v>
      </c>
      <c r="P142" s="1215">
        <f>P143</f>
        <v>0</v>
      </c>
      <c r="Q142" s="1215"/>
      <c r="R142" s="1215">
        <f>R143</f>
        <v>0</v>
      </c>
      <c r="S142" s="1215">
        <v>0</v>
      </c>
      <c r="U142" s="1249">
        <v>521.5517</v>
      </c>
    </row>
    <row r="143" spans="1:21" s="1190" customFormat="1" ht="44.25" customHeight="1">
      <c r="A143" s="1361" t="s">
        <v>53</v>
      </c>
      <c r="B143" s="1362"/>
      <c r="C143" s="1362"/>
      <c r="D143" s="1363"/>
      <c r="E143" s="1239"/>
      <c r="F143" s="1239"/>
      <c r="G143" s="1239"/>
      <c r="H143" s="1239"/>
      <c r="I143" s="1211">
        <v>656</v>
      </c>
      <c r="J143" s="1202">
        <v>5</v>
      </c>
      <c r="K143" s="1202">
        <v>1</v>
      </c>
      <c r="L143" s="1213" t="s">
        <v>76</v>
      </c>
      <c r="M143" s="1214" t="s">
        <v>54</v>
      </c>
      <c r="N143" s="1215">
        <f>N144</f>
        <v>521.60687</v>
      </c>
      <c r="O143" s="1215">
        <v>0</v>
      </c>
      <c r="P143" s="1215">
        <f>P144</f>
        <v>0</v>
      </c>
      <c r="Q143" s="1215"/>
      <c r="R143" s="1215">
        <f>R144</f>
        <v>0</v>
      </c>
      <c r="S143" s="1215">
        <v>0</v>
      </c>
      <c r="U143" s="1249">
        <v>521.5517</v>
      </c>
    </row>
    <row r="144" spans="1:21" s="1190" customFormat="1" ht="44.25" customHeight="1">
      <c r="A144" s="1361" t="s">
        <v>55</v>
      </c>
      <c r="B144" s="1362"/>
      <c r="C144" s="1362"/>
      <c r="D144" s="1363"/>
      <c r="E144" s="1239"/>
      <c r="F144" s="1239"/>
      <c r="G144" s="1239"/>
      <c r="H144" s="1239"/>
      <c r="I144" s="1211">
        <v>656</v>
      </c>
      <c r="J144" s="1202">
        <v>5</v>
      </c>
      <c r="K144" s="1202">
        <v>1</v>
      </c>
      <c r="L144" s="1213" t="s">
        <v>76</v>
      </c>
      <c r="M144" s="1214" t="s">
        <v>56</v>
      </c>
      <c r="N144" s="1201">
        <f>('Проект на 20-22г отраб.с ДФ '!V287+'Проект на 20-22г отраб.с ДФ '!X287)/1000+0.05517</f>
        <v>521.60687</v>
      </c>
      <c r="O144" s="1215">
        <v>0</v>
      </c>
      <c r="P144" s="1201">
        <v>0</v>
      </c>
      <c r="Q144" s="1215">
        <v>0</v>
      </c>
      <c r="R144" s="1201">
        <v>0</v>
      </c>
      <c r="S144" s="1215">
        <v>0</v>
      </c>
      <c r="U144" s="1249">
        <v>521.5517</v>
      </c>
    </row>
    <row r="145" spans="1:21" s="1190" customFormat="1" ht="65.25" customHeight="1" hidden="1">
      <c r="A145" s="1361" t="s">
        <v>538</v>
      </c>
      <c r="B145" s="1362"/>
      <c r="C145" s="1362"/>
      <c r="D145" s="1363"/>
      <c r="E145" s="1239"/>
      <c r="F145" s="1239"/>
      <c r="G145" s="1239"/>
      <c r="H145" s="1239"/>
      <c r="I145" s="1211">
        <v>656</v>
      </c>
      <c r="J145" s="1202">
        <v>5</v>
      </c>
      <c r="K145" s="1202">
        <v>1</v>
      </c>
      <c r="L145" s="1213" t="s">
        <v>541</v>
      </c>
      <c r="M145" s="1214"/>
      <c r="N145" s="1215" t="e">
        <f>N146</f>
        <v>#REF!</v>
      </c>
      <c r="O145" s="1215">
        <v>0</v>
      </c>
      <c r="P145" s="1215" t="e">
        <f>P146</f>
        <v>#REF!</v>
      </c>
      <c r="Q145" s="1215"/>
      <c r="R145" s="1215" t="e">
        <f>R146</f>
        <v>#REF!</v>
      </c>
      <c r="S145" s="1215">
        <v>0</v>
      </c>
      <c r="U145" s="1249" t="e">
        <v>#REF!</v>
      </c>
    </row>
    <row r="146" spans="1:21" s="1190" customFormat="1" ht="84.75" customHeight="1" hidden="1">
      <c r="A146" s="1361" t="s">
        <v>539</v>
      </c>
      <c r="B146" s="1362"/>
      <c r="C146" s="1362"/>
      <c r="D146" s="1363"/>
      <c r="E146" s="1239"/>
      <c r="F146" s="1239"/>
      <c r="G146" s="1239"/>
      <c r="H146" s="1239"/>
      <c r="I146" s="1211">
        <v>656</v>
      </c>
      <c r="J146" s="1202">
        <v>5</v>
      </c>
      <c r="K146" s="1202">
        <v>1</v>
      </c>
      <c r="L146" s="1213" t="s">
        <v>76</v>
      </c>
      <c r="M146" s="1214"/>
      <c r="N146" s="1215" t="e">
        <f>N147</f>
        <v>#REF!</v>
      </c>
      <c r="O146" s="1215">
        <v>0</v>
      </c>
      <c r="P146" s="1215" t="e">
        <f>P147</f>
        <v>#REF!</v>
      </c>
      <c r="Q146" s="1215"/>
      <c r="R146" s="1215" t="e">
        <f>R147</f>
        <v>#REF!</v>
      </c>
      <c r="S146" s="1215">
        <v>0</v>
      </c>
      <c r="U146" s="1249" t="e">
        <v>#REF!</v>
      </c>
    </row>
    <row r="147" spans="1:21" s="1190" customFormat="1" ht="44.25" customHeight="1" hidden="1">
      <c r="A147" s="1361" t="s">
        <v>53</v>
      </c>
      <c r="B147" s="1362"/>
      <c r="C147" s="1362"/>
      <c r="D147" s="1363"/>
      <c r="E147" s="1239"/>
      <c r="F147" s="1239"/>
      <c r="G147" s="1239"/>
      <c r="H147" s="1239"/>
      <c r="I147" s="1211">
        <v>656</v>
      </c>
      <c r="J147" s="1202">
        <v>5</v>
      </c>
      <c r="K147" s="1202">
        <v>1</v>
      </c>
      <c r="L147" s="1213" t="s">
        <v>76</v>
      </c>
      <c r="M147" s="1214" t="s">
        <v>54</v>
      </c>
      <c r="N147" s="1215" t="e">
        <f>N148</f>
        <v>#REF!</v>
      </c>
      <c r="O147" s="1215">
        <v>0</v>
      </c>
      <c r="P147" s="1215" t="e">
        <f>P148</f>
        <v>#REF!</v>
      </c>
      <c r="Q147" s="1215"/>
      <c r="R147" s="1215" t="e">
        <f>R148</f>
        <v>#REF!</v>
      </c>
      <c r="S147" s="1215">
        <v>0</v>
      </c>
      <c r="U147" s="1249" t="e">
        <v>#REF!</v>
      </c>
    </row>
    <row r="148" spans="1:21" s="1190" customFormat="1" ht="44.25" customHeight="1" hidden="1">
      <c r="A148" s="1361" t="s">
        <v>55</v>
      </c>
      <c r="B148" s="1362"/>
      <c r="C148" s="1362"/>
      <c r="D148" s="1363"/>
      <c r="E148" s="1239"/>
      <c r="F148" s="1239"/>
      <c r="G148" s="1239"/>
      <c r="H148" s="1239"/>
      <c r="I148" s="1211">
        <v>656</v>
      </c>
      <c r="J148" s="1202">
        <v>5</v>
      </c>
      <c r="K148" s="1202">
        <v>1</v>
      </c>
      <c r="L148" s="1213" t="s">
        <v>76</v>
      </c>
      <c r="M148" s="1214" t="s">
        <v>56</v>
      </c>
      <c r="N148" s="1201" t="e">
        <f>(#REF!)/1000</f>
        <v>#REF!</v>
      </c>
      <c r="O148" s="1215">
        <v>0</v>
      </c>
      <c r="P148" s="1201" t="e">
        <f>(#REF!)/1000</f>
        <v>#REF!</v>
      </c>
      <c r="Q148" s="1215">
        <v>0</v>
      </c>
      <c r="R148" s="1201" t="e">
        <f>(#REF!)/1000</f>
        <v>#REF!</v>
      </c>
      <c r="S148" s="1215">
        <v>0</v>
      </c>
      <c r="U148" s="1249" t="e">
        <v>#REF!</v>
      </c>
    </row>
    <row r="149" spans="1:21" s="1190" customFormat="1" ht="45.75" customHeight="1">
      <c r="A149" s="1358" t="s">
        <v>475</v>
      </c>
      <c r="B149" s="1358" t="s">
        <v>475</v>
      </c>
      <c r="C149" s="1358" t="s">
        <v>475</v>
      </c>
      <c r="D149" s="1358" t="s">
        <v>475</v>
      </c>
      <c r="E149" s="1240" t="s">
        <v>475</v>
      </c>
      <c r="F149" s="1240" t="s">
        <v>475</v>
      </c>
      <c r="G149" s="1240" t="s">
        <v>475</v>
      </c>
      <c r="H149" s="1240" t="s">
        <v>475</v>
      </c>
      <c r="I149" s="1240">
        <v>656</v>
      </c>
      <c r="J149" s="1202">
        <v>5</v>
      </c>
      <c r="K149" s="1202">
        <v>1</v>
      </c>
      <c r="L149" s="1203" t="s">
        <v>78</v>
      </c>
      <c r="M149" s="1204"/>
      <c r="N149" s="1205">
        <f aca="true" t="shared" si="47" ref="N149:S149">N151</f>
        <v>1882</v>
      </c>
      <c r="O149" s="1205">
        <f t="shared" si="47"/>
        <v>0</v>
      </c>
      <c r="P149" s="1205">
        <f t="shared" si="47"/>
        <v>1957.2</v>
      </c>
      <c r="Q149" s="1205">
        <f t="shared" si="47"/>
        <v>0</v>
      </c>
      <c r="R149" s="1205">
        <f t="shared" si="47"/>
        <v>2035.5</v>
      </c>
      <c r="S149" s="1205">
        <f t="shared" si="47"/>
        <v>0</v>
      </c>
      <c r="U149" s="1249">
        <v>1882</v>
      </c>
    </row>
    <row r="150" spans="1:21" s="1190" customFormat="1" ht="33" customHeight="1">
      <c r="A150" s="1334" t="s">
        <v>511</v>
      </c>
      <c r="B150" s="1335" t="s">
        <v>511</v>
      </c>
      <c r="C150" s="1335" t="s">
        <v>511</v>
      </c>
      <c r="D150" s="1336" t="s">
        <v>511</v>
      </c>
      <c r="E150" s="1239" t="s">
        <v>511</v>
      </c>
      <c r="F150" s="1239" t="s">
        <v>511</v>
      </c>
      <c r="G150" s="1239" t="s">
        <v>511</v>
      </c>
      <c r="H150" s="1239" t="s">
        <v>511</v>
      </c>
      <c r="I150" s="1239">
        <v>656</v>
      </c>
      <c r="J150" s="1199">
        <v>5</v>
      </c>
      <c r="K150" s="1199">
        <v>1</v>
      </c>
      <c r="L150" s="968" t="s">
        <v>510</v>
      </c>
      <c r="M150" s="1200"/>
      <c r="N150" s="1201">
        <f>N151</f>
        <v>1882</v>
      </c>
      <c r="O150" s="1201">
        <f aca="true" t="shared" si="48" ref="O150:S151">O151</f>
        <v>0</v>
      </c>
      <c r="P150" s="1201">
        <f t="shared" si="48"/>
        <v>1957.2</v>
      </c>
      <c r="Q150" s="1201">
        <f t="shared" si="48"/>
        <v>0</v>
      </c>
      <c r="R150" s="1201">
        <f t="shared" si="48"/>
        <v>2035.5</v>
      </c>
      <c r="S150" s="1201">
        <f t="shared" si="48"/>
        <v>0</v>
      </c>
      <c r="U150" s="1249">
        <v>1882</v>
      </c>
    </row>
    <row r="151" spans="1:21" s="1190" customFormat="1" ht="66" customHeight="1">
      <c r="A151" s="1357" t="s">
        <v>542</v>
      </c>
      <c r="B151" s="1357" t="s">
        <v>512</v>
      </c>
      <c r="C151" s="1357" t="s">
        <v>512</v>
      </c>
      <c r="D151" s="1357" t="s">
        <v>512</v>
      </c>
      <c r="E151" s="1239" t="s">
        <v>512</v>
      </c>
      <c r="F151" s="1239" t="s">
        <v>512</v>
      </c>
      <c r="G151" s="1239" t="s">
        <v>512</v>
      </c>
      <c r="H151" s="1239" t="s">
        <v>512</v>
      </c>
      <c r="I151" s="1239">
        <v>656</v>
      </c>
      <c r="J151" s="1199">
        <v>5</v>
      </c>
      <c r="K151" s="1199">
        <v>1</v>
      </c>
      <c r="L151" s="968" t="s">
        <v>510</v>
      </c>
      <c r="M151" s="1200" t="s">
        <v>40</v>
      </c>
      <c r="N151" s="1201">
        <f>N152</f>
        <v>1882</v>
      </c>
      <c r="O151" s="1201">
        <f t="shared" si="48"/>
        <v>0</v>
      </c>
      <c r="P151" s="1201">
        <f t="shared" si="48"/>
        <v>1957.2</v>
      </c>
      <c r="Q151" s="1201">
        <f t="shared" si="48"/>
        <v>0</v>
      </c>
      <c r="R151" s="1201">
        <f t="shared" si="48"/>
        <v>2035.5</v>
      </c>
      <c r="S151" s="1201">
        <f t="shared" si="48"/>
        <v>0</v>
      </c>
      <c r="U151" s="1249">
        <v>1882</v>
      </c>
    </row>
    <row r="152" spans="1:21" s="1190" customFormat="1" ht="14.25">
      <c r="A152" s="1357" t="s">
        <v>45</v>
      </c>
      <c r="B152" s="1357" t="s">
        <v>45</v>
      </c>
      <c r="C152" s="1357" t="s">
        <v>45</v>
      </c>
      <c r="D152" s="1357" t="s">
        <v>45</v>
      </c>
      <c r="E152" s="1357" t="s">
        <v>45</v>
      </c>
      <c r="F152" s="1357" t="s">
        <v>45</v>
      </c>
      <c r="G152" s="1357" t="s">
        <v>45</v>
      </c>
      <c r="H152" s="1357" t="s">
        <v>45</v>
      </c>
      <c r="I152" s="1239">
        <v>656</v>
      </c>
      <c r="J152" s="1199">
        <v>5</v>
      </c>
      <c r="K152" s="1199">
        <v>1</v>
      </c>
      <c r="L152" s="968" t="s">
        <v>510</v>
      </c>
      <c r="M152" s="1200" t="s">
        <v>57</v>
      </c>
      <c r="N152" s="1201">
        <f>N153</f>
        <v>1882</v>
      </c>
      <c r="O152" s="1201">
        <v>0</v>
      </c>
      <c r="P152" s="1201">
        <f>P153</f>
        <v>1957.2</v>
      </c>
      <c r="Q152" s="1201">
        <v>0</v>
      </c>
      <c r="R152" s="1201">
        <f>R153</f>
        <v>2035.5</v>
      </c>
      <c r="S152" s="1201">
        <v>0</v>
      </c>
      <c r="U152" s="1249">
        <v>1882</v>
      </c>
    </row>
    <row r="153" spans="1:21" s="1190" customFormat="1" ht="54" customHeight="1">
      <c r="A153" s="1357" t="s">
        <v>79</v>
      </c>
      <c r="B153" s="1364" t="s">
        <v>79</v>
      </c>
      <c r="C153" s="1364" t="s">
        <v>79</v>
      </c>
      <c r="D153" s="1364" t="s">
        <v>79</v>
      </c>
      <c r="E153" s="1239" t="s">
        <v>79</v>
      </c>
      <c r="F153" s="1239" t="s">
        <v>79</v>
      </c>
      <c r="G153" s="1239" t="s">
        <v>79</v>
      </c>
      <c r="H153" s="1239" t="s">
        <v>79</v>
      </c>
      <c r="I153" s="1239">
        <v>656</v>
      </c>
      <c r="J153" s="1199">
        <v>5</v>
      </c>
      <c r="K153" s="1199">
        <v>1</v>
      </c>
      <c r="L153" s="968" t="s">
        <v>510</v>
      </c>
      <c r="M153" s="1200" t="s">
        <v>80</v>
      </c>
      <c r="N153" s="1201">
        <v>1882</v>
      </c>
      <c r="O153" s="1201">
        <v>0</v>
      </c>
      <c r="P153" s="1201">
        <v>1957.2</v>
      </c>
      <c r="Q153" s="1201">
        <v>0</v>
      </c>
      <c r="R153" s="1201">
        <v>2035.5</v>
      </c>
      <c r="S153" s="1201">
        <v>0</v>
      </c>
      <c r="U153" s="1249">
        <v>1882</v>
      </c>
    </row>
    <row r="154" spans="1:21" s="1190" customFormat="1" ht="14.25">
      <c r="A154" s="1387" t="s">
        <v>26</v>
      </c>
      <c r="B154" s="1390"/>
      <c r="C154" s="1390"/>
      <c r="D154" s="1391"/>
      <c r="E154" s="1238"/>
      <c r="F154" s="1238"/>
      <c r="G154" s="1238"/>
      <c r="H154" s="1238"/>
      <c r="I154" s="1238">
        <v>656</v>
      </c>
      <c r="J154" s="1186">
        <v>5</v>
      </c>
      <c r="K154" s="1186">
        <v>2</v>
      </c>
      <c r="L154" s="1187"/>
      <c r="M154" s="1188"/>
      <c r="N154" s="1191">
        <f aca="true" t="shared" si="49" ref="N154:S154">N155</f>
        <v>12785.47</v>
      </c>
      <c r="O154" s="1191">
        <f t="shared" si="49"/>
        <v>0</v>
      </c>
      <c r="P154" s="1191">
        <f t="shared" si="49"/>
        <v>8254</v>
      </c>
      <c r="Q154" s="1191">
        <f t="shared" si="49"/>
        <v>0</v>
      </c>
      <c r="R154" s="1191">
        <f t="shared" si="49"/>
        <v>8254</v>
      </c>
      <c r="S154" s="1191">
        <f t="shared" si="49"/>
        <v>0</v>
      </c>
      <c r="U154" s="1249">
        <v>12785.47</v>
      </c>
    </row>
    <row r="155" spans="1:21" s="1190" customFormat="1" ht="33" customHeight="1">
      <c r="A155" s="1328" t="s">
        <v>497</v>
      </c>
      <c r="B155" s="1329"/>
      <c r="C155" s="1329"/>
      <c r="D155" s="1330"/>
      <c r="E155" s="1240"/>
      <c r="F155" s="1240"/>
      <c r="G155" s="1240"/>
      <c r="H155" s="1240"/>
      <c r="I155" s="1240">
        <v>656</v>
      </c>
      <c r="J155" s="1202">
        <v>5</v>
      </c>
      <c r="K155" s="1202">
        <v>2</v>
      </c>
      <c r="L155" s="1203" t="s">
        <v>39</v>
      </c>
      <c r="M155" s="1204"/>
      <c r="N155" s="1205">
        <f>N156</f>
        <v>12785.47</v>
      </c>
      <c r="O155" s="1205">
        <v>0</v>
      </c>
      <c r="P155" s="1205">
        <f>P156</f>
        <v>8254</v>
      </c>
      <c r="Q155" s="1205">
        <v>0</v>
      </c>
      <c r="R155" s="1205">
        <f>R156</f>
        <v>8254</v>
      </c>
      <c r="S155" s="1205">
        <v>0</v>
      </c>
      <c r="U155" s="1249">
        <v>12785.47</v>
      </c>
    </row>
    <row r="156" spans="1:21" s="1190" customFormat="1" ht="36" customHeight="1">
      <c r="A156" s="1337" t="s">
        <v>496</v>
      </c>
      <c r="B156" s="1338"/>
      <c r="C156" s="1338"/>
      <c r="D156" s="1339"/>
      <c r="E156" s="1239"/>
      <c r="F156" s="1239"/>
      <c r="G156" s="1239"/>
      <c r="H156" s="1239"/>
      <c r="I156" s="1239">
        <v>656</v>
      </c>
      <c r="J156" s="1199">
        <v>5</v>
      </c>
      <c r="K156" s="1199">
        <v>2</v>
      </c>
      <c r="L156" s="968" t="s">
        <v>489</v>
      </c>
      <c r="M156" s="1200"/>
      <c r="N156" s="1201">
        <f>N157</f>
        <v>12785.47</v>
      </c>
      <c r="O156" s="1201">
        <v>0</v>
      </c>
      <c r="P156" s="1201">
        <f>P157</f>
        <v>8254</v>
      </c>
      <c r="Q156" s="1201">
        <v>0</v>
      </c>
      <c r="R156" s="1201">
        <f>R157</f>
        <v>8254</v>
      </c>
      <c r="S156" s="1201">
        <v>0</v>
      </c>
      <c r="U156" s="1249">
        <v>12785.47</v>
      </c>
    </row>
    <row r="157" spans="1:21" s="1190" customFormat="1" ht="63" customHeight="1">
      <c r="A157" s="1337" t="s">
        <v>633</v>
      </c>
      <c r="B157" s="1338"/>
      <c r="C157" s="1338"/>
      <c r="D157" s="1339"/>
      <c r="E157" s="1239"/>
      <c r="F157" s="1239"/>
      <c r="G157" s="1239"/>
      <c r="H157" s="1239"/>
      <c r="I157" s="1239">
        <v>656</v>
      </c>
      <c r="J157" s="1199">
        <v>5</v>
      </c>
      <c r="K157" s="1199">
        <v>2</v>
      </c>
      <c r="L157" s="968" t="s">
        <v>488</v>
      </c>
      <c r="M157" s="1200">
        <v>0</v>
      </c>
      <c r="N157" s="1201">
        <f>N158</f>
        <v>12785.47</v>
      </c>
      <c r="O157" s="1201">
        <v>0</v>
      </c>
      <c r="P157" s="1201">
        <f>P158</f>
        <v>8254</v>
      </c>
      <c r="Q157" s="1201">
        <v>0</v>
      </c>
      <c r="R157" s="1201">
        <f>R158</f>
        <v>8254</v>
      </c>
      <c r="S157" s="1201">
        <v>0</v>
      </c>
      <c r="U157" s="1249">
        <v>12785.47</v>
      </c>
    </row>
    <row r="158" spans="1:21" s="1190" customFormat="1" ht="21" customHeight="1">
      <c r="A158" s="1331" t="s">
        <v>41</v>
      </c>
      <c r="B158" s="1332"/>
      <c r="C158" s="1332"/>
      <c r="D158" s="1333"/>
      <c r="E158" s="1239"/>
      <c r="F158" s="1239"/>
      <c r="G158" s="1239"/>
      <c r="H158" s="1239"/>
      <c r="I158" s="1239">
        <v>656</v>
      </c>
      <c r="J158" s="1199">
        <v>5</v>
      </c>
      <c r="K158" s="1199">
        <v>2</v>
      </c>
      <c r="L158" s="968" t="s">
        <v>488</v>
      </c>
      <c r="M158" s="1200">
        <v>500</v>
      </c>
      <c r="N158" s="1201">
        <f>N159</f>
        <v>12785.47</v>
      </c>
      <c r="O158" s="1201">
        <v>0</v>
      </c>
      <c r="P158" s="1201">
        <f>P159</f>
        <v>8254</v>
      </c>
      <c r="Q158" s="1201">
        <v>0</v>
      </c>
      <c r="R158" s="1201">
        <f>R159</f>
        <v>8254</v>
      </c>
      <c r="S158" s="1201">
        <v>0</v>
      </c>
      <c r="U158" s="1249">
        <v>12785.47</v>
      </c>
    </row>
    <row r="159" spans="1:21" s="1190" customFormat="1" ht="21" customHeight="1">
      <c r="A159" s="1325" t="s">
        <v>43</v>
      </c>
      <c r="B159" s="1326"/>
      <c r="C159" s="1326"/>
      <c r="D159" s="1327"/>
      <c r="E159" s="1239"/>
      <c r="F159" s="1239"/>
      <c r="G159" s="1239"/>
      <c r="H159" s="1239"/>
      <c r="I159" s="1239">
        <v>656</v>
      </c>
      <c r="J159" s="1199">
        <v>5</v>
      </c>
      <c r="K159" s="1199">
        <v>2</v>
      </c>
      <c r="L159" s="968" t="s">
        <v>488</v>
      </c>
      <c r="M159" s="1200">
        <v>540</v>
      </c>
      <c r="N159" s="1201">
        <f>'Проект на 20-22г отраб.с ДФ '!V295/1000</f>
        <v>12785.47</v>
      </c>
      <c r="O159" s="1201">
        <v>0</v>
      </c>
      <c r="P159" s="1201">
        <v>8254</v>
      </c>
      <c r="Q159" s="1201">
        <v>0</v>
      </c>
      <c r="R159" s="1201">
        <v>8254</v>
      </c>
      <c r="S159" s="1201">
        <v>0</v>
      </c>
      <c r="U159" s="1249">
        <v>12785.47</v>
      </c>
    </row>
    <row r="160" spans="1:21" s="1190" customFormat="1" ht="30" customHeight="1">
      <c r="A160" s="1353" t="s">
        <v>8</v>
      </c>
      <c r="B160" s="1353"/>
      <c r="C160" s="1353"/>
      <c r="D160" s="1353"/>
      <c r="E160" s="1353"/>
      <c r="F160" s="1353"/>
      <c r="G160" s="1353"/>
      <c r="H160" s="1353"/>
      <c r="I160" s="1238">
        <v>656</v>
      </c>
      <c r="J160" s="1186">
        <v>5</v>
      </c>
      <c r="K160" s="1186">
        <v>3</v>
      </c>
      <c r="L160" s="1187"/>
      <c r="M160" s="1188"/>
      <c r="N160" s="1191">
        <f>N165+N166+N171</f>
        <v>6493.00341</v>
      </c>
      <c r="O160" s="1191">
        <f>O183+O174</f>
        <v>0</v>
      </c>
      <c r="P160" s="1191">
        <f>P166+P171</f>
        <v>820</v>
      </c>
      <c r="Q160" s="1191">
        <f>Q183+Q174</f>
        <v>0</v>
      </c>
      <c r="R160" s="1191">
        <f>R166+R171</f>
        <v>1030.2</v>
      </c>
      <c r="S160" s="1191">
        <f>S183+S174</f>
        <v>0</v>
      </c>
      <c r="U160" s="1249">
        <v>6492.9542</v>
      </c>
    </row>
    <row r="161" spans="1:21" s="1190" customFormat="1" ht="33" customHeight="1">
      <c r="A161" s="1328" t="s">
        <v>497</v>
      </c>
      <c r="B161" s="1329"/>
      <c r="C161" s="1329"/>
      <c r="D161" s="1330"/>
      <c r="E161" s="1240"/>
      <c r="F161" s="1240"/>
      <c r="G161" s="1240"/>
      <c r="H161" s="1240"/>
      <c r="I161" s="1240">
        <v>656</v>
      </c>
      <c r="J161" s="1202">
        <v>5</v>
      </c>
      <c r="K161" s="1202">
        <v>3</v>
      </c>
      <c r="L161" s="1203" t="s">
        <v>39</v>
      </c>
      <c r="M161" s="1204"/>
      <c r="N161" s="1205">
        <f>N162</f>
        <v>2013.924</v>
      </c>
      <c r="O161" s="1205">
        <v>0</v>
      </c>
      <c r="P161" s="1205">
        <f>P162</f>
        <v>0</v>
      </c>
      <c r="Q161" s="1205">
        <v>0</v>
      </c>
      <c r="R161" s="1205">
        <f>R162</f>
        <v>0</v>
      </c>
      <c r="S161" s="1205">
        <v>0</v>
      </c>
      <c r="U161" s="1249">
        <v>2013.924</v>
      </c>
    </row>
    <row r="162" spans="1:21" s="1190" customFormat="1" ht="36" customHeight="1">
      <c r="A162" s="1337" t="s">
        <v>496</v>
      </c>
      <c r="B162" s="1338"/>
      <c r="C162" s="1338"/>
      <c r="D162" s="1339"/>
      <c r="E162" s="1239"/>
      <c r="F162" s="1239"/>
      <c r="G162" s="1239"/>
      <c r="H162" s="1239"/>
      <c r="I162" s="1239">
        <v>656</v>
      </c>
      <c r="J162" s="1199">
        <v>5</v>
      </c>
      <c r="K162" s="1199">
        <v>3</v>
      </c>
      <c r="L162" s="968" t="s">
        <v>489</v>
      </c>
      <c r="M162" s="1200"/>
      <c r="N162" s="1201">
        <f>N163</f>
        <v>2013.924</v>
      </c>
      <c r="O162" s="1201">
        <v>0</v>
      </c>
      <c r="P162" s="1201">
        <f>P163</f>
        <v>0</v>
      </c>
      <c r="Q162" s="1201">
        <v>0</v>
      </c>
      <c r="R162" s="1201">
        <f>R163</f>
        <v>0</v>
      </c>
      <c r="S162" s="1201">
        <v>0</v>
      </c>
      <c r="U162" s="1249">
        <v>2013.924</v>
      </c>
    </row>
    <row r="163" spans="1:21" s="1190" customFormat="1" ht="63" customHeight="1">
      <c r="A163" s="1337" t="s">
        <v>633</v>
      </c>
      <c r="B163" s="1338"/>
      <c r="C163" s="1338"/>
      <c r="D163" s="1339"/>
      <c r="E163" s="1239"/>
      <c r="F163" s="1239"/>
      <c r="G163" s="1239"/>
      <c r="H163" s="1239"/>
      <c r="I163" s="1239">
        <v>656</v>
      </c>
      <c r="J163" s="1199">
        <v>5</v>
      </c>
      <c r="K163" s="1199">
        <v>3</v>
      </c>
      <c r="L163" s="968" t="s">
        <v>488</v>
      </c>
      <c r="M163" s="1200">
        <v>0</v>
      </c>
      <c r="N163" s="1201">
        <f>N164</f>
        <v>2013.924</v>
      </c>
      <c r="O163" s="1201">
        <v>0</v>
      </c>
      <c r="P163" s="1201">
        <v>0</v>
      </c>
      <c r="Q163" s="1201">
        <v>0</v>
      </c>
      <c r="R163" s="1201">
        <v>0</v>
      </c>
      <c r="S163" s="1201">
        <v>0</v>
      </c>
      <c r="U163" s="1249">
        <v>2013.924</v>
      </c>
    </row>
    <row r="164" spans="1:21" s="1190" customFormat="1" ht="21" customHeight="1">
      <c r="A164" s="1331" t="s">
        <v>41</v>
      </c>
      <c r="B164" s="1332"/>
      <c r="C164" s="1332"/>
      <c r="D164" s="1333"/>
      <c r="E164" s="1239"/>
      <c r="F164" s="1239"/>
      <c r="G164" s="1239"/>
      <c r="H164" s="1239"/>
      <c r="I164" s="1239">
        <v>656</v>
      </c>
      <c r="J164" s="1199">
        <v>5</v>
      </c>
      <c r="K164" s="1199">
        <v>3</v>
      </c>
      <c r="L164" s="968" t="s">
        <v>488</v>
      </c>
      <c r="M164" s="1200">
        <v>500</v>
      </c>
      <c r="N164" s="1201">
        <f>N165</f>
        <v>2013.924</v>
      </c>
      <c r="O164" s="1201">
        <v>0</v>
      </c>
      <c r="P164" s="1201">
        <f>P165</f>
        <v>0</v>
      </c>
      <c r="Q164" s="1201">
        <v>0</v>
      </c>
      <c r="R164" s="1201">
        <f>R165</f>
        <v>0</v>
      </c>
      <c r="S164" s="1201">
        <v>0</v>
      </c>
      <c r="U164" s="1249">
        <v>2013.924</v>
      </c>
    </row>
    <row r="165" spans="1:21" s="1190" customFormat="1" ht="21" customHeight="1">
      <c r="A165" s="1325" t="s">
        <v>43</v>
      </c>
      <c r="B165" s="1326"/>
      <c r="C165" s="1326"/>
      <c r="D165" s="1327"/>
      <c r="E165" s="1239"/>
      <c r="F165" s="1239"/>
      <c r="G165" s="1239"/>
      <c r="H165" s="1239"/>
      <c r="I165" s="1239">
        <v>656</v>
      </c>
      <c r="J165" s="1199">
        <v>5</v>
      </c>
      <c r="K165" s="1199">
        <v>3</v>
      </c>
      <c r="L165" s="968" t="s">
        <v>488</v>
      </c>
      <c r="M165" s="1200">
        <v>540</v>
      </c>
      <c r="N165" s="1201">
        <f>'Проект на 20-22г отраб.с ДФ '!V296/1000</f>
        <v>2013.924</v>
      </c>
      <c r="O165" s="1201">
        <v>0</v>
      </c>
      <c r="P165" s="1201">
        <v>0</v>
      </c>
      <c r="Q165" s="1201">
        <v>0</v>
      </c>
      <c r="R165" s="1201">
        <v>0</v>
      </c>
      <c r="S165" s="1201">
        <v>0</v>
      </c>
      <c r="U165" s="1249">
        <v>2013.924</v>
      </c>
    </row>
    <row r="166" spans="1:21" s="1221" customFormat="1" ht="44.25" customHeight="1">
      <c r="A166" s="1368" t="s">
        <v>476</v>
      </c>
      <c r="B166" s="1369"/>
      <c r="C166" s="1369"/>
      <c r="D166" s="1370"/>
      <c r="E166" s="1240"/>
      <c r="F166" s="1240"/>
      <c r="G166" s="1240"/>
      <c r="H166" s="1240"/>
      <c r="I166" s="1216">
        <v>656</v>
      </c>
      <c r="J166" s="1202">
        <v>5</v>
      </c>
      <c r="K166" s="1202">
        <v>3</v>
      </c>
      <c r="L166" s="1218" t="s">
        <v>75</v>
      </c>
      <c r="M166" s="1219"/>
      <c r="N166" s="1220">
        <f>N167</f>
        <v>421</v>
      </c>
      <c r="O166" s="1220">
        <v>0</v>
      </c>
      <c r="P166" s="1220">
        <f>P167</f>
        <v>260</v>
      </c>
      <c r="Q166" s="1220">
        <v>0</v>
      </c>
      <c r="R166" s="1220">
        <f>R167</f>
        <v>260</v>
      </c>
      <c r="S166" s="1220">
        <v>0</v>
      </c>
      <c r="U166" s="1253">
        <v>421</v>
      </c>
    </row>
    <row r="167" spans="1:21" s="1190" customFormat="1" ht="44.25" customHeight="1">
      <c r="A167" s="1361" t="s">
        <v>536</v>
      </c>
      <c r="B167" s="1362"/>
      <c r="C167" s="1362"/>
      <c r="D167" s="1363"/>
      <c r="E167" s="1239"/>
      <c r="F167" s="1239"/>
      <c r="G167" s="1239"/>
      <c r="H167" s="1239"/>
      <c r="I167" s="1211">
        <v>656</v>
      </c>
      <c r="J167" s="1202">
        <v>5</v>
      </c>
      <c r="K167" s="1202">
        <v>3</v>
      </c>
      <c r="L167" s="1213" t="s">
        <v>541</v>
      </c>
      <c r="M167" s="1214"/>
      <c r="N167" s="1215">
        <f>N168</f>
        <v>421</v>
      </c>
      <c r="O167" s="1215">
        <v>0</v>
      </c>
      <c r="P167" s="1215">
        <f>P168</f>
        <v>260</v>
      </c>
      <c r="Q167" s="1215"/>
      <c r="R167" s="1215">
        <f>R168</f>
        <v>260</v>
      </c>
      <c r="S167" s="1215">
        <v>0</v>
      </c>
      <c r="U167" s="1249">
        <v>421</v>
      </c>
    </row>
    <row r="168" spans="1:21" s="1190" customFormat="1" ht="63" customHeight="1">
      <c r="A168" s="1361" t="s">
        <v>537</v>
      </c>
      <c r="B168" s="1362"/>
      <c r="C168" s="1362"/>
      <c r="D168" s="1363"/>
      <c r="E168" s="1239"/>
      <c r="F168" s="1239"/>
      <c r="G168" s="1239"/>
      <c r="H168" s="1239"/>
      <c r="I168" s="1211">
        <v>656</v>
      </c>
      <c r="J168" s="1202">
        <v>5</v>
      </c>
      <c r="K168" s="1202">
        <v>3</v>
      </c>
      <c r="L168" s="1213" t="s">
        <v>76</v>
      </c>
      <c r="M168" s="1214"/>
      <c r="N168" s="1215">
        <f>N169</f>
        <v>421</v>
      </c>
      <c r="O168" s="1215">
        <v>0</v>
      </c>
      <c r="P168" s="1215">
        <f>P169</f>
        <v>260</v>
      </c>
      <c r="Q168" s="1215"/>
      <c r="R168" s="1215">
        <f>R169</f>
        <v>260</v>
      </c>
      <c r="S168" s="1215">
        <v>0</v>
      </c>
      <c r="U168" s="1249">
        <v>421</v>
      </c>
    </row>
    <row r="169" spans="1:21" s="1190" customFormat="1" ht="44.25" customHeight="1">
      <c r="A169" s="1361" t="s">
        <v>53</v>
      </c>
      <c r="B169" s="1362"/>
      <c r="C169" s="1362"/>
      <c r="D169" s="1363"/>
      <c r="E169" s="1239"/>
      <c r="F169" s="1239"/>
      <c r="G169" s="1239"/>
      <c r="H169" s="1239"/>
      <c r="I169" s="1211">
        <v>656</v>
      </c>
      <c r="J169" s="1202">
        <v>5</v>
      </c>
      <c r="K169" s="1202">
        <v>3</v>
      </c>
      <c r="L169" s="1213" t="s">
        <v>76</v>
      </c>
      <c r="M169" s="1214" t="s">
        <v>54</v>
      </c>
      <c r="N169" s="1215">
        <f>N170</f>
        <v>421</v>
      </c>
      <c r="O169" s="1215">
        <v>0</v>
      </c>
      <c r="P169" s="1215">
        <f>P170</f>
        <v>260</v>
      </c>
      <c r="Q169" s="1215"/>
      <c r="R169" s="1215">
        <f>R170</f>
        <v>260</v>
      </c>
      <c r="S169" s="1215">
        <v>0</v>
      </c>
      <c r="U169" s="1249">
        <v>421</v>
      </c>
    </row>
    <row r="170" spans="1:21" s="1190" customFormat="1" ht="44.25" customHeight="1">
      <c r="A170" s="1361" t="s">
        <v>55</v>
      </c>
      <c r="B170" s="1362"/>
      <c r="C170" s="1362"/>
      <c r="D170" s="1363"/>
      <c r="E170" s="1239"/>
      <c r="F170" s="1239"/>
      <c r="G170" s="1239"/>
      <c r="H170" s="1239"/>
      <c r="I170" s="1211">
        <v>656</v>
      </c>
      <c r="J170" s="1202">
        <v>5</v>
      </c>
      <c r="K170" s="1202">
        <v>3</v>
      </c>
      <c r="L170" s="1213" t="s">
        <v>76</v>
      </c>
      <c r="M170" s="1214" t="s">
        <v>56</v>
      </c>
      <c r="N170" s="1201">
        <f>('Проект на 20-22г отраб.с ДФ '!V361+'Проект на 20-22г отраб.с ДФ '!V371+'Проект на 20-22г отраб.с ДФ '!X361+'Проект на 20-22г отраб.с ДФ '!X371)/1000</f>
        <v>421</v>
      </c>
      <c r="O170" s="1215">
        <v>0</v>
      </c>
      <c r="P170" s="1201">
        <v>260</v>
      </c>
      <c r="Q170" s="1215">
        <v>0</v>
      </c>
      <c r="R170" s="1201">
        <v>260</v>
      </c>
      <c r="S170" s="1215">
        <v>0</v>
      </c>
      <c r="U170" s="1249">
        <v>421</v>
      </c>
    </row>
    <row r="171" spans="1:21" s="1190" customFormat="1" ht="45.75" customHeight="1">
      <c r="A171" s="1358" t="s">
        <v>475</v>
      </c>
      <c r="B171" s="1358" t="s">
        <v>475</v>
      </c>
      <c r="C171" s="1358" t="s">
        <v>475</v>
      </c>
      <c r="D171" s="1358" t="s">
        <v>475</v>
      </c>
      <c r="E171" s="1240" t="s">
        <v>475</v>
      </c>
      <c r="F171" s="1240" t="s">
        <v>475</v>
      </c>
      <c r="G171" s="1240" t="s">
        <v>475</v>
      </c>
      <c r="H171" s="1240" t="s">
        <v>475</v>
      </c>
      <c r="I171" s="1240">
        <v>656</v>
      </c>
      <c r="J171" s="1202">
        <v>5</v>
      </c>
      <c r="K171" s="1202">
        <v>3</v>
      </c>
      <c r="L171" s="1203" t="s">
        <v>78</v>
      </c>
      <c r="M171" s="1204"/>
      <c r="N171" s="1205">
        <f aca="true" t="shared" si="50" ref="N171:S171">N189+N185+N172</f>
        <v>4058.0794100000003</v>
      </c>
      <c r="O171" s="1205">
        <f t="shared" si="50"/>
        <v>0</v>
      </c>
      <c r="P171" s="1205">
        <f t="shared" si="50"/>
        <v>560</v>
      </c>
      <c r="Q171" s="1205">
        <f t="shared" si="50"/>
        <v>0</v>
      </c>
      <c r="R171" s="1205">
        <f t="shared" si="50"/>
        <v>770.2</v>
      </c>
      <c r="S171" s="1205">
        <f t="shared" si="50"/>
        <v>0</v>
      </c>
      <c r="U171" s="1249">
        <v>4058.0794100000003</v>
      </c>
    </row>
    <row r="172" spans="1:21" s="1221" customFormat="1" ht="25.5" customHeight="1">
      <c r="A172" s="1365" t="s">
        <v>513</v>
      </c>
      <c r="B172" s="1366" t="s">
        <v>513</v>
      </c>
      <c r="C172" s="1366" t="s">
        <v>513</v>
      </c>
      <c r="D172" s="1366" t="s">
        <v>513</v>
      </c>
      <c r="E172" s="1366" t="s">
        <v>513</v>
      </c>
      <c r="F172" s="1366" t="s">
        <v>513</v>
      </c>
      <c r="G172" s="1366" t="s">
        <v>513</v>
      </c>
      <c r="H172" s="1367" t="s">
        <v>513</v>
      </c>
      <c r="I172" s="1240">
        <v>656</v>
      </c>
      <c r="J172" s="1202">
        <v>5</v>
      </c>
      <c r="K172" s="1202">
        <v>3</v>
      </c>
      <c r="L172" s="1203" t="s">
        <v>505</v>
      </c>
      <c r="M172" s="1204"/>
      <c r="N172" s="1205">
        <f aca="true" t="shared" si="51" ref="N172:S172">N173+N177+N179</f>
        <v>400.993</v>
      </c>
      <c r="O172" s="1205">
        <f t="shared" si="51"/>
        <v>0</v>
      </c>
      <c r="P172" s="1205">
        <f t="shared" si="51"/>
        <v>0</v>
      </c>
      <c r="Q172" s="1205">
        <f t="shared" si="51"/>
        <v>0</v>
      </c>
      <c r="R172" s="1205">
        <f t="shared" si="51"/>
        <v>0</v>
      </c>
      <c r="S172" s="1205">
        <f t="shared" si="51"/>
        <v>0</v>
      </c>
      <c r="U172" s="1253">
        <v>400.993</v>
      </c>
    </row>
    <row r="173" spans="1:21" s="1209" customFormat="1" ht="51" customHeight="1">
      <c r="A173" s="1334" t="s">
        <v>514</v>
      </c>
      <c r="B173" s="1335" t="s">
        <v>514</v>
      </c>
      <c r="C173" s="1335" t="s">
        <v>514</v>
      </c>
      <c r="D173" s="1335" t="s">
        <v>514</v>
      </c>
      <c r="E173" s="1335" t="s">
        <v>514</v>
      </c>
      <c r="F173" s="1335" t="s">
        <v>514</v>
      </c>
      <c r="G173" s="1335" t="s">
        <v>514</v>
      </c>
      <c r="H173" s="1336" t="s">
        <v>514</v>
      </c>
      <c r="I173" s="1239">
        <v>656</v>
      </c>
      <c r="J173" s="1199">
        <v>5</v>
      </c>
      <c r="K173" s="1199">
        <v>3</v>
      </c>
      <c r="L173" s="968" t="s">
        <v>506</v>
      </c>
      <c r="M173" s="1200" t="s">
        <v>40</v>
      </c>
      <c r="N173" s="1201">
        <f>N174</f>
        <v>299.993</v>
      </c>
      <c r="O173" s="1201">
        <v>0</v>
      </c>
      <c r="P173" s="1201">
        <v>0</v>
      </c>
      <c r="Q173" s="1201">
        <v>0</v>
      </c>
      <c r="R173" s="1201">
        <v>0</v>
      </c>
      <c r="S173" s="1201">
        <v>0</v>
      </c>
      <c r="U173" s="1251">
        <v>299.993</v>
      </c>
    </row>
    <row r="174" spans="1:21" s="1209" customFormat="1" ht="29.25" customHeight="1">
      <c r="A174" s="1334" t="s">
        <v>53</v>
      </c>
      <c r="B174" s="1335" t="s">
        <v>53</v>
      </c>
      <c r="C174" s="1335" t="s">
        <v>53</v>
      </c>
      <c r="D174" s="1336" t="s">
        <v>53</v>
      </c>
      <c r="E174" s="1239" t="s">
        <v>53</v>
      </c>
      <c r="F174" s="1239" t="s">
        <v>53</v>
      </c>
      <c r="G174" s="1239" t="s">
        <v>53</v>
      </c>
      <c r="H174" s="1239" t="s">
        <v>53</v>
      </c>
      <c r="I174" s="1239">
        <v>656</v>
      </c>
      <c r="J174" s="1199">
        <v>5</v>
      </c>
      <c r="K174" s="1199">
        <v>3</v>
      </c>
      <c r="L174" s="968" t="s">
        <v>506</v>
      </c>
      <c r="M174" s="1200" t="s">
        <v>54</v>
      </c>
      <c r="N174" s="1201">
        <f>N175</f>
        <v>299.993</v>
      </c>
      <c r="O174" s="1201">
        <v>0</v>
      </c>
      <c r="P174" s="1201">
        <v>0</v>
      </c>
      <c r="Q174" s="1201">
        <v>0</v>
      </c>
      <c r="R174" s="1201">
        <v>0</v>
      </c>
      <c r="S174" s="1201">
        <v>0</v>
      </c>
      <c r="U174" s="1251">
        <v>299.993</v>
      </c>
    </row>
    <row r="175" spans="1:21" s="1209" customFormat="1" ht="34.5" customHeight="1">
      <c r="A175" s="1334" t="s">
        <v>55</v>
      </c>
      <c r="B175" s="1335" t="s">
        <v>55</v>
      </c>
      <c r="C175" s="1335" t="s">
        <v>55</v>
      </c>
      <c r="D175" s="1336" t="s">
        <v>55</v>
      </c>
      <c r="E175" s="1239" t="s">
        <v>55</v>
      </c>
      <c r="F175" s="1239" t="s">
        <v>55</v>
      </c>
      <c r="G175" s="1239" t="s">
        <v>55</v>
      </c>
      <c r="H175" s="1239" t="s">
        <v>55</v>
      </c>
      <c r="I175" s="1239">
        <v>656</v>
      </c>
      <c r="J175" s="1199">
        <v>5</v>
      </c>
      <c r="K175" s="1199">
        <v>3</v>
      </c>
      <c r="L175" s="968" t="s">
        <v>506</v>
      </c>
      <c r="M175" s="1200" t="s">
        <v>56</v>
      </c>
      <c r="N175" s="1201">
        <f>'Прил.4'!D112</f>
        <v>299.993</v>
      </c>
      <c r="O175" s="1201">
        <v>0</v>
      </c>
      <c r="P175" s="1201">
        <v>0</v>
      </c>
      <c r="Q175" s="1201">
        <v>0</v>
      </c>
      <c r="R175" s="1201">
        <v>0</v>
      </c>
      <c r="S175" s="1201">
        <v>0</v>
      </c>
      <c r="U175" s="1251">
        <v>299.993</v>
      </c>
    </row>
    <row r="176" spans="1:21" s="1209" customFormat="1" ht="72.75" customHeight="1">
      <c r="A176" s="1337" t="s">
        <v>733</v>
      </c>
      <c r="B176" s="1338"/>
      <c r="C176" s="1338"/>
      <c r="D176" s="1339"/>
      <c r="E176" s="1229" t="s">
        <v>473</v>
      </c>
      <c r="F176" s="1229" t="s">
        <v>473</v>
      </c>
      <c r="G176" s="1229" t="s">
        <v>473</v>
      </c>
      <c r="H176" s="1229" t="s">
        <v>473</v>
      </c>
      <c r="I176" s="1239">
        <v>656</v>
      </c>
      <c r="J176" s="1199">
        <v>5</v>
      </c>
      <c r="K176" s="1199">
        <v>3</v>
      </c>
      <c r="L176" s="1230" t="s">
        <v>659</v>
      </c>
      <c r="M176" s="1200" t="s">
        <v>40</v>
      </c>
      <c r="N176" s="1201">
        <f>N177</f>
        <v>100</v>
      </c>
      <c r="O176" s="1201">
        <f aca="true" t="shared" si="52" ref="O176:S179">O177</f>
        <v>0</v>
      </c>
      <c r="P176" s="1201">
        <f t="shared" si="52"/>
        <v>0</v>
      </c>
      <c r="Q176" s="1201">
        <f t="shared" si="52"/>
        <v>0</v>
      </c>
      <c r="R176" s="1201">
        <f t="shared" si="52"/>
        <v>0</v>
      </c>
      <c r="S176" s="1201">
        <f t="shared" si="52"/>
        <v>0</v>
      </c>
      <c r="U176" s="1251">
        <v>100</v>
      </c>
    </row>
    <row r="177" spans="1:21" s="1209" customFormat="1" ht="31.5" customHeight="1">
      <c r="A177" s="1337" t="s">
        <v>53</v>
      </c>
      <c r="B177" s="1338"/>
      <c r="C177" s="1338"/>
      <c r="D177" s="1339"/>
      <c r="E177" s="1229" t="s">
        <v>53</v>
      </c>
      <c r="F177" s="1229" t="s">
        <v>53</v>
      </c>
      <c r="G177" s="1229" t="s">
        <v>53</v>
      </c>
      <c r="H177" s="1229" t="s">
        <v>53</v>
      </c>
      <c r="I177" s="1239">
        <v>656</v>
      </c>
      <c r="J177" s="1199">
        <v>5</v>
      </c>
      <c r="K177" s="1199">
        <v>3</v>
      </c>
      <c r="L177" s="1230" t="s">
        <v>659</v>
      </c>
      <c r="M177" s="1200" t="s">
        <v>54</v>
      </c>
      <c r="N177" s="1201">
        <f>N178</f>
        <v>100</v>
      </c>
      <c r="O177" s="1201">
        <f t="shared" si="52"/>
        <v>0</v>
      </c>
      <c r="P177" s="1201">
        <f t="shared" si="52"/>
        <v>0</v>
      </c>
      <c r="Q177" s="1201">
        <f t="shared" si="52"/>
        <v>0</v>
      </c>
      <c r="R177" s="1201">
        <f t="shared" si="52"/>
        <v>0</v>
      </c>
      <c r="S177" s="1201">
        <f t="shared" si="52"/>
        <v>0</v>
      </c>
      <c r="U177" s="1251">
        <v>100</v>
      </c>
    </row>
    <row r="178" spans="1:21" s="1209" customFormat="1" ht="29.25" customHeight="1">
      <c r="A178" s="1337" t="s">
        <v>55</v>
      </c>
      <c r="B178" s="1338"/>
      <c r="C178" s="1338"/>
      <c r="D178" s="1339"/>
      <c r="E178" s="1229" t="s">
        <v>55</v>
      </c>
      <c r="F178" s="1229" t="s">
        <v>55</v>
      </c>
      <c r="G178" s="1229" t="s">
        <v>55</v>
      </c>
      <c r="H178" s="1229" t="s">
        <v>55</v>
      </c>
      <c r="I178" s="1239">
        <v>656</v>
      </c>
      <c r="J178" s="1199">
        <v>5</v>
      </c>
      <c r="K178" s="1199">
        <v>3</v>
      </c>
      <c r="L178" s="1231" t="s">
        <v>659</v>
      </c>
      <c r="M178" s="1200" t="s">
        <v>56</v>
      </c>
      <c r="N178" s="1201">
        <v>100</v>
      </c>
      <c r="O178" s="1201">
        <v>0</v>
      </c>
      <c r="P178" s="1201">
        <v>0</v>
      </c>
      <c r="Q178" s="1201">
        <v>0</v>
      </c>
      <c r="R178" s="1201">
        <v>0</v>
      </c>
      <c r="S178" s="1201">
        <v>0</v>
      </c>
      <c r="U178" s="1251">
        <v>100</v>
      </c>
    </row>
    <row r="179" spans="1:21" s="1209" customFormat="1" ht="78" customHeight="1">
      <c r="A179" s="1337" t="s">
        <v>734</v>
      </c>
      <c r="B179" s="1338"/>
      <c r="C179" s="1338"/>
      <c r="D179" s="1339"/>
      <c r="E179" s="1229" t="s">
        <v>474</v>
      </c>
      <c r="F179" s="1229" t="s">
        <v>474</v>
      </c>
      <c r="G179" s="1229" t="s">
        <v>474</v>
      </c>
      <c r="H179" s="1229" t="s">
        <v>474</v>
      </c>
      <c r="I179" s="1239">
        <v>656</v>
      </c>
      <c r="J179" s="1199">
        <v>5</v>
      </c>
      <c r="K179" s="1199">
        <v>3</v>
      </c>
      <c r="L179" s="1231" t="s">
        <v>660</v>
      </c>
      <c r="M179" s="1200" t="s">
        <v>40</v>
      </c>
      <c r="N179" s="1201">
        <f>N180</f>
        <v>1</v>
      </c>
      <c r="O179" s="1201">
        <f>O180</f>
        <v>0</v>
      </c>
      <c r="P179" s="1201">
        <f t="shared" si="52"/>
        <v>0</v>
      </c>
      <c r="Q179" s="1201">
        <f t="shared" si="52"/>
        <v>0</v>
      </c>
      <c r="R179" s="1201">
        <f t="shared" si="52"/>
        <v>0</v>
      </c>
      <c r="S179" s="1201">
        <f t="shared" si="52"/>
        <v>0</v>
      </c>
      <c r="U179" s="1251">
        <v>1</v>
      </c>
    </row>
    <row r="180" spans="1:21" s="1190" customFormat="1" ht="39.75" customHeight="1">
      <c r="A180" s="1337" t="s">
        <v>53</v>
      </c>
      <c r="B180" s="1338"/>
      <c r="C180" s="1338"/>
      <c r="D180" s="1339"/>
      <c r="E180" s="1229" t="s">
        <v>53</v>
      </c>
      <c r="F180" s="1229" t="s">
        <v>53</v>
      </c>
      <c r="G180" s="1229" t="s">
        <v>53</v>
      </c>
      <c r="H180" s="1229" t="s">
        <v>53</v>
      </c>
      <c r="I180" s="1240">
        <v>656</v>
      </c>
      <c r="J180" s="1202">
        <v>5</v>
      </c>
      <c r="K180" s="1202">
        <v>3</v>
      </c>
      <c r="L180" s="1231" t="s">
        <v>660</v>
      </c>
      <c r="M180" s="1204" t="s">
        <v>54</v>
      </c>
      <c r="N180" s="1205">
        <f>N181</f>
        <v>1</v>
      </c>
      <c r="O180" s="1205">
        <v>0</v>
      </c>
      <c r="P180" s="1205">
        <f>P181</f>
        <v>0</v>
      </c>
      <c r="Q180" s="1205">
        <v>0</v>
      </c>
      <c r="R180" s="1205">
        <v>0</v>
      </c>
      <c r="S180" s="1205">
        <v>0</v>
      </c>
      <c r="U180" s="1249">
        <v>1</v>
      </c>
    </row>
    <row r="181" spans="1:21" s="1190" customFormat="1" ht="37.5" customHeight="1">
      <c r="A181" s="1337" t="s">
        <v>55</v>
      </c>
      <c r="B181" s="1338"/>
      <c r="C181" s="1338"/>
      <c r="D181" s="1339"/>
      <c r="E181" s="1229" t="s">
        <v>55</v>
      </c>
      <c r="F181" s="1229" t="s">
        <v>55</v>
      </c>
      <c r="G181" s="1229" t="s">
        <v>55</v>
      </c>
      <c r="H181" s="1229" t="s">
        <v>55</v>
      </c>
      <c r="I181" s="1239">
        <v>656</v>
      </c>
      <c r="J181" s="1199">
        <v>5</v>
      </c>
      <c r="K181" s="1199">
        <v>3</v>
      </c>
      <c r="L181" s="1231" t="s">
        <v>660</v>
      </c>
      <c r="M181" s="1200" t="s">
        <v>56</v>
      </c>
      <c r="N181" s="1201">
        <v>1</v>
      </c>
      <c r="O181" s="1201">
        <v>0</v>
      </c>
      <c r="P181" s="1201">
        <v>0</v>
      </c>
      <c r="Q181" s="1201">
        <v>0</v>
      </c>
      <c r="R181" s="1201">
        <v>0</v>
      </c>
      <c r="S181" s="1201">
        <v>0</v>
      </c>
      <c r="U181" s="1249">
        <v>1</v>
      </c>
    </row>
    <row r="182" spans="1:33" s="1221" customFormat="1" ht="28.5" customHeight="1">
      <c r="A182" s="1365" t="s">
        <v>515</v>
      </c>
      <c r="B182" s="1366" t="s">
        <v>515</v>
      </c>
      <c r="C182" s="1366" t="s">
        <v>515</v>
      </c>
      <c r="D182" s="1366" t="s">
        <v>515</v>
      </c>
      <c r="E182" s="1366" t="s">
        <v>515</v>
      </c>
      <c r="F182" s="1366" t="s">
        <v>515</v>
      </c>
      <c r="G182" s="1366" t="s">
        <v>515</v>
      </c>
      <c r="H182" s="1367" t="s">
        <v>515</v>
      </c>
      <c r="I182" s="1240">
        <v>656</v>
      </c>
      <c r="J182" s="1202">
        <v>5</v>
      </c>
      <c r="K182" s="1202">
        <v>3</v>
      </c>
      <c r="L182" s="1232" t="s">
        <v>507</v>
      </c>
      <c r="M182" s="1204"/>
      <c r="N182" s="1205">
        <f>N183</f>
        <v>990.0462100000001</v>
      </c>
      <c r="O182" s="1205">
        <v>0</v>
      </c>
      <c r="P182" s="1205">
        <f>P183</f>
        <v>560</v>
      </c>
      <c r="Q182" s="1205">
        <v>0</v>
      </c>
      <c r="R182" s="1205">
        <f>R183</f>
        <v>770.2</v>
      </c>
      <c r="S182" s="1205">
        <v>0</v>
      </c>
      <c r="U182" s="1253">
        <v>990.0462100000001</v>
      </c>
      <c r="AG182" s="1221">
        <v>990.0462100000001</v>
      </c>
    </row>
    <row r="183" spans="1:21" s="1209" customFormat="1" ht="45" customHeight="1">
      <c r="A183" s="1334" t="s">
        <v>516</v>
      </c>
      <c r="B183" s="1335" t="s">
        <v>516</v>
      </c>
      <c r="C183" s="1335" t="s">
        <v>516</v>
      </c>
      <c r="D183" s="1336" t="s">
        <v>516</v>
      </c>
      <c r="E183" s="1239" t="s">
        <v>516</v>
      </c>
      <c r="F183" s="1239" t="s">
        <v>516</v>
      </c>
      <c r="G183" s="1239" t="s">
        <v>516</v>
      </c>
      <c r="H183" s="1239" t="s">
        <v>516</v>
      </c>
      <c r="I183" s="1239">
        <v>656</v>
      </c>
      <c r="J183" s="1199">
        <v>5</v>
      </c>
      <c r="K183" s="1199">
        <v>3</v>
      </c>
      <c r="L183" s="968" t="s">
        <v>509</v>
      </c>
      <c r="M183" s="1200"/>
      <c r="N183" s="1201">
        <f aca="true" t="shared" si="53" ref="N183:S183">N185</f>
        <v>990.0462100000001</v>
      </c>
      <c r="O183" s="1201">
        <f t="shared" si="53"/>
        <v>0</v>
      </c>
      <c r="P183" s="1201">
        <f t="shared" si="53"/>
        <v>560</v>
      </c>
      <c r="Q183" s="1201">
        <f t="shared" si="53"/>
        <v>0</v>
      </c>
      <c r="R183" s="1201">
        <f t="shared" si="53"/>
        <v>770.2</v>
      </c>
      <c r="S183" s="1201">
        <f t="shared" si="53"/>
        <v>0</v>
      </c>
      <c r="U183" s="1251">
        <v>990.0462100000001</v>
      </c>
    </row>
    <row r="184" spans="1:21" s="1190" customFormat="1" ht="33" customHeight="1">
      <c r="A184" s="1334" t="s">
        <v>53</v>
      </c>
      <c r="B184" s="1335" t="s">
        <v>53</v>
      </c>
      <c r="C184" s="1335" t="s">
        <v>53</v>
      </c>
      <c r="D184" s="1336" t="s">
        <v>53</v>
      </c>
      <c r="E184" s="1239" t="s">
        <v>53</v>
      </c>
      <c r="F184" s="1239" t="s">
        <v>53</v>
      </c>
      <c r="G184" s="1239" t="s">
        <v>53</v>
      </c>
      <c r="H184" s="1239" t="s">
        <v>53</v>
      </c>
      <c r="I184" s="1239">
        <v>656</v>
      </c>
      <c r="J184" s="1199">
        <v>5</v>
      </c>
      <c r="K184" s="1199">
        <v>3</v>
      </c>
      <c r="L184" s="968" t="s">
        <v>509</v>
      </c>
      <c r="M184" s="1214" t="s">
        <v>54</v>
      </c>
      <c r="N184" s="1201">
        <f aca="true" t="shared" si="54" ref="N184:S184">N185</f>
        <v>990.0462100000001</v>
      </c>
      <c r="O184" s="1201">
        <f t="shared" si="54"/>
        <v>0</v>
      </c>
      <c r="P184" s="1201">
        <f t="shared" si="54"/>
        <v>560</v>
      </c>
      <c r="Q184" s="1201">
        <f t="shared" si="54"/>
        <v>0</v>
      </c>
      <c r="R184" s="1201">
        <f t="shared" si="54"/>
        <v>770.2</v>
      </c>
      <c r="S184" s="1201">
        <f t="shared" si="54"/>
        <v>0</v>
      </c>
      <c r="U184" s="1249">
        <v>990.0462100000001</v>
      </c>
    </row>
    <row r="185" spans="1:21" s="1190" customFormat="1" ht="39.75" customHeight="1">
      <c r="A185" s="1334" t="s">
        <v>55</v>
      </c>
      <c r="B185" s="1335" t="s">
        <v>55</v>
      </c>
      <c r="C185" s="1335" t="s">
        <v>55</v>
      </c>
      <c r="D185" s="1336" t="s">
        <v>55</v>
      </c>
      <c r="E185" s="1239" t="s">
        <v>55</v>
      </c>
      <c r="F185" s="1239" t="s">
        <v>55</v>
      </c>
      <c r="G185" s="1239" t="s">
        <v>55</v>
      </c>
      <c r="H185" s="1239" t="s">
        <v>55</v>
      </c>
      <c r="I185" s="1239">
        <v>656</v>
      </c>
      <c r="J185" s="1199">
        <v>5</v>
      </c>
      <c r="K185" s="1199">
        <v>3</v>
      </c>
      <c r="L185" s="968" t="s">
        <v>509</v>
      </c>
      <c r="M185" s="1214" t="s">
        <v>56</v>
      </c>
      <c r="N185" s="1201">
        <f>'Прил.4'!D122</f>
        <v>990.0462100000001</v>
      </c>
      <c r="O185" s="1201">
        <v>0</v>
      </c>
      <c r="P185" s="1201">
        <v>560</v>
      </c>
      <c r="Q185" s="1201">
        <v>0</v>
      </c>
      <c r="R185" s="1201">
        <v>770.2</v>
      </c>
      <c r="S185" s="1201">
        <v>0</v>
      </c>
      <c r="U185" s="1249">
        <v>990.04621</v>
      </c>
    </row>
    <row r="186" spans="1:21" s="1221" customFormat="1" ht="33" customHeight="1">
      <c r="A186" s="1365" t="s">
        <v>646</v>
      </c>
      <c r="B186" s="1366" t="s">
        <v>511</v>
      </c>
      <c r="C186" s="1366" t="s">
        <v>511</v>
      </c>
      <c r="D186" s="1367" t="s">
        <v>511</v>
      </c>
      <c r="E186" s="1240" t="s">
        <v>511</v>
      </c>
      <c r="F186" s="1240" t="s">
        <v>511</v>
      </c>
      <c r="G186" s="1240" t="s">
        <v>511</v>
      </c>
      <c r="H186" s="1240" t="s">
        <v>511</v>
      </c>
      <c r="I186" s="1240">
        <v>656</v>
      </c>
      <c r="J186" s="1202">
        <v>5</v>
      </c>
      <c r="K186" s="1202">
        <v>3</v>
      </c>
      <c r="L186" s="1203" t="s">
        <v>647</v>
      </c>
      <c r="M186" s="1204"/>
      <c r="N186" s="1205">
        <f>N187</f>
        <v>2667.0402000000004</v>
      </c>
      <c r="O186" s="1205">
        <f aca="true" t="shared" si="55" ref="O186:S187">O187</f>
        <v>0</v>
      </c>
      <c r="P186" s="1205">
        <f t="shared" si="55"/>
        <v>0</v>
      </c>
      <c r="Q186" s="1205">
        <f t="shared" si="55"/>
        <v>0</v>
      </c>
      <c r="R186" s="1205">
        <f t="shared" si="55"/>
        <v>0</v>
      </c>
      <c r="S186" s="1205">
        <f t="shared" si="55"/>
        <v>0</v>
      </c>
      <c r="U186" s="1253">
        <v>2667.0402000000004</v>
      </c>
    </row>
    <row r="187" spans="1:21" s="1190" customFormat="1" ht="66" customHeight="1">
      <c r="A187" s="1334" t="s">
        <v>648</v>
      </c>
      <c r="B187" s="1335" t="s">
        <v>512</v>
      </c>
      <c r="C187" s="1335" t="s">
        <v>512</v>
      </c>
      <c r="D187" s="1336" t="s">
        <v>512</v>
      </c>
      <c r="E187" s="1239" t="s">
        <v>512</v>
      </c>
      <c r="F187" s="1239" t="s">
        <v>512</v>
      </c>
      <c r="G187" s="1239" t="s">
        <v>512</v>
      </c>
      <c r="H187" s="1239" t="s">
        <v>512</v>
      </c>
      <c r="I187" s="1239">
        <v>656</v>
      </c>
      <c r="J187" s="1199">
        <v>5</v>
      </c>
      <c r="K187" s="1199">
        <v>3</v>
      </c>
      <c r="L187" s="968" t="s">
        <v>647</v>
      </c>
      <c r="M187" s="1200" t="s">
        <v>40</v>
      </c>
      <c r="N187" s="1201">
        <f>N188</f>
        <v>2667.0402000000004</v>
      </c>
      <c r="O187" s="1201">
        <f t="shared" si="55"/>
        <v>0</v>
      </c>
      <c r="P187" s="1201">
        <f t="shared" si="55"/>
        <v>0</v>
      </c>
      <c r="Q187" s="1201">
        <f t="shared" si="55"/>
        <v>0</v>
      </c>
      <c r="R187" s="1201">
        <f t="shared" si="55"/>
        <v>0</v>
      </c>
      <c r="S187" s="1201">
        <f t="shared" si="55"/>
        <v>0</v>
      </c>
      <c r="U187" s="1249">
        <v>2667.0402000000004</v>
      </c>
    </row>
    <row r="188" spans="1:21" s="1190" customFormat="1" ht="26.25" customHeight="1">
      <c r="A188" s="1334" t="s">
        <v>53</v>
      </c>
      <c r="B188" s="1335" t="s">
        <v>53</v>
      </c>
      <c r="C188" s="1335" t="s">
        <v>53</v>
      </c>
      <c r="D188" s="1335" t="s">
        <v>53</v>
      </c>
      <c r="E188" s="1335" t="s">
        <v>53</v>
      </c>
      <c r="F188" s="1335" t="s">
        <v>53</v>
      </c>
      <c r="G188" s="1335" t="s">
        <v>53</v>
      </c>
      <c r="H188" s="1336" t="s">
        <v>53</v>
      </c>
      <c r="I188" s="1239">
        <v>656</v>
      </c>
      <c r="J188" s="1199">
        <v>5</v>
      </c>
      <c r="K188" s="1199">
        <v>3</v>
      </c>
      <c r="L188" s="968" t="s">
        <v>647</v>
      </c>
      <c r="M188" s="1214" t="s">
        <v>54</v>
      </c>
      <c r="N188" s="1201">
        <f>N189</f>
        <v>2667.0402000000004</v>
      </c>
      <c r="O188" s="1201">
        <v>0</v>
      </c>
      <c r="P188" s="1201">
        <f>P189</f>
        <v>0</v>
      </c>
      <c r="Q188" s="1201">
        <v>0</v>
      </c>
      <c r="R188" s="1201">
        <f>R189</f>
        <v>0</v>
      </c>
      <c r="S188" s="1201">
        <v>0</v>
      </c>
      <c r="U188" s="1249">
        <v>2667.0402000000004</v>
      </c>
    </row>
    <row r="189" spans="1:21" s="1190" customFormat="1" ht="39" customHeight="1">
      <c r="A189" s="1334" t="s">
        <v>55</v>
      </c>
      <c r="B189" s="1335" t="s">
        <v>55</v>
      </c>
      <c r="C189" s="1335" t="s">
        <v>55</v>
      </c>
      <c r="D189" s="1336" t="s">
        <v>55</v>
      </c>
      <c r="E189" s="1239" t="s">
        <v>55</v>
      </c>
      <c r="F189" s="1239" t="s">
        <v>55</v>
      </c>
      <c r="G189" s="1239" t="s">
        <v>55</v>
      </c>
      <c r="H189" s="1239" t="s">
        <v>55</v>
      </c>
      <c r="I189" s="1239">
        <v>656</v>
      </c>
      <c r="J189" s="1199">
        <v>5</v>
      </c>
      <c r="K189" s="1199">
        <v>3</v>
      </c>
      <c r="L189" s="968" t="s">
        <v>647</v>
      </c>
      <c r="M189" s="1214" t="s">
        <v>56</v>
      </c>
      <c r="N189" s="1201">
        <f>('Проект на 20-22г отраб.с ДФ '!V337+'Проект на 20-22г отраб.с ДФ '!V338+'Проект на 20-22г отраб.с ДФ '!X337+'Проект на 20-22г отраб.с ДФ '!X338+'Проект на 20-22г отраб.с ДФ '!X339)/1000</f>
        <v>2667.0402000000004</v>
      </c>
      <c r="O189" s="1201">
        <v>0</v>
      </c>
      <c r="P189" s="1201">
        <v>0</v>
      </c>
      <c r="Q189" s="1201">
        <v>0</v>
      </c>
      <c r="R189" s="1201">
        <v>0</v>
      </c>
      <c r="S189" s="1201">
        <v>0</v>
      </c>
      <c r="U189" s="1249">
        <v>2667.0402000000004</v>
      </c>
    </row>
    <row r="190" spans="1:21" s="1190" customFormat="1" ht="14.25" customHeight="1">
      <c r="A190" s="1387" t="s">
        <v>543</v>
      </c>
      <c r="B190" s="1388" t="s">
        <v>545</v>
      </c>
      <c r="C190" s="1388" t="s">
        <v>545</v>
      </c>
      <c r="D190" s="1388" t="s">
        <v>545</v>
      </c>
      <c r="E190" s="1388" t="s">
        <v>545</v>
      </c>
      <c r="F190" s="1388" t="s">
        <v>545</v>
      </c>
      <c r="G190" s="1388" t="s">
        <v>545</v>
      </c>
      <c r="H190" s="1389" t="s">
        <v>545</v>
      </c>
      <c r="I190" s="1238">
        <v>656</v>
      </c>
      <c r="J190" s="1186">
        <v>6</v>
      </c>
      <c r="K190" s="1202"/>
      <c r="L190" s="1187"/>
      <c r="M190" s="1188"/>
      <c r="N190" s="1191">
        <f>N192</f>
        <v>84.9848</v>
      </c>
      <c r="O190" s="1191">
        <f>O191+O209</f>
        <v>0</v>
      </c>
      <c r="P190" s="1191">
        <f>P191</f>
        <v>0.4</v>
      </c>
      <c r="Q190" s="1191">
        <f>Q191</f>
        <v>0</v>
      </c>
      <c r="R190" s="1191">
        <f>R191</f>
        <v>0.4</v>
      </c>
      <c r="S190" s="1191">
        <f>S191</f>
        <v>0</v>
      </c>
      <c r="U190" s="1249">
        <v>85.0848</v>
      </c>
    </row>
    <row r="191" spans="1:21" s="1190" customFormat="1" ht="14.25">
      <c r="A191" s="1387" t="s">
        <v>544</v>
      </c>
      <c r="B191" s="1388" t="s">
        <v>544</v>
      </c>
      <c r="C191" s="1388" t="s">
        <v>544</v>
      </c>
      <c r="D191" s="1388" t="s">
        <v>544</v>
      </c>
      <c r="E191" s="1388" t="s">
        <v>544</v>
      </c>
      <c r="F191" s="1388" t="s">
        <v>544</v>
      </c>
      <c r="G191" s="1388" t="s">
        <v>544</v>
      </c>
      <c r="H191" s="1389" t="s">
        <v>544</v>
      </c>
      <c r="I191" s="1238">
        <v>656</v>
      </c>
      <c r="J191" s="1186">
        <v>6</v>
      </c>
      <c r="K191" s="1186">
        <v>5</v>
      </c>
      <c r="L191" s="1187"/>
      <c r="M191" s="1188"/>
      <c r="N191" s="1191">
        <f>N192</f>
        <v>84.9848</v>
      </c>
      <c r="O191" s="1191">
        <f aca="true" t="shared" si="56" ref="O191:S195">O192</f>
        <v>0</v>
      </c>
      <c r="P191" s="1191">
        <f t="shared" si="56"/>
        <v>0.4</v>
      </c>
      <c r="Q191" s="1191">
        <f t="shared" si="56"/>
        <v>0</v>
      </c>
      <c r="R191" s="1191">
        <f t="shared" si="56"/>
        <v>0.4</v>
      </c>
      <c r="S191" s="1191">
        <f t="shared" si="56"/>
        <v>0</v>
      </c>
      <c r="U191" s="1249">
        <v>85.0848</v>
      </c>
    </row>
    <row r="192" spans="1:21" s="1190" customFormat="1" ht="38.25" customHeight="1">
      <c r="A192" s="1365" t="s">
        <v>475</v>
      </c>
      <c r="B192" s="1366" t="s">
        <v>475</v>
      </c>
      <c r="C192" s="1366" t="s">
        <v>475</v>
      </c>
      <c r="D192" s="1367" t="s">
        <v>475</v>
      </c>
      <c r="E192" s="1240"/>
      <c r="F192" s="1240"/>
      <c r="G192" s="1240"/>
      <c r="H192" s="1240"/>
      <c r="I192" s="1240">
        <v>656</v>
      </c>
      <c r="J192" s="1202">
        <v>6</v>
      </c>
      <c r="K192" s="1202">
        <v>5</v>
      </c>
      <c r="L192" s="1231" t="s">
        <v>78</v>
      </c>
      <c r="M192" s="1204"/>
      <c r="N192" s="1205">
        <f>N198+N193</f>
        <v>84.9848</v>
      </c>
      <c r="O192" s="1201">
        <f>O193</f>
        <v>0</v>
      </c>
      <c r="P192" s="1205">
        <f>P193</f>
        <v>0.4</v>
      </c>
      <c r="Q192" s="1201">
        <f>Q193</f>
        <v>0</v>
      </c>
      <c r="R192" s="1205">
        <f>R193</f>
        <v>0.4</v>
      </c>
      <c r="S192" s="1201">
        <f>S193</f>
        <v>0</v>
      </c>
      <c r="U192" s="1249">
        <v>85.0848</v>
      </c>
    </row>
    <row r="193" spans="1:21" s="1209" customFormat="1" ht="30" customHeight="1">
      <c r="A193" s="1365" t="s">
        <v>511</v>
      </c>
      <c r="B193" s="1366" t="s">
        <v>511</v>
      </c>
      <c r="C193" s="1366" t="s">
        <v>511</v>
      </c>
      <c r="D193" s="1367" t="s">
        <v>511</v>
      </c>
      <c r="E193" s="1239"/>
      <c r="F193" s="1239"/>
      <c r="G193" s="1239"/>
      <c r="H193" s="1239"/>
      <c r="I193" s="1240">
        <v>656</v>
      </c>
      <c r="J193" s="1202">
        <v>6</v>
      </c>
      <c r="K193" s="1202">
        <v>5</v>
      </c>
      <c r="L193" s="1231" t="s">
        <v>645</v>
      </c>
      <c r="M193" s="1200">
        <v>0</v>
      </c>
      <c r="N193" s="1201">
        <f>N194</f>
        <v>0.4</v>
      </c>
      <c r="O193" s="1201">
        <f t="shared" si="56"/>
        <v>0</v>
      </c>
      <c r="P193" s="1201">
        <f>P194</f>
        <v>0.4</v>
      </c>
      <c r="Q193" s="1201">
        <f t="shared" si="56"/>
        <v>0</v>
      </c>
      <c r="R193" s="1201">
        <f>R194</f>
        <v>0.4</v>
      </c>
      <c r="S193" s="1201">
        <f t="shared" si="56"/>
        <v>0</v>
      </c>
      <c r="U193" s="1251">
        <v>0.5</v>
      </c>
    </row>
    <row r="194" spans="1:21" s="1209" customFormat="1" ht="75.75" customHeight="1">
      <c r="A194" s="1337" t="s">
        <v>644</v>
      </c>
      <c r="B194" s="1338" t="s">
        <v>542</v>
      </c>
      <c r="C194" s="1338" t="s">
        <v>542</v>
      </c>
      <c r="D194" s="1339" t="s">
        <v>542</v>
      </c>
      <c r="E194" s="1239"/>
      <c r="F194" s="1239"/>
      <c r="G194" s="1239"/>
      <c r="H194" s="1239"/>
      <c r="I194" s="1239">
        <v>656</v>
      </c>
      <c r="J194" s="1199">
        <v>6</v>
      </c>
      <c r="K194" s="1199">
        <v>5</v>
      </c>
      <c r="L194" s="1231" t="s">
        <v>645</v>
      </c>
      <c r="M194" s="1200">
        <v>0</v>
      </c>
      <c r="N194" s="1201">
        <f>N195</f>
        <v>0.4</v>
      </c>
      <c r="O194" s="1201">
        <f t="shared" si="56"/>
        <v>0</v>
      </c>
      <c r="P194" s="1201">
        <f>P195</f>
        <v>0.4</v>
      </c>
      <c r="Q194" s="1201">
        <f t="shared" si="56"/>
        <v>0</v>
      </c>
      <c r="R194" s="1201">
        <f>R195</f>
        <v>0.4</v>
      </c>
      <c r="S194" s="1201">
        <f t="shared" si="56"/>
        <v>0</v>
      </c>
      <c r="U194" s="1251">
        <v>0.5</v>
      </c>
    </row>
    <row r="195" spans="1:21" s="1209" customFormat="1" ht="33.75" customHeight="1">
      <c r="A195" s="1334" t="s">
        <v>53</v>
      </c>
      <c r="B195" s="1335" t="s">
        <v>53</v>
      </c>
      <c r="C195" s="1335" t="s">
        <v>53</v>
      </c>
      <c r="D195" s="1335" t="s">
        <v>53</v>
      </c>
      <c r="E195" s="1335" t="s">
        <v>53</v>
      </c>
      <c r="F195" s="1335" t="s">
        <v>53</v>
      </c>
      <c r="G195" s="1335" t="s">
        <v>53</v>
      </c>
      <c r="H195" s="1336" t="s">
        <v>53</v>
      </c>
      <c r="I195" s="1239">
        <v>656</v>
      </c>
      <c r="J195" s="1199">
        <v>6</v>
      </c>
      <c r="K195" s="1199">
        <v>5</v>
      </c>
      <c r="L195" s="1231" t="s">
        <v>645</v>
      </c>
      <c r="M195" s="1200">
        <v>200</v>
      </c>
      <c r="N195" s="1201">
        <f>N196</f>
        <v>0.4</v>
      </c>
      <c r="O195" s="1201">
        <f>O196</f>
        <v>0</v>
      </c>
      <c r="P195" s="1201">
        <f>P196</f>
        <v>0.4</v>
      </c>
      <c r="Q195" s="1201">
        <f t="shared" si="56"/>
        <v>0</v>
      </c>
      <c r="R195" s="1201">
        <f>R196</f>
        <v>0.4</v>
      </c>
      <c r="S195" s="1201">
        <f t="shared" si="56"/>
        <v>0</v>
      </c>
      <c r="U195" s="1251">
        <v>0.5</v>
      </c>
    </row>
    <row r="196" spans="1:21" s="1209" customFormat="1" ht="30" customHeight="1">
      <c r="A196" s="1361" t="s">
        <v>55</v>
      </c>
      <c r="B196" s="1362" t="s">
        <v>55</v>
      </c>
      <c r="C196" s="1362" t="s">
        <v>55</v>
      </c>
      <c r="D196" s="1362" t="s">
        <v>55</v>
      </c>
      <c r="E196" s="1362" t="s">
        <v>55</v>
      </c>
      <c r="F196" s="1362" t="s">
        <v>55</v>
      </c>
      <c r="G196" s="1362" t="s">
        <v>55</v>
      </c>
      <c r="H196" s="1363" t="s">
        <v>55</v>
      </c>
      <c r="I196" s="1239">
        <v>656</v>
      </c>
      <c r="J196" s="1199">
        <v>6</v>
      </c>
      <c r="K196" s="1199">
        <v>5</v>
      </c>
      <c r="L196" s="1231" t="s">
        <v>645</v>
      </c>
      <c r="M196" s="1200">
        <v>240</v>
      </c>
      <c r="N196" s="1201">
        <v>0.4</v>
      </c>
      <c r="O196" s="1201">
        <v>0</v>
      </c>
      <c r="P196" s="1201">
        <v>0.4</v>
      </c>
      <c r="Q196" s="1201">
        <v>0</v>
      </c>
      <c r="R196" s="1201">
        <v>0.4</v>
      </c>
      <c r="S196" s="1201">
        <v>0</v>
      </c>
      <c r="U196" s="1251">
        <v>0.5</v>
      </c>
    </row>
    <row r="197" spans="1:21" s="1221" customFormat="1" ht="25.5" customHeight="1">
      <c r="A197" s="1365" t="s">
        <v>646</v>
      </c>
      <c r="B197" s="1366" t="s">
        <v>513</v>
      </c>
      <c r="C197" s="1366" t="s">
        <v>513</v>
      </c>
      <c r="D197" s="1366" t="s">
        <v>513</v>
      </c>
      <c r="E197" s="1366" t="s">
        <v>513</v>
      </c>
      <c r="F197" s="1366" t="s">
        <v>513</v>
      </c>
      <c r="G197" s="1366" t="s">
        <v>513</v>
      </c>
      <c r="H197" s="1367" t="s">
        <v>513</v>
      </c>
      <c r="I197" s="1240">
        <v>656</v>
      </c>
      <c r="J197" s="1202">
        <v>6</v>
      </c>
      <c r="K197" s="1202">
        <v>5</v>
      </c>
      <c r="L197" s="968" t="s">
        <v>668</v>
      </c>
      <c r="M197" s="1204"/>
      <c r="N197" s="1205">
        <f>N198</f>
        <v>84.5848</v>
      </c>
      <c r="O197" s="1205">
        <f>O198+O194+O196</f>
        <v>0</v>
      </c>
      <c r="P197" s="1205">
        <f>P198+P194+P196</f>
        <v>0.8</v>
      </c>
      <c r="Q197" s="1205">
        <f>Q198+Q194+Q196</f>
        <v>0</v>
      </c>
      <c r="R197" s="1205">
        <f>R198+R194+R196</f>
        <v>0.8</v>
      </c>
      <c r="S197" s="1205">
        <f>S198+S194+S196</f>
        <v>0</v>
      </c>
      <c r="U197" s="1253">
        <v>84.5848</v>
      </c>
    </row>
    <row r="198" spans="1:21" s="1209" customFormat="1" ht="51" customHeight="1">
      <c r="A198" s="1334" t="s">
        <v>514</v>
      </c>
      <c r="B198" s="1335" t="s">
        <v>514</v>
      </c>
      <c r="C198" s="1335" t="s">
        <v>514</v>
      </c>
      <c r="D198" s="1335" t="s">
        <v>514</v>
      </c>
      <c r="E198" s="1335" t="s">
        <v>514</v>
      </c>
      <c r="F198" s="1335" t="s">
        <v>514</v>
      </c>
      <c r="G198" s="1335" t="s">
        <v>514</v>
      </c>
      <c r="H198" s="1336" t="s">
        <v>514</v>
      </c>
      <c r="I198" s="1239">
        <v>656</v>
      </c>
      <c r="J198" s="1202">
        <v>6</v>
      </c>
      <c r="K198" s="1202">
        <v>5</v>
      </c>
      <c r="L198" s="968" t="s">
        <v>668</v>
      </c>
      <c r="M198" s="1200" t="s">
        <v>40</v>
      </c>
      <c r="N198" s="1201">
        <f>N199</f>
        <v>84.5848</v>
      </c>
      <c r="O198" s="1201">
        <v>0</v>
      </c>
      <c r="P198" s="1201">
        <v>0</v>
      </c>
      <c r="Q198" s="1201">
        <v>0</v>
      </c>
      <c r="R198" s="1201">
        <v>0</v>
      </c>
      <c r="S198" s="1201">
        <v>0</v>
      </c>
      <c r="U198" s="1251">
        <v>84.5848</v>
      </c>
    </row>
    <row r="199" spans="1:21" s="1209" customFormat="1" ht="29.25" customHeight="1">
      <c r="A199" s="1334" t="s">
        <v>53</v>
      </c>
      <c r="B199" s="1335" t="s">
        <v>53</v>
      </c>
      <c r="C199" s="1335" t="s">
        <v>53</v>
      </c>
      <c r="D199" s="1336" t="s">
        <v>53</v>
      </c>
      <c r="E199" s="1239" t="s">
        <v>53</v>
      </c>
      <c r="F199" s="1239" t="s">
        <v>53</v>
      </c>
      <c r="G199" s="1239" t="s">
        <v>53</v>
      </c>
      <c r="H199" s="1239" t="s">
        <v>53</v>
      </c>
      <c r="I199" s="1239">
        <v>656</v>
      </c>
      <c r="J199" s="1202">
        <v>6</v>
      </c>
      <c r="K199" s="1202">
        <v>5</v>
      </c>
      <c r="L199" s="968" t="s">
        <v>668</v>
      </c>
      <c r="M199" s="1200" t="s">
        <v>54</v>
      </c>
      <c r="N199" s="1201">
        <f>N200</f>
        <v>84.5848</v>
      </c>
      <c r="O199" s="1201">
        <v>0</v>
      </c>
      <c r="P199" s="1201">
        <v>0</v>
      </c>
      <c r="Q199" s="1201">
        <v>0</v>
      </c>
      <c r="R199" s="1201">
        <v>0</v>
      </c>
      <c r="S199" s="1201">
        <v>0</v>
      </c>
      <c r="U199" s="1251">
        <v>84.5848</v>
      </c>
    </row>
    <row r="200" spans="1:21" s="1209" customFormat="1" ht="34.5" customHeight="1">
      <c r="A200" s="1334" t="s">
        <v>55</v>
      </c>
      <c r="B200" s="1335" t="s">
        <v>55</v>
      </c>
      <c r="C200" s="1335" t="s">
        <v>55</v>
      </c>
      <c r="D200" s="1336" t="s">
        <v>55</v>
      </c>
      <c r="E200" s="1239" t="s">
        <v>55</v>
      </c>
      <c r="F200" s="1239" t="s">
        <v>55</v>
      </c>
      <c r="G200" s="1239" t="s">
        <v>55</v>
      </c>
      <c r="H200" s="1239" t="s">
        <v>55</v>
      </c>
      <c r="I200" s="1239">
        <v>656</v>
      </c>
      <c r="J200" s="1202">
        <v>6</v>
      </c>
      <c r="K200" s="1202">
        <v>5</v>
      </c>
      <c r="L200" s="968" t="s">
        <v>668</v>
      </c>
      <c r="M200" s="1200" t="s">
        <v>56</v>
      </c>
      <c r="N200" s="1201">
        <f>('Проект на 20-22г отраб.с ДФ '!V333+'Проект на 20-22г отраб.с ДФ '!X335+'Проект на 20-22г отраб.с ДФ '!X336)/1000</f>
        <v>84.5848</v>
      </c>
      <c r="O200" s="1201">
        <v>0</v>
      </c>
      <c r="P200" s="1201">
        <v>0</v>
      </c>
      <c r="Q200" s="1201">
        <v>0</v>
      </c>
      <c r="R200" s="1201">
        <v>0</v>
      </c>
      <c r="S200" s="1201">
        <v>0</v>
      </c>
      <c r="U200" s="1251">
        <v>84.5848</v>
      </c>
    </row>
    <row r="201" spans="1:21" s="1190" customFormat="1" ht="14.25">
      <c r="A201" s="1353" t="s">
        <v>3</v>
      </c>
      <c r="B201" s="1353"/>
      <c r="C201" s="1353"/>
      <c r="D201" s="1353"/>
      <c r="E201" s="1353"/>
      <c r="F201" s="1353"/>
      <c r="G201" s="1353"/>
      <c r="H201" s="1353"/>
      <c r="I201" s="1238">
        <v>656</v>
      </c>
      <c r="J201" s="1186">
        <v>8</v>
      </c>
      <c r="K201" s="1202"/>
      <c r="L201" s="1187"/>
      <c r="M201" s="1188"/>
      <c r="N201" s="1191">
        <f aca="true" t="shared" si="57" ref="N201:S201">N202+N215</f>
        <v>9134.087074000001</v>
      </c>
      <c r="O201" s="1191">
        <f t="shared" si="57"/>
        <v>0</v>
      </c>
      <c r="P201" s="1191">
        <f t="shared" si="57"/>
        <v>9293</v>
      </c>
      <c r="Q201" s="1191">
        <f t="shared" si="57"/>
        <v>0</v>
      </c>
      <c r="R201" s="1191">
        <f t="shared" si="57"/>
        <v>9293</v>
      </c>
      <c r="S201" s="1191">
        <f t="shared" si="57"/>
        <v>0</v>
      </c>
      <c r="U201" s="1249">
        <v>9134.087074000001</v>
      </c>
    </row>
    <row r="202" spans="1:22" s="1190" customFormat="1" ht="14.25">
      <c r="A202" s="1353" t="s">
        <v>7</v>
      </c>
      <c r="B202" s="1353"/>
      <c r="C202" s="1353"/>
      <c r="D202" s="1353"/>
      <c r="E202" s="1353"/>
      <c r="F202" s="1353"/>
      <c r="G202" s="1353"/>
      <c r="H202" s="1353"/>
      <c r="I202" s="1238">
        <v>656</v>
      </c>
      <c r="J202" s="1186">
        <v>8</v>
      </c>
      <c r="K202" s="1186">
        <v>1</v>
      </c>
      <c r="L202" s="1187"/>
      <c r="M202" s="1188"/>
      <c r="N202" s="1191">
        <f aca="true" t="shared" si="58" ref="N202:S202">N203</f>
        <v>8456.555820000001</v>
      </c>
      <c r="O202" s="1191">
        <f t="shared" si="58"/>
        <v>0</v>
      </c>
      <c r="P202" s="1191">
        <f t="shared" si="58"/>
        <v>8615.5</v>
      </c>
      <c r="Q202" s="1191">
        <f t="shared" si="58"/>
        <v>0</v>
      </c>
      <c r="R202" s="1191">
        <f t="shared" si="58"/>
        <v>8615.5</v>
      </c>
      <c r="S202" s="1191">
        <f t="shared" si="58"/>
        <v>0</v>
      </c>
      <c r="U202" s="1249">
        <v>8456.555820000001</v>
      </c>
      <c r="V202" s="1190">
        <v>8456.4604</v>
      </c>
    </row>
    <row r="203" spans="1:22" s="1190" customFormat="1" ht="41.25" customHeight="1">
      <c r="A203" s="1358" t="s">
        <v>470</v>
      </c>
      <c r="B203" s="1358"/>
      <c r="C203" s="1358"/>
      <c r="D203" s="1358"/>
      <c r="E203" s="1240"/>
      <c r="F203" s="1240"/>
      <c r="G203" s="1240"/>
      <c r="H203" s="1240"/>
      <c r="I203" s="1240">
        <v>656</v>
      </c>
      <c r="J203" s="1202">
        <v>8</v>
      </c>
      <c r="K203" s="1202">
        <v>1</v>
      </c>
      <c r="L203" s="1231" t="s">
        <v>48</v>
      </c>
      <c r="M203" s="1204"/>
      <c r="N203" s="1205">
        <f aca="true" t="shared" si="59" ref="N203:S203">N204</f>
        <v>8456.555820000001</v>
      </c>
      <c r="O203" s="1205">
        <f t="shared" si="59"/>
        <v>0</v>
      </c>
      <c r="P203" s="1205">
        <f t="shared" si="59"/>
        <v>8615.5</v>
      </c>
      <c r="Q203" s="1205">
        <f t="shared" si="59"/>
        <v>0</v>
      </c>
      <c r="R203" s="1205">
        <f t="shared" si="59"/>
        <v>8615.5</v>
      </c>
      <c r="S203" s="1205">
        <f t="shared" si="59"/>
        <v>0</v>
      </c>
      <c r="U203" s="1249">
        <v>8456.555820000001</v>
      </c>
      <c r="V203" s="1190">
        <v>8456.4604</v>
      </c>
    </row>
    <row r="204" spans="1:21" s="1209" customFormat="1" ht="51" customHeight="1">
      <c r="A204" s="1334" t="s">
        <v>533</v>
      </c>
      <c r="B204" s="1335"/>
      <c r="C204" s="1335"/>
      <c r="D204" s="1336"/>
      <c r="E204" s="1239"/>
      <c r="F204" s="1239"/>
      <c r="G204" s="1239"/>
      <c r="H204" s="1239"/>
      <c r="I204" s="1240">
        <v>656</v>
      </c>
      <c r="J204" s="1202">
        <v>8</v>
      </c>
      <c r="K204" s="1202">
        <v>1</v>
      </c>
      <c r="L204" s="1231" t="s">
        <v>534</v>
      </c>
      <c r="M204" s="1200">
        <v>0</v>
      </c>
      <c r="N204" s="1201">
        <f>N205+N212</f>
        <v>8456.555820000001</v>
      </c>
      <c r="O204" s="1201">
        <f>O206+O208+O210+O177+O180</f>
        <v>0</v>
      </c>
      <c r="P204" s="1201">
        <f>P206+P208+P210+P177+P180</f>
        <v>8615.5</v>
      </c>
      <c r="Q204" s="1201">
        <f>Q206+Q208+Q210+Q177+Q180</f>
        <v>0</v>
      </c>
      <c r="R204" s="1201">
        <f>R206+R208+R210+R177+R180</f>
        <v>8615.5</v>
      </c>
      <c r="S204" s="1201">
        <f>S206+S208+S210+S177+S180</f>
        <v>0</v>
      </c>
      <c r="U204" s="1251">
        <v>8456.555820000001</v>
      </c>
    </row>
    <row r="205" spans="1:21" s="1209" customFormat="1" ht="68.25" customHeight="1">
      <c r="A205" s="1337" t="s">
        <v>532</v>
      </c>
      <c r="B205" s="1338"/>
      <c r="C205" s="1338"/>
      <c r="D205" s="1339"/>
      <c r="E205" s="1239"/>
      <c r="F205" s="1239"/>
      <c r="G205" s="1239"/>
      <c r="H205" s="1239"/>
      <c r="I205" s="1239">
        <v>656</v>
      </c>
      <c r="J205" s="1199">
        <v>8</v>
      </c>
      <c r="K205" s="1199">
        <v>1</v>
      </c>
      <c r="L205" s="1231" t="s">
        <v>471</v>
      </c>
      <c r="M205" s="1200">
        <v>0</v>
      </c>
      <c r="N205" s="1201">
        <f>N206+N208+N210</f>
        <v>8193.395820000002</v>
      </c>
      <c r="O205" s="1201">
        <f>O206+O208+O210</f>
        <v>0</v>
      </c>
      <c r="P205" s="1201">
        <f>P206+P208+P210</f>
        <v>8615.5</v>
      </c>
      <c r="Q205" s="1201">
        <f>Q206+Q208+Q210</f>
        <v>0</v>
      </c>
      <c r="R205" s="1201">
        <f>R206+R208+R210</f>
        <v>8615.5</v>
      </c>
      <c r="S205" s="1201"/>
      <c r="U205" s="1251">
        <v>8193.395820000002</v>
      </c>
    </row>
    <row r="206" spans="1:22" s="1209" customFormat="1" ht="59.25" customHeight="1">
      <c r="A206" s="1357" t="s">
        <v>49</v>
      </c>
      <c r="B206" s="1357"/>
      <c r="C206" s="1357"/>
      <c r="D206" s="1357"/>
      <c r="E206" s="1357"/>
      <c r="F206" s="1357"/>
      <c r="G206" s="1357"/>
      <c r="H206" s="1357"/>
      <c r="I206" s="1239">
        <v>656</v>
      </c>
      <c r="J206" s="1199">
        <v>8</v>
      </c>
      <c r="K206" s="1199">
        <v>1</v>
      </c>
      <c r="L206" s="1231" t="s">
        <v>471</v>
      </c>
      <c r="M206" s="1200">
        <v>100</v>
      </c>
      <c r="N206" s="1201">
        <f aca="true" t="shared" si="60" ref="N206:S206">N207</f>
        <v>5877.36142</v>
      </c>
      <c r="O206" s="1201">
        <f t="shared" si="60"/>
        <v>0</v>
      </c>
      <c r="P206" s="1201">
        <f t="shared" si="60"/>
        <v>5660.1</v>
      </c>
      <c r="Q206" s="1201">
        <f t="shared" si="60"/>
        <v>0</v>
      </c>
      <c r="R206" s="1201">
        <f t="shared" si="60"/>
        <v>5660.1</v>
      </c>
      <c r="S206" s="1201">
        <f t="shared" si="60"/>
        <v>0</v>
      </c>
      <c r="U206" s="1251">
        <v>5877.36142</v>
      </c>
      <c r="V206" s="1209">
        <v>5877.3</v>
      </c>
    </row>
    <row r="207" spans="1:22" s="1209" customFormat="1" ht="14.25">
      <c r="A207" s="1392" t="s">
        <v>61</v>
      </c>
      <c r="B207" s="1392"/>
      <c r="C207" s="1392"/>
      <c r="D207" s="1392"/>
      <c r="E207" s="1392"/>
      <c r="F207" s="1392"/>
      <c r="G207" s="1392"/>
      <c r="H207" s="1392"/>
      <c r="I207" s="1239">
        <v>656</v>
      </c>
      <c r="J207" s="1199">
        <v>8</v>
      </c>
      <c r="K207" s="1199">
        <v>1</v>
      </c>
      <c r="L207" s="1231" t="s">
        <v>471</v>
      </c>
      <c r="M207" s="1200" t="s">
        <v>52</v>
      </c>
      <c r="N207" s="1201">
        <f>'Прил.4'!D34</f>
        <v>5877.36142</v>
      </c>
      <c r="O207" s="1201">
        <v>0</v>
      </c>
      <c r="P207" s="1201">
        <v>5660.1</v>
      </c>
      <c r="Q207" s="1201">
        <v>0</v>
      </c>
      <c r="R207" s="1201">
        <v>5660.1</v>
      </c>
      <c r="S207" s="1201">
        <v>0</v>
      </c>
      <c r="U207" s="1251">
        <v>5877.36142</v>
      </c>
      <c r="V207" s="1209">
        <v>5877.3</v>
      </c>
    </row>
    <row r="208" spans="1:21" s="1209" customFormat="1" ht="31.5" customHeight="1">
      <c r="A208" s="1393" t="s">
        <v>53</v>
      </c>
      <c r="B208" s="1394"/>
      <c r="C208" s="1394"/>
      <c r="D208" s="1395"/>
      <c r="E208" s="23" t="s">
        <v>53</v>
      </c>
      <c r="F208" s="23" t="s">
        <v>53</v>
      </c>
      <c r="G208" s="23" t="s">
        <v>53</v>
      </c>
      <c r="H208" s="23" t="s">
        <v>53</v>
      </c>
      <c r="I208" s="1239">
        <v>656</v>
      </c>
      <c r="J208" s="1199">
        <v>8</v>
      </c>
      <c r="K208" s="1199">
        <v>1</v>
      </c>
      <c r="L208" s="1230" t="s">
        <v>471</v>
      </c>
      <c r="M208" s="1200" t="s">
        <v>54</v>
      </c>
      <c r="N208" s="1201">
        <f aca="true" t="shared" si="61" ref="N208:S208">N209</f>
        <v>2313.0344000000005</v>
      </c>
      <c r="O208" s="1201">
        <f t="shared" si="61"/>
        <v>0</v>
      </c>
      <c r="P208" s="1201">
        <f t="shared" si="61"/>
        <v>2955.4</v>
      </c>
      <c r="Q208" s="1201">
        <f t="shared" si="61"/>
        <v>0</v>
      </c>
      <c r="R208" s="1201">
        <f t="shared" si="61"/>
        <v>2955.4</v>
      </c>
      <c r="S208" s="1201">
        <f t="shared" si="61"/>
        <v>0</v>
      </c>
      <c r="U208" s="1251">
        <v>2313.0344000000005</v>
      </c>
    </row>
    <row r="209" spans="1:21" s="1209" customFormat="1" ht="30.75" customHeight="1">
      <c r="A209" s="1393" t="s">
        <v>55</v>
      </c>
      <c r="B209" s="1394"/>
      <c r="C209" s="1394"/>
      <c r="D209" s="1395"/>
      <c r="E209" s="23" t="s">
        <v>55</v>
      </c>
      <c r="F209" s="23" t="s">
        <v>55</v>
      </c>
      <c r="G209" s="23" t="s">
        <v>55</v>
      </c>
      <c r="H209" s="23" t="s">
        <v>55</v>
      </c>
      <c r="I209" s="1239">
        <v>656</v>
      </c>
      <c r="J209" s="1199">
        <v>8</v>
      </c>
      <c r="K209" s="1199">
        <v>1</v>
      </c>
      <c r="L209" s="1230" t="s">
        <v>471</v>
      </c>
      <c r="M209" s="1200" t="s">
        <v>56</v>
      </c>
      <c r="N209" s="1201">
        <f>'Прил.4'!D36</f>
        <v>2313.0344000000005</v>
      </c>
      <c r="O209" s="1201">
        <f>O210</f>
        <v>0</v>
      </c>
      <c r="P209" s="1201">
        <v>2955.4</v>
      </c>
      <c r="Q209" s="1201">
        <f>Q210</f>
        <v>0</v>
      </c>
      <c r="R209" s="1201">
        <v>2955.4</v>
      </c>
      <c r="S209" s="1201">
        <f>S210</f>
        <v>0</v>
      </c>
      <c r="U209" s="1251">
        <v>2313.0344000000005</v>
      </c>
    </row>
    <row r="210" spans="1:21" s="1209" customFormat="1" ht="15.75" customHeight="1">
      <c r="A210" s="1393" t="s">
        <v>45</v>
      </c>
      <c r="B210" s="1394"/>
      <c r="C210" s="1394"/>
      <c r="D210" s="1395"/>
      <c r="E210" s="23" t="s">
        <v>45</v>
      </c>
      <c r="F210" s="23" t="s">
        <v>45</v>
      </c>
      <c r="G210" s="23" t="s">
        <v>45</v>
      </c>
      <c r="H210" s="23" t="s">
        <v>45</v>
      </c>
      <c r="I210" s="1239">
        <v>656</v>
      </c>
      <c r="J210" s="1199">
        <v>8</v>
      </c>
      <c r="K210" s="1199">
        <v>1</v>
      </c>
      <c r="L210" s="1230" t="s">
        <v>471</v>
      </c>
      <c r="M210" s="1200" t="s">
        <v>57</v>
      </c>
      <c r="N210" s="1201">
        <f>N211</f>
        <v>3</v>
      </c>
      <c r="O210" s="1201">
        <f>O211</f>
        <v>0</v>
      </c>
      <c r="P210" s="1201">
        <f>P211</f>
        <v>0</v>
      </c>
      <c r="Q210" s="1201">
        <f>Q211</f>
        <v>0</v>
      </c>
      <c r="R210" s="1201">
        <f>R211</f>
        <v>0</v>
      </c>
      <c r="S210" s="1201">
        <f>S211</f>
        <v>0</v>
      </c>
      <c r="U210" s="1251">
        <v>3</v>
      </c>
    </row>
    <row r="211" spans="1:21" s="1209" customFormat="1" ht="23.25" customHeight="1">
      <c r="A211" s="1396" t="s">
        <v>58</v>
      </c>
      <c r="B211" s="1397"/>
      <c r="C211" s="1397"/>
      <c r="D211" s="1398"/>
      <c r="E211" s="1233" t="s">
        <v>58</v>
      </c>
      <c r="F211" s="1233" t="s">
        <v>58</v>
      </c>
      <c r="G211" s="1233" t="s">
        <v>58</v>
      </c>
      <c r="H211" s="1233" t="s">
        <v>58</v>
      </c>
      <c r="I211" s="1239">
        <v>656</v>
      </c>
      <c r="J211" s="1199">
        <v>8</v>
      </c>
      <c r="K211" s="1199">
        <v>1</v>
      </c>
      <c r="L211" s="1230" t="s">
        <v>471</v>
      </c>
      <c r="M211" s="1200" t="s">
        <v>59</v>
      </c>
      <c r="N211" s="1201">
        <f>'Прил.4'!D38</f>
        <v>3</v>
      </c>
      <c r="O211" s="1201">
        <v>0</v>
      </c>
      <c r="P211" s="1201">
        <v>0</v>
      </c>
      <c r="Q211" s="1201">
        <v>0</v>
      </c>
      <c r="R211" s="1201">
        <v>0</v>
      </c>
      <c r="S211" s="1201">
        <v>0</v>
      </c>
      <c r="U211" s="1251">
        <v>3</v>
      </c>
    </row>
    <row r="212" spans="1:21" s="1244" customFormat="1" ht="68.25" customHeight="1">
      <c r="A212" s="1337" t="s">
        <v>532</v>
      </c>
      <c r="B212" s="1338"/>
      <c r="C212" s="1338"/>
      <c r="D212" s="1339"/>
      <c r="E212" s="1239"/>
      <c r="F212" s="1239"/>
      <c r="G212" s="1239"/>
      <c r="H212" s="1239"/>
      <c r="I212" s="1239">
        <v>656</v>
      </c>
      <c r="J212" s="1199">
        <v>8</v>
      </c>
      <c r="K212" s="1199">
        <v>1</v>
      </c>
      <c r="L212" s="1230" t="s">
        <v>684</v>
      </c>
      <c r="M212" s="1200">
        <v>0</v>
      </c>
      <c r="N212" s="1201">
        <f>N213</f>
        <v>263.16</v>
      </c>
      <c r="O212" s="1201">
        <f>O213+O215+O217</f>
        <v>0</v>
      </c>
      <c r="P212" s="1201">
        <f>P213+P215+P217</f>
        <v>1355</v>
      </c>
      <c r="Q212" s="1201">
        <f>Q213+Q215+Q217</f>
        <v>0</v>
      </c>
      <c r="R212" s="1201">
        <f>R213+R215+R217</f>
        <v>1355</v>
      </c>
      <c r="S212" s="1201"/>
      <c r="U212" s="1254">
        <v>263.16</v>
      </c>
    </row>
    <row r="213" spans="1:21" s="1244" customFormat="1" ht="31.5" customHeight="1">
      <c r="A213" s="1399" t="s">
        <v>53</v>
      </c>
      <c r="B213" s="1400"/>
      <c r="C213" s="1400"/>
      <c r="D213" s="1401"/>
      <c r="E213" s="1245" t="s">
        <v>53</v>
      </c>
      <c r="F213" s="1245" t="s">
        <v>53</v>
      </c>
      <c r="G213" s="1245" t="s">
        <v>53</v>
      </c>
      <c r="H213" s="1245" t="s">
        <v>53</v>
      </c>
      <c r="I213" s="1239">
        <v>656</v>
      </c>
      <c r="J213" s="1199">
        <v>8</v>
      </c>
      <c r="K213" s="1199">
        <v>1</v>
      </c>
      <c r="L213" s="1230" t="s">
        <v>684</v>
      </c>
      <c r="M213" s="1200" t="s">
        <v>54</v>
      </c>
      <c r="N213" s="1201">
        <f>N214</f>
        <v>263.16</v>
      </c>
      <c r="O213" s="1201">
        <f>O214</f>
        <v>0</v>
      </c>
      <c r="P213" s="1201">
        <f>P214</f>
        <v>0</v>
      </c>
      <c r="Q213" s="1201">
        <f>Q214</f>
        <v>0</v>
      </c>
      <c r="R213" s="1201">
        <f>R214</f>
        <v>0</v>
      </c>
      <c r="S213" s="1201">
        <f>S214</f>
        <v>0</v>
      </c>
      <c r="U213" s="1254">
        <v>263.16</v>
      </c>
    </row>
    <row r="214" spans="1:22" s="1244" customFormat="1" ht="30.75" customHeight="1">
      <c r="A214" s="1399" t="s">
        <v>55</v>
      </c>
      <c r="B214" s="1400"/>
      <c r="C214" s="1400"/>
      <c r="D214" s="1401"/>
      <c r="E214" s="1245" t="s">
        <v>55</v>
      </c>
      <c r="F214" s="1245" t="s">
        <v>55</v>
      </c>
      <c r="G214" s="1245" t="s">
        <v>55</v>
      </c>
      <c r="H214" s="1245" t="s">
        <v>55</v>
      </c>
      <c r="I214" s="1239">
        <v>656</v>
      </c>
      <c r="J214" s="1199">
        <v>8</v>
      </c>
      <c r="K214" s="1199">
        <v>1</v>
      </c>
      <c r="L214" s="1230" t="s">
        <v>684</v>
      </c>
      <c r="M214" s="1200" t="s">
        <v>56</v>
      </c>
      <c r="N214" s="1201">
        <f>'Прил.4'!D41</f>
        <v>263.16</v>
      </c>
      <c r="O214" s="1201">
        <f>O215</f>
        <v>0</v>
      </c>
      <c r="P214" s="1201">
        <v>0</v>
      </c>
      <c r="Q214" s="1201">
        <f>Q215</f>
        <v>0</v>
      </c>
      <c r="R214" s="1201">
        <v>0</v>
      </c>
      <c r="S214" s="1201">
        <f>S215</f>
        <v>0</v>
      </c>
      <c r="U214" s="1254">
        <v>263.16</v>
      </c>
      <c r="V214" s="1244">
        <v>263.16</v>
      </c>
    </row>
    <row r="215" spans="1:22" s="1235" customFormat="1" ht="14.25">
      <c r="A215" s="1353" t="s">
        <v>6</v>
      </c>
      <c r="B215" s="1353"/>
      <c r="C215" s="1353"/>
      <c r="D215" s="1353"/>
      <c r="E215" s="1353"/>
      <c r="F215" s="1353"/>
      <c r="G215" s="1353"/>
      <c r="H215" s="1353"/>
      <c r="I215" s="1238">
        <v>656</v>
      </c>
      <c r="J215" s="1186">
        <v>8</v>
      </c>
      <c r="K215" s="1186">
        <v>2</v>
      </c>
      <c r="L215" s="1234"/>
      <c r="M215" s="1188" t="s">
        <v>50</v>
      </c>
      <c r="N215" s="1191">
        <f>N216</f>
        <v>677.531254</v>
      </c>
      <c r="O215" s="1191">
        <f aca="true" t="shared" si="62" ref="O215:S219">O216</f>
        <v>0</v>
      </c>
      <c r="P215" s="1191">
        <f t="shared" si="62"/>
        <v>677.5</v>
      </c>
      <c r="Q215" s="1191">
        <f t="shared" si="62"/>
        <v>0</v>
      </c>
      <c r="R215" s="1191">
        <f t="shared" si="62"/>
        <v>677.5</v>
      </c>
      <c r="S215" s="1191">
        <f t="shared" si="62"/>
        <v>0</v>
      </c>
      <c r="U215" s="1255">
        <v>677.531254</v>
      </c>
      <c r="V215" s="1235">
        <v>677.4687</v>
      </c>
    </row>
    <row r="216" spans="1:21" s="1190" customFormat="1" ht="30" customHeight="1">
      <c r="A216" s="1368" t="s">
        <v>470</v>
      </c>
      <c r="B216" s="1369"/>
      <c r="C216" s="1369"/>
      <c r="D216" s="1370"/>
      <c r="E216" s="1240"/>
      <c r="F216" s="1240"/>
      <c r="G216" s="1240"/>
      <c r="H216" s="1240"/>
      <c r="I216" s="1240">
        <v>656</v>
      </c>
      <c r="J216" s="1202">
        <v>8</v>
      </c>
      <c r="K216" s="1199">
        <v>2</v>
      </c>
      <c r="L216" s="1231" t="s">
        <v>48</v>
      </c>
      <c r="M216" s="1204" t="s">
        <v>52</v>
      </c>
      <c r="N216" s="1205">
        <f>N217</f>
        <v>677.531254</v>
      </c>
      <c r="O216" s="1205">
        <f t="shared" si="62"/>
        <v>0</v>
      </c>
      <c r="P216" s="1205">
        <f t="shared" si="62"/>
        <v>677.5</v>
      </c>
      <c r="Q216" s="1205">
        <f t="shared" si="62"/>
        <v>0</v>
      </c>
      <c r="R216" s="1205">
        <f t="shared" si="62"/>
        <v>677.5</v>
      </c>
      <c r="S216" s="1205">
        <f t="shared" si="62"/>
        <v>0</v>
      </c>
      <c r="U216" s="1249">
        <v>677.531254</v>
      </c>
    </row>
    <row r="217" spans="1:21" s="1190" customFormat="1" ht="48" customHeight="1">
      <c r="A217" s="1361" t="s">
        <v>533</v>
      </c>
      <c r="B217" s="1362"/>
      <c r="C217" s="1362"/>
      <c r="D217" s="1363"/>
      <c r="E217" s="1239"/>
      <c r="F217" s="1239"/>
      <c r="G217" s="1239"/>
      <c r="H217" s="1239"/>
      <c r="I217" s="1239">
        <v>656</v>
      </c>
      <c r="J217" s="1199">
        <v>8</v>
      </c>
      <c r="K217" s="1199">
        <v>2</v>
      </c>
      <c r="L217" s="1231" t="s">
        <v>534</v>
      </c>
      <c r="M217" s="1200"/>
      <c r="N217" s="1201">
        <f>N218</f>
        <v>677.531254</v>
      </c>
      <c r="O217" s="1201">
        <f t="shared" si="62"/>
        <v>0</v>
      </c>
      <c r="P217" s="1201">
        <f t="shared" si="62"/>
        <v>677.5</v>
      </c>
      <c r="Q217" s="1201">
        <f t="shared" si="62"/>
        <v>0</v>
      </c>
      <c r="R217" s="1201">
        <f t="shared" si="62"/>
        <v>677.5</v>
      </c>
      <c r="S217" s="1201">
        <f t="shared" si="62"/>
        <v>0</v>
      </c>
      <c r="U217" s="1249">
        <v>677.531254</v>
      </c>
    </row>
    <row r="218" spans="1:21" s="1190" customFormat="1" ht="70.5" customHeight="1">
      <c r="A218" s="1337" t="s">
        <v>535</v>
      </c>
      <c r="B218" s="1338"/>
      <c r="C218" s="1338"/>
      <c r="D218" s="1339"/>
      <c r="E218" s="1229" t="s">
        <v>535</v>
      </c>
      <c r="F218" s="1229" t="s">
        <v>535</v>
      </c>
      <c r="G218" s="1229" t="s">
        <v>535</v>
      </c>
      <c r="H218" s="1229" t="s">
        <v>535</v>
      </c>
      <c r="I218" s="1211">
        <v>656</v>
      </c>
      <c r="J218" s="1212">
        <v>8</v>
      </c>
      <c r="K218" s="1199">
        <v>2</v>
      </c>
      <c r="L218" s="1231" t="s">
        <v>471</v>
      </c>
      <c r="M218" s="1214">
        <v>0</v>
      </c>
      <c r="N218" s="1201">
        <f>N219</f>
        <v>677.531254</v>
      </c>
      <c r="O218" s="1201">
        <f t="shared" si="62"/>
        <v>0</v>
      </c>
      <c r="P218" s="1201">
        <f t="shared" si="62"/>
        <v>677.5</v>
      </c>
      <c r="Q218" s="1201">
        <f t="shared" si="62"/>
        <v>0</v>
      </c>
      <c r="R218" s="1201">
        <f t="shared" si="62"/>
        <v>677.5</v>
      </c>
      <c r="S218" s="1201">
        <f t="shared" si="62"/>
        <v>0</v>
      </c>
      <c r="U218" s="1249">
        <v>677.531254</v>
      </c>
    </row>
    <row r="219" spans="1:21" s="1190" customFormat="1" ht="60" customHeight="1">
      <c r="A219" s="1338" t="s">
        <v>49</v>
      </c>
      <c r="B219" s="1338"/>
      <c r="C219" s="1338"/>
      <c r="D219" s="1338"/>
      <c r="E219" s="1236" t="s">
        <v>49</v>
      </c>
      <c r="F219" s="1236" t="s">
        <v>49</v>
      </c>
      <c r="G219" s="1236" t="s">
        <v>49</v>
      </c>
      <c r="H219" s="1236" t="s">
        <v>49</v>
      </c>
      <c r="I219" s="1239">
        <v>656</v>
      </c>
      <c r="J219" s="1199">
        <v>8</v>
      </c>
      <c r="K219" s="1199">
        <v>2</v>
      </c>
      <c r="L219" s="1231" t="s">
        <v>471</v>
      </c>
      <c r="M219" s="1200">
        <v>100</v>
      </c>
      <c r="N219" s="1201">
        <f>N220</f>
        <v>677.531254</v>
      </c>
      <c r="O219" s="1201">
        <f t="shared" si="62"/>
        <v>0</v>
      </c>
      <c r="P219" s="1201">
        <f t="shared" si="62"/>
        <v>677.5</v>
      </c>
      <c r="Q219" s="1201">
        <f t="shared" si="62"/>
        <v>0</v>
      </c>
      <c r="R219" s="1201">
        <f t="shared" si="62"/>
        <v>677.5</v>
      </c>
      <c r="S219" s="1201">
        <f t="shared" si="62"/>
        <v>0</v>
      </c>
      <c r="U219" s="1249">
        <v>677.531254</v>
      </c>
    </row>
    <row r="220" spans="1:21" s="1190" customFormat="1" ht="18" customHeight="1">
      <c r="A220" s="1337" t="s">
        <v>51</v>
      </c>
      <c r="B220" s="1338"/>
      <c r="C220" s="1338"/>
      <c r="D220" s="1339"/>
      <c r="E220" s="1229" t="s">
        <v>51</v>
      </c>
      <c r="F220" s="1229" t="s">
        <v>51</v>
      </c>
      <c r="G220" s="1229" t="s">
        <v>51</v>
      </c>
      <c r="H220" s="1229" t="s">
        <v>51</v>
      </c>
      <c r="I220" s="1239">
        <v>656</v>
      </c>
      <c r="J220" s="1199">
        <v>8</v>
      </c>
      <c r="K220" s="1199">
        <v>2</v>
      </c>
      <c r="L220" s="1231" t="s">
        <v>471</v>
      </c>
      <c r="M220" s="1200">
        <v>110</v>
      </c>
      <c r="N220" s="1201">
        <f>'Прил.4'!D44</f>
        <v>677.531254</v>
      </c>
      <c r="O220" s="1201">
        <v>0</v>
      </c>
      <c r="P220" s="1201">
        <v>677.5</v>
      </c>
      <c r="Q220" s="1201">
        <v>0</v>
      </c>
      <c r="R220" s="1201">
        <v>677.5</v>
      </c>
      <c r="S220" s="1201">
        <v>0</v>
      </c>
      <c r="U220" s="1249">
        <v>677.531254</v>
      </c>
    </row>
    <row r="221" spans="1:21" s="1190" customFormat="1" ht="14.25">
      <c r="A221" s="1353" t="s">
        <v>1</v>
      </c>
      <c r="B221" s="1353"/>
      <c r="C221" s="1353"/>
      <c r="D221" s="1353"/>
      <c r="E221" s="1353"/>
      <c r="F221" s="1353"/>
      <c r="G221" s="1353"/>
      <c r="H221" s="1353"/>
      <c r="I221" s="1238">
        <v>656</v>
      </c>
      <c r="J221" s="1186">
        <v>10</v>
      </c>
      <c r="K221" s="1186"/>
      <c r="L221" s="1231"/>
      <c r="M221" s="1188"/>
      <c r="N221" s="1191">
        <f>N222</f>
        <v>210</v>
      </c>
      <c r="O221" s="1191">
        <f aca="true" t="shared" si="63" ref="O221:S225">O222</f>
        <v>0</v>
      </c>
      <c r="P221" s="1191">
        <f t="shared" si="63"/>
        <v>360</v>
      </c>
      <c r="Q221" s="1191">
        <f t="shared" si="63"/>
        <v>0</v>
      </c>
      <c r="R221" s="1191">
        <f t="shared" si="63"/>
        <v>360</v>
      </c>
      <c r="S221" s="1191">
        <f t="shared" si="63"/>
        <v>0</v>
      </c>
      <c r="U221" s="1249">
        <v>210</v>
      </c>
    </row>
    <row r="222" spans="1:21" s="1190" customFormat="1" ht="14.25">
      <c r="A222" s="1353" t="s">
        <v>2</v>
      </c>
      <c r="B222" s="1353"/>
      <c r="C222" s="1353"/>
      <c r="D222" s="1353"/>
      <c r="E222" s="1353"/>
      <c r="F222" s="1353"/>
      <c r="G222" s="1353"/>
      <c r="H222" s="1353"/>
      <c r="I222" s="1238">
        <v>656</v>
      </c>
      <c r="J222" s="1186">
        <v>10</v>
      </c>
      <c r="K222" s="1186">
        <v>1</v>
      </c>
      <c r="L222" s="1231"/>
      <c r="M222" s="1188"/>
      <c r="N222" s="1191">
        <f>N223</f>
        <v>210</v>
      </c>
      <c r="O222" s="1191">
        <f t="shared" si="63"/>
        <v>0</v>
      </c>
      <c r="P222" s="1191">
        <f t="shared" si="63"/>
        <v>360</v>
      </c>
      <c r="Q222" s="1191">
        <f t="shared" si="63"/>
        <v>0</v>
      </c>
      <c r="R222" s="1191">
        <f t="shared" si="63"/>
        <v>360</v>
      </c>
      <c r="S222" s="1191">
        <f t="shared" si="63"/>
        <v>0</v>
      </c>
      <c r="U222" s="1249">
        <v>210</v>
      </c>
    </row>
    <row r="223" spans="1:21" s="1190" customFormat="1" ht="45" customHeight="1">
      <c r="A223" s="1365" t="s">
        <v>481</v>
      </c>
      <c r="B223" s="1366"/>
      <c r="C223" s="1366"/>
      <c r="D223" s="1367"/>
      <c r="E223" s="1240"/>
      <c r="F223" s="1240"/>
      <c r="G223" s="1240"/>
      <c r="H223" s="1240"/>
      <c r="I223" s="1240">
        <v>656</v>
      </c>
      <c r="J223" s="1202">
        <v>10</v>
      </c>
      <c r="K223" s="1202">
        <v>1</v>
      </c>
      <c r="L223" s="1231" t="s">
        <v>735</v>
      </c>
      <c r="M223" s="1204"/>
      <c r="N223" s="1205">
        <f aca="true" t="shared" si="64" ref="N223:S223">N225</f>
        <v>210</v>
      </c>
      <c r="O223" s="1205">
        <f t="shared" si="64"/>
        <v>0</v>
      </c>
      <c r="P223" s="1205">
        <f t="shared" si="64"/>
        <v>360</v>
      </c>
      <c r="Q223" s="1205">
        <f t="shared" si="64"/>
        <v>0</v>
      </c>
      <c r="R223" s="1205">
        <f t="shared" si="64"/>
        <v>360</v>
      </c>
      <c r="S223" s="1205">
        <f t="shared" si="64"/>
        <v>0</v>
      </c>
      <c r="U223" s="1249">
        <v>210</v>
      </c>
    </row>
    <row r="224" spans="1:21" s="1190" customFormat="1" ht="42" customHeight="1">
      <c r="A224" s="1334" t="s">
        <v>635</v>
      </c>
      <c r="B224" s="1335"/>
      <c r="C224" s="1335"/>
      <c r="D224" s="1336"/>
      <c r="E224" s="1239"/>
      <c r="F224" s="1239"/>
      <c r="G224" s="1239"/>
      <c r="H224" s="1239"/>
      <c r="I224" s="1239">
        <v>656</v>
      </c>
      <c r="J224" s="1199">
        <v>10</v>
      </c>
      <c r="K224" s="1199">
        <v>1</v>
      </c>
      <c r="L224" s="1230" t="s">
        <v>546</v>
      </c>
      <c r="M224" s="1200"/>
      <c r="N224" s="1201">
        <f aca="true" t="shared" si="65" ref="N224:S224">N225</f>
        <v>210</v>
      </c>
      <c r="O224" s="1201">
        <f t="shared" si="65"/>
        <v>0</v>
      </c>
      <c r="P224" s="1201">
        <f t="shared" si="65"/>
        <v>360</v>
      </c>
      <c r="Q224" s="1201">
        <f t="shared" si="65"/>
        <v>0</v>
      </c>
      <c r="R224" s="1201">
        <f t="shared" si="65"/>
        <v>360</v>
      </c>
      <c r="S224" s="1201">
        <f t="shared" si="65"/>
        <v>0</v>
      </c>
      <c r="U224" s="1249">
        <v>210</v>
      </c>
    </row>
    <row r="225" spans="1:21" s="1190" customFormat="1" ht="57" customHeight="1">
      <c r="A225" s="1334" t="s">
        <v>527</v>
      </c>
      <c r="B225" s="1335"/>
      <c r="C225" s="1335"/>
      <c r="D225" s="1335"/>
      <c r="E225" s="1335"/>
      <c r="F225" s="1335"/>
      <c r="G225" s="1335"/>
      <c r="H225" s="1336"/>
      <c r="I225" s="1239">
        <v>656</v>
      </c>
      <c r="J225" s="1199">
        <v>10</v>
      </c>
      <c r="K225" s="1199">
        <v>1</v>
      </c>
      <c r="L225" s="1230" t="s">
        <v>546</v>
      </c>
      <c r="M225" s="1200">
        <v>0</v>
      </c>
      <c r="N225" s="1201">
        <f>N226</f>
        <v>210</v>
      </c>
      <c r="O225" s="1201">
        <f t="shared" si="63"/>
        <v>0</v>
      </c>
      <c r="P225" s="1201">
        <f t="shared" si="63"/>
        <v>360</v>
      </c>
      <c r="Q225" s="1201">
        <f t="shared" si="63"/>
        <v>0</v>
      </c>
      <c r="R225" s="1201">
        <f t="shared" si="63"/>
        <v>360</v>
      </c>
      <c r="S225" s="1201">
        <f t="shared" si="63"/>
        <v>0</v>
      </c>
      <c r="U225" s="1249">
        <v>210</v>
      </c>
    </row>
    <row r="226" spans="1:21" s="1190" customFormat="1" ht="14.25" customHeight="1">
      <c r="A226" s="1334" t="s">
        <v>66</v>
      </c>
      <c r="B226" s="1335" t="s">
        <v>66</v>
      </c>
      <c r="C226" s="1335"/>
      <c r="D226" s="1335"/>
      <c r="E226" s="1335"/>
      <c r="F226" s="1335"/>
      <c r="G226" s="1335"/>
      <c r="H226" s="1336"/>
      <c r="I226" s="1239">
        <v>656</v>
      </c>
      <c r="J226" s="1199">
        <v>10</v>
      </c>
      <c r="K226" s="1199">
        <v>1</v>
      </c>
      <c r="L226" s="1230" t="s">
        <v>546</v>
      </c>
      <c r="M226" s="1200">
        <v>300</v>
      </c>
      <c r="N226" s="1201">
        <f>N227</f>
        <v>210</v>
      </c>
      <c r="O226" s="1201">
        <v>0</v>
      </c>
      <c r="P226" s="1201">
        <f>P227</f>
        <v>360</v>
      </c>
      <c r="Q226" s="1201">
        <v>0</v>
      </c>
      <c r="R226" s="1201">
        <f>R227</f>
        <v>360</v>
      </c>
      <c r="S226" s="1201">
        <v>0</v>
      </c>
      <c r="U226" s="1249">
        <v>210</v>
      </c>
    </row>
    <row r="227" spans="1:21" s="1190" customFormat="1" ht="34.5" customHeight="1">
      <c r="A227" s="1334" t="s">
        <v>68</v>
      </c>
      <c r="B227" s="1335"/>
      <c r="C227" s="1335"/>
      <c r="D227" s="1336"/>
      <c r="E227" s="1239"/>
      <c r="F227" s="1239"/>
      <c r="G227" s="1239"/>
      <c r="H227" s="1239"/>
      <c r="I227" s="1239">
        <v>656</v>
      </c>
      <c r="J227" s="1199">
        <v>10</v>
      </c>
      <c r="K227" s="1199">
        <v>1</v>
      </c>
      <c r="L227" s="1230" t="s">
        <v>546</v>
      </c>
      <c r="M227" s="1200">
        <v>320</v>
      </c>
      <c r="N227" s="1201">
        <v>210</v>
      </c>
      <c r="O227" s="1201">
        <v>0</v>
      </c>
      <c r="P227" s="1201">
        <v>360</v>
      </c>
      <c r="Q227" s="1201">
        <v>0</v>
      </c>
      <c r="R227" s="1201">
        <v>360</v>
      </c>
      <c r="S227" s="1201">
        <v>0</v>
      </c>
      <c r="U227" s="1249">
        <v>210</v>
      </c>
    </row>
    <row r="228" spans="1:21" s="1190" customFormat="1" ht="16.5" customHeight="1">
      <c r="A228" s="1353" t="s">
        <v>5</v>
      </c>
      <c r="B228" s="1353"/>
      <c r="C228" s="1353"/>
      <c r="D228" s="1353"/>
      <c r="E228" s="1353"/>
      <c r="F228" s="1353"/>
      <c r="G228" s="1353"/>
      <c r="H228" s="1353"/>
      <c r="I228" s="1238">
        <v>656</v>
      </c>
      <c r="J228" s="1186">
        <v>11</v>
      </c>
      <c r="K228" s="1186"/>
      <c r="L228" s="1230"/>
      <c r="M228" s="1188"/>
      <c r="N228" s="1191">
        <f aca="true" t="shared" si="66" ref="N228:S229">N229</f>
        <v>441.9420660000001</v>
      </c>
      <c r="O228" s="1191">
        <f t="shared" si="66"/>
        <v>0</v>
      </c>
      <c r="P228" s="1191">
        <f t="shared" si="66"/>
        <v>407.7</v>
      </c>
      <c r="Q228" s="1191">
        <f t="shared" si="66"/>
        <v>0</v>
      </c>
      <c r="R228" s="1191">
        <f t="shared" si="66"/>
        <v>407.7</v>
      </c>
      <c r="S228" s="1191">
        <f t="shared" si="66"/>
        <v>0</v>
      </c>
      <c r="U228" s="1249">
        <v>441.9420660000001</v>
      </c>
    </row>
    <row r="229" spans="1:21" s="1190" customFormat="1" ht="16.5" customHeight="1">
      <c r="A229" s="1353" t="s">
        <v>4</v>
      </c>
      <c r="B229" s="1353"/>
      <c r="C229" s="1353"/>
      <c r="D229" s="1353"/>
      <c r="E229" s="1353"/>
      <c r="F229" s="1353"/>
      <c r="G229" s="1353"/>
      <c r="H229" s="1353"/>
      <c r="I229" s="1238">
        <v>656</v>
      </c>
      <c r="J229" s="1186">
        <v>11</v>
      </c>
      <c r="K229" s="1186">
        <v>1</v>
      </c>
      <c r="L229" s="1230"/>
      <c r="M229" s="1188"/>
      <c r="N229" s="1191">
        <f>N230</f>
        <v>441.9420660000001</v>
      </c>
      <c r="O229" s="1191">
        <f>O230</f>
        <v>0</v>
      </c>
      <c r="P229" s="1191">
        <f t="shared" si="66"/>
        <v>407.7</v>
      </c>
      <c r="Q229" s="1191">
        <f t="shared" si="66"/>
        <v>0</v>
      </c>
      <c r="R229" s="1191">
        <f t="shared" si="66"/>
        <v>407.7</v>
      </c>
      <c r="S229" s="1191">
        <f t="shared" si="66"/>
        <v>0</v>
      </c>
      <c r="U229" s="1249">
        <v>441.9420660000001</v>
      </c>
    </row>
    <row r="230" spans="1:21" s="1190" customFormat="1" ht="54" customHeight="1">
      <c r="A230" s="1365" t="s">
        <v>483</v>
      </c>
      <c r="B230" s="1366"/>
      <c r="C230" s="1366"/>
      <c r="D230" s="1367"/>
      <c r="E230" s="1240"/>
      <c r="F230" s="1240"/>
      <c r="G230" s="1240"/>
      <c r="H230" s="1240"/>
      <c r="I230" s="1240">
        <v>656</v>
      </c>
      <c r="J230" s="1202">
        <v>11</v>
      </c>
      <c r="K230" s="1202">
        <v>1</v>
      </c>
      <c r="L230" s="1203" t="s">
        <v>479</v>
      </c>
      <c r="M230" s="1204"/>
      <c r="N230" s="1205">
        <f aca="true" t="shared" si="67" ref="N230:S230">N231+N235</f>
        <v>441.9420660000001</v>
      </c>
      <c r="O230" s="1205">
        <f t="shared" si="67"/>
        <v>0</v>
      </c>
      <c r="P230" s="1205">
        <f t="shared" si="67"/>
        <v>407.7</v>
      </c>
      <c r="Q230" s="1205">
        <f t="shared" si="67"/>
        <v>0</v>
      </c>
      <c r="R230" s="1205">
        <f t="shared" si="67"/>
        <v>407.7</v>
      </c>
      <c r="S230" s="1205">
        <f t="shared" si="67"/>
        <v>0</v>
      </c>
      <c r="U230" s="1249">
        <v>441.9420660000001</v>
      </c>
    </row>
    <row r="231" spans="1:21" s="1190" customFormat="1" ht="50.25" customHeight="1">
      <c r="A231" s="1357" t="s">
        <v>528</v>
      </c>
      <c r="B231" s="1360"/>
      <c r="C231" s="1360"/>
      <c r="D231" s="1360"/>
      <c r="E231" s="1239"/>
      <c r="F231" s="1239"/>
      <c r="G231" s="1239"/>
      <c r="H231" s="1239"/>
      <c r="I231" s="1239">
        <v>656</v>
      </c>
      <c r="J231" s="1199">
        <v>11</v>
      </c>
      <c r="K231" s="1199">
        <v>1</v>
      </c>
      <c r="L231" s="968" t="s">
        <v>736</v>
      </c>
      <c r="M231" s="1200"/>
      <c r="N231" s="1201">
        <f aca="true" t="shared" si="68" ref="N231:S233">N232</f>
        <v>416.9420660000001</v>
      </c>
      <c r="O231" s="1201">
        <f t="shared" si="68"/>
        <v>0</v>
      </c>
      <c r="P231" s="1201">
        <f t="shared" si="68"/>
        <v>407.7</v>
      </c>
      <c r="Q231" s="1201">
        <f t="shared" si="68"/>
        <v>0</v>
      </c>
      <c r="R231" s="1201">
        <f t="shared" si="68"/>
        <v>407.7</v>
      </c>
      <c r="S231" s="1201">
        <f t="shared" si="68"/>
        <v>0</v>
      </c>
      <c r="U231" s="1249">
        <v>416.9420660000001</v>
      </c>
    </row>
    <row r="232" spans="1:21" s="1190" customFormat="1" ht="81" customHeight="1">
      <c r="A232" s="1334" t="s">
        <v>522</v>
      </c>
      <c r="B232" s="1335"/>
      <c r="C232" s="1335"/>
      <c r="D232" s="1335"/>
      <c r="E232" s="1335"/>
      <c r="F232" s="1335"/>
      <c r="G232" s="1335"/>
      <c r="H232" s="1336"/>
      <c r="I232" s="1239">
        <v>656</v>
      </c>
      <c r="J232" s="1199">
        <v>11</v>
      </c>
      <c r="K232" s="1199">
        <v>1</v>
      </c>
      <c r="L232" s="968" t="s">
        <v>517</v>
      </c>
      <c r="M232" s="1200" t="s">
        <v>40</v>
      </c>
      <c r="N232" s="1201">
        <f>N233</f>
        <v>416.9420660000001</v>
      </c>
      <c r="O232" s="1201">
        <f t="shared" si="68"/>
        <v>0</v>
      </c>
      <c r="P232" s="1201">
        <f t="shared" si="68"/>
        <v>407.7</v>
      </c>
      <c r="Q232" s="1201">
        <f t="shared" si="68"/>
        <v>0</v>
      </c>
      <c r="R232" s="1201">
        <f t="shared" si="68"/>
        <v>407.7</v>
      </c>
      <c r="S232" s="1201">
        <f t="shared" si="68"/>
        <v>0</v>
      </c>
      <c r="U232" s="1249">
        <v>416.9420660000001</v>
      </c>
    </row>
    <row r="233" spans="1:21" s="1190" customFormat="1" ht="60" customHeight="1">
      <c r="A233" s="1334" t="s">
        <v>49</v>
      </c>
      <c r="B233" s="1335"/>
      <c r="C233" s="1335"/>
      <c r="D233" s="1335"/>
      <c r="E233" s="1335"/>
      <c r="F233" s="1335"/>
      <c r="G233" s="1335"/>
      <c r="H233" s="1336"/>
      <c r="I233" s="1239">
        <v>656</v>
      </c>
      <c r="J233" s="1199">
        <v>11</v>
      </c>
      <c r="K233" s="1199">
        <v>1</v>
      </c>
      <c r="L233" s="968" t="s">
        <v>517</v>
      </c>
      <c r="M233" s="1200" t="s">
        <v>50</v>
      </c>
      <c r="N233" s="1201">
        <f>N234</f>
        <v>416.9420660000001</v>
      </c>
      <c r="O233" s="1201">
        <v>0</v>
      </c>
      <c r="P233" s="1201">
        <f>P234</f>
        <v>407.7</v>
      </c>
      <c r="Q233" s="1201">
        <f t="shared" si="68"/>
        <v>0</v>
      </c>
      <c r="R233" s="1201">
        <f t="shared" si="68"/>
        <v>407.7</v>
      </c>
      <c r="S233" s="1201">
        <f t="shared" si="68"/>
        <v>0</v>
      </c>
      <c r="U233" s="1249">
        <v>416.9420660000001</v>
      </c>
    </row>
    <row r="234" spans="1:21" s="1190" customFormat="1" ht="14.25" customHeight="1">
      <c r="A234" s="1334" t="s">
        <v>61</v>
      </c>
      <c r="B234" s="1335"/>
      <c r="C234" s="1335"/>
      <c r="D234" s="1335"/>
      <c r="E234" s="1335"/>
      <c r="F234" s="1335"/>
      <c r="G234" s="1335"/>
      <c r="H234" s="1336"/>
      <c r="I234" s="1239">
        <v>656</v>
      </c>
      <c r="J234" s="1199">
        <v>11</v>
      </c>
      <c r="K234" s="1199">
        <v>1</v>
      </c>
      <c r="L234" s="968" t="s">
        <v>517</v>
      </c>
      <c r="M234" s="1200" t="s">
        <v>52</v>
      </c>
      <c r="N234" s="1201">
        <f>'Прил.4'!D144</f>
        <v>416.9420660000001</v>
      </c>
      <c r="O234" s="1201">
        <v>0</v>
      </c>
      <c r="P234" s="1201">
        <v>407.7</v>
      </c>
      <c r="Q234" s="1201">
        <v>0</v>
      </c>
      <c r="R234" s="1201">
        <v>407.7</v>
      </c>
      <c r="S234" s="1201">
        <v>0</v>
      </c>
      <c r="U234" s="1249">
        <v>416.9420660000001</v>
      </c>
    </row>
    <row r="235" spans="1:21" s="1190" customFormat="1" ht="30.75" customHeight="1">
      <c r="A235" s="1334" t="s">
        <v>53</v>
      </c>
      <c r="B235" s="1335" t="s">
        <v>53</v>
      </c>
      <c r="C235" s="1335" t="s">
        <v>53</v>
      </c>
      <c r="D235" s="1336" t="s">
        <v>53</v>
      </c>
      <c r="E235" s="1239"/>
      <c r="F235" s="1239"/>
      <c r="G235" s="1239"/>
      <c r="H235" s="1239"/>
      <c r="I235" s="1239">
        <v>656</v>
      </c>
      <c r="J235" s="1199">
        <v>11</v>
      </c>
      <c r="K235" s="1199">
        <v>1</v>
      </c>
      <c r="L235" s="968" t="s">
        <v>517</v>
      </c>
      <c r="M235" s="1200" t="s">
        <v>54</v>
      </c>
      <c r="N235" s="1201">
        <f>N236</f>
        <v>25</v>
      </c>
      <c r="O235" s="1201">
        <v>0</v>
      </c>
      <c r="P235" s="1201">
        <f>P236</f>
        <v>0</v>
      </c>
      <c r="Q235" s="1201">
        <v>0</v>
      </c>
      <c r="R235" s="1201">
        <f>R236</f>
        <v>0</v>
      </c>
      <c r="S235" s="1201">
        <f>S236</f>
        <v>0</v>
      </c>
      <c r="U235" s="1249">
        <v>25</v>
      </c>
    </row>
    <row r="236" spans="1:21" s="1190" customFormat="1" ht="30.75" customHeight="1">
      <c r="A236" s="1402" t="s">
        <v>55</v>
      </c>
      <c r="B236" s="1403" t="s">
        <v>55</v>
      </c>
      <c r="C236" s="1403" t="s">
        <v>55</v>
      </c>
      <c r="D236" s="1404" t="s">
        <v>55</v>
      </c>
      <c r="E236" s="1239"/>
      <c r="F236" s="1239"/>
      <c r="G236" s="1239"/>
      <c r="H236" s="1239"/>
      <c r="I236" s="1239">
        <v>656</v>
      </c>
      <c r="J236" s="1199">
        <v>11</v>
      </c>
      <c r="K236" s="1199">
        <v>1</v>
      </c>
      <c r="L236" s="968" t="s">
        <v>517</v>
      </c>
      <c r="M236" s="1200" t="s">
        <v>56</v>
      </c>
      <c r="N236" s="1201">
        <f>'Прил.4'!D146</f>
        <v>25</v>
      </c>
      <c r="O236" s="1201">
        <v>0</v>
      </c>
      <c r="P236" s="1201">
        <v>0</v>
      </c>
      <c r="Q236" s="1201">
        <v>0</v>
      </c>
      <c r="R236" s="1201">
        <v>0</v>
      </c>
      <c r="S236" s="1201">
        <v>0</v>
      </c>
      <c r="U236" s="1249">
        <v>25</v>
      </c>
    </row>
    <row r="237" ht="30" customHeight="1">
      <c r="S237" s="1237" t="s">
        <v>29</v>
      </c>
    </row>
  </sheetData>
  <sheetProtection/>
  <mergeCells count="250">
    <mergeCell ref="A227:D227"/>
    <mergeCell ref="A234:H234"/>
    <mergeCell ref="A235:D235"/>
    <mergeCell ref="A236:D236"/>
    <mergeCell ref="A228:H228"/>
    <mergeCell ref="A229:H229"/>
    <mergeCell ref="A230:D230"/>
    <mergeCell ref="A231:D231"/>
    <mergeCell ref="A232:H232"/>
    <mergeCell ref="A233:H233"/>
    <mergeCell ref="A219:D219"/>
    <mergeCell ref="A220:D220"/>
    <mergeCell ref="A221:H221"/>
    <mergeCell ref="A222:H222"/>
    <mergeCell ref="A223:D223"/>
    <mergeCell ref="A224:D224"/>
    <mergeCell ref="A225:H225"/>
    <mergeCell ref="A226:H226"/>
    <mergeCell ref="A210:D210"/>
    <mergeCell ref="A211:D211"/>
    <mergeCell ref="A215:H215"/>
    <mergeCell ref="A216:D216"/>
    <mergeCell ref="A217:D217"/>
    <mergeCell ref="A218:D218"/>
    <mergeCell ref="A214:D214"/>
    <mergeCell ref="A212:D212"/>
    <mergeCell ref="A213:D213"/>
    <mergeCell ref="A204:D204"/>
    <mergeCell ref="A205:D205"/>
    <mergeCell ref="A206:H206"/>
    <mergeCell ref="A207:H207"/>
    <mergeCell ref="A208:D208"/>
    <mergeCell ref="A209:D209"/>
    <mergeCell ref="A197:H197"/>
    <mergeCell ref="A198:H198"/>
    <mergeCell ref="A199:D199"/>
    <mergeCell ref="A201:H201"/>
    <mergeCell ref="A202:H202"/>
    <mergeCell ref="A203:D203"/>
    <mergeCell ref="A200:D200"/>
    <mergeCell ref="A191:H191"/>
    <mergeCell ref="A192:D192"/>
    <mergeCell ref="A193:D193"/>
    <mergeCell ref="A194:D194"/>
    <mergeCell ref="A195:H195"/>
    <mergeCell ref="A196:H196"/>
    <mergeCell ref="A185:D185"/>
    <mergeCell ref="A186:D186"/>
    <mergeCell ref="A187:D187"/>
    <mergeCell ref="A188:H188"/>
    <mergeCell ref="A189:D189"/>
    <mergeCell ref="A190:H190"/>
    <mergeCell ref="A179:D179"/>
    <mergeCell ref="A180:D180"/>
    <mergeCell ref="A181:D181"/>
    <mergeCell ref="A182:H182"/>
    <mergeCell ref="A183:D183"/>
    <mergeCell ref="A184:D184"/>
    <mergeCell ref="A173:H173"/>
    <mergeCell ref="A174:D174"/>
    <mergeCell ref="A175:D175"/>
    <mergeCell ref="A176:D176"/>
    <mergeCell ref="A177:D177"/>
    <mergeCell ref="A178:D178"/>
    <mergeCell ref="A167:D167"/>
    <mergeCell ref="A168:D168"/>
    <mergeCell ref="A169:D169"/>
    <mergeCell ref="A170:D170"/>
    <mergeCell ref="A171:D171"/>
    <mergeCell ref="A172:H172"/>
    <mergeCell ref="A156:D156"/>
    <mergeCell ref="A157:D157"/>
    <mergeCell ref="A158:D158"/>
    <mergeCell ref="A159:D159"/>
    <mergeCell ref="A160:H160"/>
    <mergeCell ref="A166:D166"/>
    <mergeCell ref="A161:D161"/>
    <mergeCell ref="A162:D162"/>
    <mergeCell ref="A163:D163"/>
    <mergeCell ref="A164:D164"/>
    <mergeCell ref="A150:D150"/>
    <mergeCell ref="A151:D151"/>
    <mergeCell ref="A152:H152"/>
    <mergeCell ref="A153:D153"/>
    <mergeCell ref="A154:D154"/>
    <mergeCell ref="A155:D155"/>
    <mergeCell ref="A144:D144"/>
    <mergeCell ref="A145:D145"/>
    <mergeCell ref="A146:D146"/>
    <mergeCell ref="A147:D147"/>
    <mergeCell ref="A148:D148"/>
    <mergeCell ref="A149:D149"/>
    <mergeCell ref="A133:H133"/>
    <mergeCell ref="A134:H134"/>
    <mergeCell ref="A140:D140"/>
    <mergeCell ref="A141:D141"/>
    <mergeCell ref="A142:D142"/>
    <mergeCell ref="A143:D143"/>
    <mergeCell ref="A130:D130"/>
    <mergeCell ref="E130:H130"/>
    <mergeCell ref="A131:D131"/>
    <mergeCell ref="E131:H131"/>
    <mergeCell ref="A132:D132"/>
    <mergeCell ref="E132:H132"/>
    <mergeCell ref="A127:D127"/>
    <mergeCell ref="E127:H127"/>
    <mergeCell ref="A128:D128"/>
    <mergeCell ref="E128:H128"/>
    <mergeCell ref="A129:D129"/>
    <mergeCell ref="E129:H129"/>
    <mergeCell ref="A124:D124"/>
    <mergeCell ref="E124:H124"/>
    <mergeCell ref="A125:D125"/>
    <mergeCell ref="E125:H125"/>
    <mergeCell ref="A126:D126"/>
    <mergeCell ref="E126:H126"/>
    <mergeCell ref="A121:D121"/>
    <mergeCell ref="E121:H121"/>
    <mergeCell ref="A122:D122"/>
    <mergeCell ref="E122:H122"/>
    <mergeCell ref="A123:D123"/>
    <mergeCell ref="E123:H123"/>
    <mergeCell ref="A115:H115"/>
    <mergeCell ref="A116:D116"/>
    <mergeCell ref="A117:D117"/>
    <mergeCell ref="A118:D118"/>
    <mergeCell ref="A119:H119"/>
    <mergeCell ref="A120:H120"/>
    <mergeCell ref="A103:H103"/>
    <mergeCell ref="A104:D104"/>
    <mergeCell ref="A105:D105"/>
    <mergeCell ref="A106:D106"/>
    <mergeCell ref="A107:D107"/>
    <mergeCell ref="A108:D108"/>
    <mergeCell ref="A97:H97"/>
    <mergeCell ref="A98:H98"/>
    <mergeCell ref="A99:H99"/>
    <mergeCell ref="A100:H100"/>
    <mergeCell ref="A101:H101"/>
    <mergeCell ref="A102:H102"/>
    <mergeCell ref="A91:D91"/>
    <mergeCell ref="A92:D92"/>
    <mergeCell ref="A93:H93"/>
    <mergeCell ref="A94:H94"/>
    <mergeCell ref="A95:D95"/>
    <mergeCell ref="A96:H96"/>
    <mergeCell ref="A85:H85"/>
    <mergeCell ref="A86:H86"/>
    <mergeCell ref="A87:D87"/>
    <mergeCell ref="A88:D88"/>
    <mergeCell ref="A89:D89"/>
    <mergeCell ref="A90:D90"/>
    <mergeCell ref="A79:D79"/>
    <mergeCell ref="A80:D80"/>
    <mergeCell ref="A81:H81"/>
    <mergeCell ref="A82:H82"/>
    <mergeCell ref="A83:D83"/>
    <mergeCell ref="A84:D84"/>
    <mergeCell ref="A73:H73"/>
    <mergeCell ref="A74:H74"/>
    <mergeCell ref="A75:D75"/>
    <mergeCell ref="A76:H76"/>
    <mergeCell ref="A77:H77"/>
    <mergeCell ref="A78:H78"/>
    <mergeCell ref="A67:H67"/>
    <mergeCell ref="A68:H68"/>
    <mergeCell ref="A69:H69"/>
    <mergeCell ref="A70:D70"/>
    <mergeCell ref="A71:D71"/>
    <mergeCell ref="A72:D72"/>
    <mergeCell ref="A61:D61"/>
    <mergeCell ref="A62:D62"/>
    <mergeCell ref="A63:D63"/>
    <mergeCell ref="A64:D64"/>
    <mergeCell ref="A65:D65"/>
    <mergeCell ref="A66:H66"/>
    <mergeCell ref="A55:H55"/>
    <mergeCell ref="A56:H56"/>
    <mergeCell ref="A57:H57"/>
    <mergeCell ref="A58:H58"/>
    <mergeCell ref="A59:H59"/>
    <mergeCell ref="A60:H60"/>
    <mergeCell ref="A49:D49"/>
    <mergeCell ref="A50:D50"/>
    <mergeCell ref="A51:D51"/>
    <mergeCell ref="A52:D52"/>
    <mergeCell ref="A53:H53"/>
    <mergeCell ref="A54:H54"/>
    <mergeCell ref="A43:D43"/>
    <mergeCell ref="A44:D44"/>
    <mergeCell ref="A45:D45"/>
    <mergeCell ref="A46:H46"/>
    <mergeCell ref="A47:H47"/>
    <mergeCell ref="A48:H48"/>
    <mergeCell ref="A37:H37"/>
    <mergeCell ref="A38:D38"/>
    <mergeCell ref="A39:D39"/>
    <mergeCell ref="A40:D40"/>
    <mergeCell ref="A41:E41"/>
    <mergeCell ref="A42:H42"/>
    <mergeCell ref="A31:H31"/>
    <mergeCell ref="A32:D32"/>
    <mergeCell ref="A33:D33"/>
    <mergeCell ref="A34:H34"/>
    <mergeCell ref="A35:E35"/>
    <mergeCell ref="A36:H36"/>
    <mergeCell ref="A25:H25"/>
    <mergeCell ref="A26:H26"/>
    <mergeCell ref="A27:D27"/>
    <mergeCell ref="A28:D28"/>
    <mergeCell ref="A29:E29"/>
    <mergeCell ref="A30:H30"/>
    <mergeCell ref="A19:H19"/>
    <mergeCell ref="A20:H20"/>
    <mergeCell ref="A21:H21"/>
    <mergeCell ref="A22:D22"/>
    <mergeCell ref="A23:D23"/>
    <mergeCell ref="A24:H24"/>
    <mergeCell ref="A13:D13"/>
    <mergeCell ref="A14:H14"/>
    <mergeCell ref="A15:H15"/>
    <mergeCell ref="A16:H16"/>
    <mergeCell ref="A17:D17"/>
    <mergeCell ref="A18:H18"/>
    <mergeCell ref="A8:S9"/>
    <mergeCell ref="A10:G12"/>
    <mergeCell ref="I10:M10"/>
    <mergeCell ref="N10:N12"/>
    <mergeCell ref="O10:O12"/>
    <mergeCell ref="P10:P12"/>
    <mergeCell ref="Q10:Q12"/>
    <mergeCell ref="R10:R12"/>
    <mergeCell ref="S10:S12"/>
    <mergeCell ref="I11:M11"/>
    <mergeCell ref="A109:D109"/>
    <mergeCell ref="E109:H109"/>
    <mergeCell ref="A110:D110"/>
    <mergeCell ref="E110:H110"/>
    <mergeCell ref="A111:D111"/>
    <mergeCell ref="E111:H111"/>
    <mergeCell ref="A165:D165"/>
    <mergeCell ref="A135:D135"/>
    <mergeCell ref="A112:D112"/>
    <mergeCell ref="E112:H112"/>
    <mergeCell ref="A113:H113"/>
    <mergeCell ref="A114:H114"/>
    <mergeCell ref="A136:D136"/>
    <mergeCell ref="A137:D137"/>
    <mergeCell ref="A138:D138"/>
    <mergeCell ref="A139:D139"/>
  </mergeCells>
  <printOptions/>
  <pageMargins left="0.7086614173228347" right="0.7086614173228347" top="0.3937007874015748" bottom="0"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BB159"/>
  <sheetViews>
    <sheetView view="pageBreakPreview" zoomScale="85" zoomScaleNormal="70" zoomScaleSheetLayoutView="85" zoomScalePageLayoutView="0" workbookViewId="0" topLeftCell="A1">
      <selection activeCell="W10" sqref="W10"/>
    </sheetView>
  </sheetViews>
  <sheetFormatPr defaultColWidth="9.140625" defaultRowHeight="15"/>
  <cols>
    <col min="1" max="1" width="102.8515625" style="1" customWidth="1"/>
    <col min="2" max="2" width="17.8515625" style="1" customWidth="1"/>
    <col min="3" max="3" width="6.7109375" style="950" customWidth="1"/>
    <col min="4" max="4" width="10.7109375" style="903" customWidth="1"/>
    <col min="5" max="5" width="20.28125" style="903" hidden="1" customWidth="1"/>
    <col min="6" max="6" width="25.140625" style="903" hidden="1" customWidth="1"/>
    <col min="7" max="7" width="14.00390625" style="903" customWidth="1"/>
    <col min="8" max="8" width="11.421875" style="903" customWidth="1"/>
    <col min="9" max="9" width="0.42578125" style="878" customWidth="1"/>
    <col min="10" max="10" width="13.140625" style="927" hidden="1" customWidth="1"/>
    <col min="11" max="11" width="0" style="3" hidden="1" customWidth="1"/>
    <col min="12" max="12" width="12.28125" style="3" hidden="1" customWidth="1"/>
    <col min="13" max="13" width="10.8515625" style="3" hidden="1" customWidth="1"/>
    <col min="14" max="19" width="0" style="3" hidden="1" customWidth="1"/>
    <col min="20" max="20" width="15.57421875" style="1272" hidden="1" customWidth="1"/>
    <col min="21" max="21" width="10.8515625" style="1285" hidden="1" customWidth="1"/>
    <col min="22" max="16384" width="9.140625" style="3" customWidth="1"/>
  </cols>
  <sheetData>
    <row r="1" spans="2:8" ht="58.5" customHeight="1">
      <c r="B1" s="2"/>
      <c r="C1" s="1405" t="s">
        <v>744</v>
      </c>
      <c r="D1" s="1406"/>
      <c r="E1" s="1406"/>
      <c r="F1" s="1406"/>
      <c r="G1" s="1406"/>
      <c r="H1" s="1406"/>
    </row>
    <row r="2" spans="4:8" ht="27" customHeight="1">
      <c r="D2" s="1405"/>
      <c r="E2" s="1407"/>
      <c r="F2" s="1407"/>
      <c r="G2" s="1407"/>
      <c r="H2" s="1407"/>
    </row>
    <row r="3" spans="2:8" ht="50.25" customHeight="1">
      <c r="B3" s="2"/>
      <c r="C3" s="1405" t="s">
        <v>741</v>
      </c>
      <c r="D3" s="1406"/>
      <c r="E3" s="1406"/>
      <c r="F3" s="1406"/>
      <c r="G3" s="1406"/>
      <c r="H3" s="1406"/>
    </row>
    <row r="4" spans="4:8" ht="15">
      <c r="D4" s="1405"/>
      <c r="E4" s="1407"/>
      <c r="F4" s="1407"/>
      <c r="G4" s="1407"/>
      <c r="H4" s="1407"/>
    </row>
    <row r="5" spans="1:11" ht="56.25" customHeight="1">
      <c r="A5" s="1408" t="s">
        <v>464</v>
      </c>
      <c r="B5" s="1408"/>
      <c r="C5" s="1408"/>
      <c r="D5" s="1408"/>
      <c r="E5" s="1408"/>
      <c r="F5" s="1408"/>
      <c r="G5" s="1409"/>
      <c r="H5" s="1409"/>
      <c r="K5" s="3">
        <v>61323.93140946544</v>
      </c>
    </row>
    <row r="6" spans="1:8" ht="16.5" customHeight="1" thickBot="1">
      <c r="A6" s="4"/>
      <c r="B6" s="4"/>
      <c r="C6" s="951"/>
      <c r="D6" s="904"/>
      <c r="E6" s="904"/>
      <c r="F6" s="904"/>
      <c r="G6" s="904"/>
      <c r="H6" s="904"/>
    </row>
    <row r="7" spans="1:20" ht="27" thickBot="1">
      <c r="A7" s="5" t="s">
        <v>30</v>
      </c>
      <c r="B7" s="6" t="s">
        <v>31</v>
      </c>
      <c r="C7" s="952" t="s">
        <v>32</v>
      </c>
      <c r="D7" s="905" t="s">
        <v>35</v>
      </c>
      <c r="E7" s="905" t="s">
        <v>34</v>
      </c>
      <c r="F7" s="905" t="s">
        <v>33</v>
      </c>
      <c r="G7" s="905" t="s">
        <v>36</v>
      </c>
      <c r="H7" s="906" t="s">
        <v>466</v>
      </c>
      <c r="I7" s="879"/>
      <c r="J7" s="927">
        <f>D8-D9</f>
        <v>0.01158999995823251</v>
      </c>
      <c r="K7" s="3">
        <f>61324080.4094654/1000</f>
        <v>61324.0804094654</v>
      </c>
      <c r="L7" s="3">
        <f>55766244/1000</f>
        <v>55766.244</v>
      </c>
      <c r="M7" s="3">
        <f>50330575/1000</f>
        <v>50330.575</v>
      </c>
      <c r="T7" s="1272">
        <v>61324.11240946544</v>
      </c>
    </row>
    <row r="8" spans="1:20" ht="15">
      <c r="A8" s="7" t="s">
        <v>445</v>
      </c>
      <c r="B8" s="8" t="s">
        <v>37</v>
      </c>
      <c r="C8" s="953" t="s">
        <v>40</v>
      </c>
      <c r="D8" s="907">
        <v>61324.0804094654</v>
      </c>
      <c r="E8" s="907">
        <v>43165.8</v>
      </c>
      <c r="F8" s="907">
        <v>44145.3</v>
      </c>
      <c r="G8" s="908">
        <f>55766244/1000</f>
        <v>55766.244</v>
      </c>
      <c r="H8" s="908">
        <f>50330575/1000</f>
        <v>50330.575</v>
      </c>
      <c r="I8" s="879"/>
      <c r="J8" s="927">
        <f>G8-G9</f>
        <v>0.049995250556094106</v>
      </c>
      <c r="K8" s="944">
        <f>D9-K7</f>
        <v>-0.01158999995823251</v>
      </c>
      <c r="T8" s="1272">
        <v>61324.0804094654</v>
      </c>
    </row>
    <row r="9" spans="1:21" ht="15">
      <c r="A9" s="9" t="s">
        <v>38</v>
      </c>
      <c r="B9" s="10" t="s">
        <v>37</v>
      </c>
      <c r="C9" s="954" t="s">
        <v>40</v>
      </c>
      <c r="D9" s="907">
        <f>D15+D30+D45+D50+D86+D94+D99+D108+D140+D147+D10</f>
        <v>61324.06881946544</v>
      </c>
      <c r="E9" s="907">
        <v>43165.84</v>
      </c>
      <c r="F9" s="907">
        <v>44145.27</v>
      </c>
      <c r="G9" s="907">
        <f>G15+G30+G45+G50+G86+G94+G99+G108+G140+G147</f>
        <v>55766.19400474944</v>
      </c>
      <c r="H9" s="907">
        <f>H15+H30+H45+H50+H86+H94+H99+H108+H140+H147</f>
        <v>50330.62500474945</v>
      </c>
      <c r="I9" s="879"/>
      <c r="L9" s="3">
        <v>61324.002409465436</v>
      </c>
      <c r="T9" s="1272">
        <v>61324.09240946543</v>
      </c>
      <c r="U9" s="1285">
        <v>61323.97381946544</v>
      </c>
    </row>
    <row r="10" spans="1:21" ht="48" customHeight="1">
      <c r="A10" s="888" t="s">
        <v>639</v>
      </c>
      <c r="B10" s="884" t="s">
        <v>640</v>
      </c>
      <c r="C10" s="958" t="s">
        <v>40</v>
      </c>
      <c r="D10" s="916">
        <f>D11</f>
        <v>155.20000000000002</v>
      </c>
      <c r="E10" s="910">
        <f>E11+E19+E22</f>
        <v>0</v>
      </c>
      <c r="F10" s="910">
        <f>F11+F19+F22</f>
        <v>0</v>
      </c>
      <c r="G10" s="910">
        <f>G11</f>
        <v>0</v>
      </c>
      <c r="H10" s="910">
        <f>H11</f>
        <v>0</v>
      </c>
      <c r="I10" s="879"/>
      <c r="J10" s="929"/>
      <c r="K10" s="3">
        <v>155.168</v>
      </c>
      <c r="L10" s="3">
        <v>155.20000000000002</v>
      </c>
      <c r="N10" s="3">
        <v>0</v>
      </c>
      <c r="T10" s="1272">
        <v>155.20000000000002</v>
      </c>
      <c r="U10" s="1285">
        <v>155.20000000000002</v>
      </c>
    </row>
    <row r="11" spans="1:21" ht="75" customHeight="1">
      <c r="A11" s="887" t="s">
        <v>641</v>
      </c>
      <c r="B11" s="1037" t="s">
        <v>642</v>
      </c>
      <c r="C11" s="959" t="s">
        <v>40</v>
      </c>
      <c r="D11" s="924">
        <f>D12</f>
        <v>155.20000000000002</v>
      </c>
      <c r="E11" s="913"/>
      <c r="F11" s="913"/>
      <c r="G11" s="942">
        <f>G12</f>
        <v>0</v>
      </c>
      <c r="H11" s="942">
        <f>H12</f>
        <v>0</v>
      </c>
      <c r="I11" s="879"/>
      <c r="J11" s="929"/>
      <c r="K11" s="3">
        <v>155.168</v>
      </c>
      <c r="L11" s="3">
        <v>155.20000000000002</v>
      </c>
      <c r="N11" s="3">
        <v>0</v>
      </c>
      <c r="T11" s="1272">
        <v>155.20000000000002</v>
      </c>
      <c r="U11" s="1285">
        <v>155.20000000000002</v>
      </c>
    </row>
    <row r="12" spans="1:21" ht="72.75" customHeight="1">
      <c r="A12" s="25" t="s">
        <v>643</v>
      </c>
      <c r="B12" s="15" t="s">
        <v>642</v>
      </c>
      <c r="C12" s="960" t="s">
        <v>40</v>
      </c>
      <c r="D12" s="917">
        <f>D13</f>
        <v>155.20000000000002</v>
      </c>
      <c r="E12" s="913"/>
      <c r="F12" s="913"/>
      <c r="G12" s="913">
        <f>G14</f>
        <v>0</v>
      </c>
      <c r="H12" s="913">
        <f>H14</f>
        <v>0</v>
      </c>
      <c r="I12" s="879"/>
      <c r="J12" s="929"/>
      <c r="K12" s="3">
        <v>155.168</v>
      </c>
      <c r="L12" s="3">
        <v>155.20000000000002</v>
      </c>
      <c r="N12" s="3">
        <v>0</v>
      </c>
      <c r="T12" s="1272">
        <v>155.20000000000002</v>
      </c>
      <c r="U12" s="1285">
        <v>155.20000000000002</v>
      </c>
    </row>
    <row r="13" spans="1:21" ht="21" customHeight="1">
      <c r="A13" s="1038" t="s">
        <v>45</v>
      </c>
      <c r="B13" s="15" t="s">
        <v>642</v>
      </c>
      <c r="C13" s="1039">
        <v>800</v>
      </c>
      <c r="D13" s="1040">
        <f>D14</f>
        <v>155.20000000000002</v>
      </c>
      <c r="E13" s="912">
        <f>E14</f>
        <v>0</v>
      </c>
      <c r="F13" s="912">
        <f>F14</f>
        <v>0</v>
      </c>
      <c r="G13" s="912">
        <f>G14</f>
        <v>0</v>
      </c>
      <c r="H13" s="912">
        <f>H14</f>
        <v>0</v>
      </c>
      <c r="I13" s="879"/>
      <c r="J13" s="929"/>
      <c r="K13" s="3">
        <v>155.168</v>
      </c>
      <c r="L13" s="3">
        <v>155.20000000000002</v>
      </c>
      <c r="N13" s="3">
        <v>0</v>
      </c>
      <c r="T13" s="1272">
        <v>155.20000000000002</v>
      </c>
      <c r="U13" s="1285">
        <v>155.20000000000002</v>
      </c>
    </row>
    <row r="14" spans="1:21" ht="22.5" customHeight="1">
      <c r="A14" s="1041" t="s">
        <v>79</v>
      </c>
      <c r="B14" s="15" t="s">
        <v>642</v>
      </c>
      <c r="C14" s="1042">
        <v>811</v>
      </c>
      <c r="D14" s="1043">
        <f>'Проект на 20-22г отраб.с ДФ '!V265/1000+'Проект на 20-22г отраб.с ДФ '!X265/1000+0.032</f>
        <v>155.20000000000002</v>
      </c>
      <c r="E14" s="912"/>
      <c r="F14" s="912"/>
      <c r="G14" s="912">
        <f>'Проект на 20-22г отраб.с ДФ '!Z289/1000</f>
        <v>0</v>
      </c>
      <c r="H14" s="912">
        <f>'Проект на 20-22г отраб.с ДФ '!AA289/1000</f>
        <v>0</v>
      </c>
      <c r="I14" s="879"/>
      <c r="J14" s="929"/>
      <c r="K14" s="3">
        <v>155.168</v>
      </c>
      <c r="L14" s="3">
        <v>155.20000000000002</v>
      </c>
      <c r="N14" s="3">
        <v>0</v>
      </c>
      <c r="T14" s="1272">
        <v>155.20000000000002</v>
      </c>
      <c r="U14" s="1285">
        <v>155.20000000000002</v>
      </c>
    </row>
    <row r="15" spans="1:21" ht="48" customHeight="1">
      <c r="A15" s="895" t="s">
        <v>467</v>
      </c>
      <c r="B15" s="896" t="s">
        <v>39</v>
      </c>
      <c r="C15" s="955" t="s">
        <v>40</v>
      </c>
      <c r="D15" s="910">
        <f>D16+D23+0.02</f>
        <v>16278.006000000001</v>
      </c>
      <c r="E15" s="910">
        <f>E16+E24+E27</f>
        <v>0</v>
      </c>
      <c r="F15" s="910">
        <f>F16+F24+F27</f>
        <v>0</v>
      </c>
      <c r="G15" s="910">
        <f>G16+G23</f>
        <v>12264.01</v>
      </c>
      <c r="H15" s="910">
        <f>H16+H23</f>
        <v>10764.01</v>
      </c>
      <c r="I15" s="879"/>
      <c r="J15" s="929"/>
      <c r="K15" s="3">
        <v>16277.986</v>
      </c>
      <c r="L15" s="3">
        <v>16277.986</v>
      </c>
      <c r="N15" s="3">
        <v>10764.01</v>
      </c>
      <c r="T15" s="1272">
        <v>16277.986</v>
      </c>
      <c r="U15" s="1285">
        <v>16278.006000000001</v>
      </c>
    </row>
    <row r="16" spans="1:21" ht="37.5" customHeight="1">
      <c r="A16" s="881" t="s">
        <v>496</v>
      </c>
      <c r="B16" s="1044" t="s">
        <v>489</v>
      </c>
      <c r="C16" s="963" t="s">
        <v>40</v>
      </c>
      <c r="D16" s="942">
        <f>D17+D20</f>
        <v>16267.986</v>
      </c>
      <c r="E16" s="942"/>
      <c r="F16" s="942"/>
      <c r="G16" s="942">
        <f>G17+G20</f>
        <v>10854.01</v>
      </c>
      <c r="H16" s="942">
        <f>H17+H20</f>
        <v>8254.01</v>
      </c>
      <c r="I16" s="879"/>
      <c r="J16" s="940"/>
      <c r="K16" s="3">
        <v>16267.986</v>
      </c>
      <c r="L16" s="3">
        <v>16267.986</v>
      </c>
      <c r="N16" s="3">
        <v>8254.01</v>
      </c>
      <c r="T16" s="1272">
        <v>16267.986</v>
      </c>
      <c r="U16" s="1285">
        <v>16267.986</v>
      </c>
    </row>
    <row r="17" spans="1:21" ht="55.5" customHeight="1">
      <c r="A17" s="9" t="s">
        <v>633</v>
      </c>
      <c r="B17" s="17" t="s">
        <v>488</v>
      </c>
      <c r="C17" s="954" t="s">
        <v>40</v>
      </c>
      <c r="D17" s="913">
        <f>D19</f>
        <v>14799.394</v>
      </c>
      <c r="E17" s="913"/>
      <c r="F17" s="913"/>
      <c r="G17" s="913">
        <f>G19</f>
        <v>8254.01</v>
      </c>
      <c r="H17" s="913">
        <f>H19</f>
        <v>8254.01</v>
      </c>
      <c r="I17" s="879"/>
      <c r="J17" s="1015"/>
      <c r="K17" s="3">
        <v>14799.394</v>
      </c>
      <c r="L17" s="3">
        <v>14799.394</v>
      </c>
      <c r="N17" s="3">
        <v>8254.01</v>
      </c>
      <c r="T17" s="1272">
        <v>14799.394</v>
      </c>
      <c r="U17" s="1285">
        <v>14799.394</v>
      </c>
    </row>
    <row r="18" spans="1:21" ht="21" customHeight="1">
      <c r="A18" s="946" t="s">
        <v>41</v>
      </c>
      <c r="B18" s="14" t="s">
        <v>468</v>
      </c>
      <c r="C18" s="956">
        <v>500</v>
      </c>
      <c r="D18" s="912">
        <f>D19</f>
        <v>14799.394</v>
      </c>
      <c r="E18" s="912">
        <f>E19</f>
        <v>0</v>
      </c>
      <c r="F18" s="912">
        <f>F19</f>
        <v>0</v>
      </c>
      <c r="G18" s="912">
        <f>G19</f>
        <v>8254.01</v>
      </c>
      <c r="H18" s="912">
        <f>H19</f>
        <v>8254.01</v>
      </c>
      <c r="I18" s="879"/>
      <c r="J18" s="940"/>
      <c r="K18" s="3">
        <v>14799.394</v>
      </c>
      <c r="L18" s="3">
        <v>14799.394</v>
      </c>
      <c r="N18" s="3">
        <v>8254.01</v>
      </c>
      <c r="T18" s="1272">
        <v>14799.394</v>
      </c>
      <c r="U18" s="1285">
        <v>14799.394</v>
      </c>
    </row>
    <row r="19" spans="1:21" ht="22.5" customHeight="1">
      <c r="A19" s="16" t="s">
        <v>43</v>
      </c>
      <c r="B19" s="14" t="s">
        <v>468</v>
      </c>
      <c r="C19" s="956" t="s">
        <v>44</v>
      </c>
      <c r="D19" s="912">
        <f>('Проект на 20-22г отраб.с ДФ '!V295+'Проект на 20-22г отраб.с ДФ '!V296)/1000</f>
        <v>14799.394</v>
      </c>
      <c r="E19" s="912"/>
      <c r="F19" s="912"/>
      <c r="G19" s="912">
        <f>'Проект на 20-22г отраб.с ДФ '!Z295/1000</f>
        <v>8254.01</v>
      </c>
      <c r="H19" s="912">
        <f>'Проект на 20-22г отраб.с ДФ '!AA295/1000</f>
        <v>8254.01</v>
      </c>
      <c r="I19" s="879"/>
      <c r="J19" s="940"/>
      <c r="K19" s="3">
        <v>14799.394</v>
      </c>
      <c r="L19" s="3">
        <v>14799.394</v>
      </c>
      <c r="N19" s="3">
        <v>8254.01</v>
      </c>
      <c r="T19" s="1272">
        <v>14799.394</v>
      </c>
      <c r="U19" s="1285">
        <v>14799.394</v>
      </c>
    </row>
    <row r="20" spans="1:21" ht="78">
      <c r="A20" s="1016" t="s">
        <v>632</v>
      </c>
      <c r="B20" s="17" t="s">
        <v>587</v>
      </c>
      <c r="C20" s="954" t="s">
        <v>40</v>
      </c>
      <c r="D20" s="913">
        <f>D21</f>
        <v>1468.592</v>
      </c>
      <c r="E20" s="913"/>
      <c r="F20" s="913"/>
      <c r="G20" s="913">
        <f>G21</f>
        <v>2600</v>
      </c>
      <c r="H20" s="913">
        <f>H21</f>
        <v>0</v>
      </c>
      <c r="I20" s="879"/>
      <c r="J20" s="1015"/>
      <c r="K20" s="3">
        <v>1468.592</v>
      </c>
      <c r="L20" s="3">
        <v>1468.592</v>
      </c>
      <c r="N20" s="3">
        <v>0</v>
      </c>
      <c r="T20" s="1272">
        <v>1468.592</v>
      </c>
      <c r="U20" s="1285">
        <v>1468.592</v>
      </c>
    </row>
    <row r="21" spans="1:21" ht="15">
      <c r="A21" s="13" t="s">
        <v>41</v>
      </c>
      <c r="B21" s="18" t="s">
        <v>587</v>
      </c>
      <c r="C21" s="957">
        <v>500</v>
      </c>
      <c r="D21" s="915">
        <f>D22</f>
        <v>1468.592</v>
      </c>
      <c r="E21" s="915"/>
      <c r="F21" s="915"/>
      <c r="G21" s="915">
        <f>G22</f>
        <v>2600</v>
      </c>
      <c r="H21" s="915">
        <f>H22</f>
        <v>0</v>
      </c>
      <c r="I21" s="879"/>
      <c r="J21" s="1017"/>
      <c r="K21" s="3">
        <v>1468.592</v>
      </c>
      <c r="L21" s="3">
        <v>1468.592</v>
      </c>
      <c r="N21" s="3">
        <v>0</v>
      </c>
      <c r="T21" s="1272">
        <v>1468.592</v>
      </c>
      <c r="U21" s="1285">
        <v>1468.592</v>
      </c>
    </row>
    <row r="22" spans="1:21" ht="15">
      <c r="A22" s="13" t="s">
        <v>43</v>
      </c>
      <c r="B22" s="18" t="s">
        <v>587</v>
      </c>
      <c r="C22" s="957">
        <v>540</v>
      </c>
      <c r="D22" s="915">
        <f>('Проект на 20-22г отраб.с ДФ '!V268+'Проект на 20-22г отраб.с ДФ '!V294)/1000</f>
        <v>1468.592</v>
      </c>
      <c r="E22" s="915"/>
      <c r="F22" s="915"/>
      <c r="G22" s="915">
        <f>'Проект на 20-22г отраб.с ДФ '!Z268/1000</f>
        <v>2600</v>
      </c>
      <c r="H22" s="915">
        <v>0</v>
      </c>
      <c r="I22" s="879"/>
      <c r="J22" s="1017"/>
      <c r="K22" s="3">
        <v>1468.592</v>
      </c>
      <c r="L22" s="3">
        <v>1468.592</v>
      </c>
      <c r="N22" s="3">
        <v>0</v>
      </c>
      <c r="T22" s="1272">
        <v>1468.592</v>
      </c>
      <c r="U22" s="1285">
        <v>1468.592</v>
      </c>
    </row>
    <row r="23" spans="1:21" ht="21" customHeight="1">
      <c r="A23" s="881" t="s">
        <v>490</v>
      </c>
      <c r="B23" s="1044" t="s">
        <v>491</v>
      </c>
      <c r="C23" s="963" t="s">
        <v>40</v>
      </c>
      <c r="D23" s="942">
        <f>D24</f>
        <v>10</v>
      </c>
      <c r="E23" s="942"/>
      <c r="F23" s="942"/>
      <c r="G23" s="942">
        <f>G24+G27</f>
        <v>1410</v>
      </c>
      <c r="H23" s="942">
        <f>H24+H27</f>
        <v>2510</v>
      </c>
      <c r="I23" s="879"/>
      <c r="J23" s="1017"/>
      <c r="K23" s="3">
        <v>10</v>
      </c>
      <c r="L23" s="3">
        <v>10</v>
      </c>
      <c r="N23" s="3">
        <v>2510</v>
      </c>
      <c r="T23" s="1272">
        <v>10</v>
      </c>
      <c r="U23" s="1285">
        <v>10</v>
      </c>
    </row>
    <row r="24" spans="1:21" ht="54" customHeight="1">
      <c r="A24" s="9" t="s">
        <v>492</v>
      </c>
      <c r="B24" s="17" t="s">
        <v>493</v>
      </c>
      <c r="C24" s="954" t="s">
        <v>40</v>
      </c>
      <c r="D24" s="913">
        <f>D25</f>
        <v>10</v>
      </c>
      <c r="E24" s="913"/>
      <c r="F24" s="913"/>
      <c r="G24" s="913">
        <f>G25</f>
        <v>10</v>
      </c>
      <c r="H24" s="913">
        <f>H25</f>
        <v>10</v>
      </c>
      <c r="I24" s="879"/>
      <c r="J24" s="940"/>
      <c r="K24" s="3">
        <v>10</v>
      </c>
      <c r="L24" s="3">
        <v>10</v>
      </c>
      <c r="N24" s="3">
        <v>10</v>
      </c>
      <c r="T24" s="1272">
        <v>10</v>
      </c>
      <c r="U24" s="1285">
        <v>10</v>
      </c>
    </row>
    <row r="25" spans="1:21" ht="21.75" customHeight="1">
      <c r="A25" s="13" t="s">
        <v>45</v>
      </c>
      <c r="B25" s="18" t="s">
        <v>493</v>
      </c>
      <c r="C25" s="957">
        <v>800</v>
      </c>
      <c r="D25" s="915">
        <f>D26</f>
        <v>10</v>
      </c>
      <c r="E25" s="915"/>
      <c r="F25" s="915"/>
      <c r="G25" s="915">
        <f>G26</f>
        <v>10</v>
      </c>
      <c r="H25" s="915">
        <f>H26</f>
        <v>10</v>
      </c>
      <c r="I25" s="879"/>
      <c r="J25" s="940"/>
      <c r="K25" s="3">
        <v>10</v>
      </c>
      <c r="L25" s="3">
        <v>10</v>
      </c>
      <c r="N25" s="3">
        <v>10</v>
      </c>
      <c r="T25" s="1272">
        <v>10</v>
      </c>
      <c r="U25" s="1285">
        <v>10</v>
      </c>
    </row>
    <row r="26" spans="1:21" ht="20.25" customHeight="1">
      <c r="A26" s="13" t="s">
        <v>46</v>
      </c>
      <c r="B26" s="18" t="s">
        <v>493</v>
      </c>
      <c r="C26" s="957">
        <v>870</v>
      </c>
      <c r="D26" s="915">
        <f>'Проект на 20-22г отраб.с ДФ '!V64/1000</f>
        <v>10</v>
      </c>
      <c r="E26" s="915"/>
      <c r="F26" s="915"/>
      <c r="G26" s="915">
        <f>'Проект на 20-22г отраб.с ДФ '!Z64/1000</f>
        <v>10</v>
      </c>
      <c r="H26" s="915">
        <f>'Проект на 20-22г отраб.с ДФ '!AA64/1000</f>
        <v>10</v>
      </c>
      <c r="I26" s="879"/>
      <c r="J26" s="940"/>
      <c r="K26" s="3">
        <v>10</v>
      </c>
      <c r="L26" s="3">
        <v>10</v>
      </c>
      <c r="N26" s="3">
        <v>10</v>
      </c>
      <c r="T26" s="1272">
        <v>10</v>
      </c>
      <c r="U26" s="1285">
        <v>10</v>
      </c>
    </row>
    <row r="27" spans="1:21" ht="46.5">
      <c r="A27" s="9" t="s">
        <v>495</v>
      </c>
      <c r="B27" s="17" t="s">
        <v>494</v>
      </c>
      <c r="C27" s="954" t="s">
        <v>40</v>
      </c>
      <c r="D27" s="913">
        <v>0</v>
      </c>
      <c r="E27" s="913"/>
      <c r="F27" s="913"/>
      <c r="G27" s="913">
        <f>G28</f>
        <v>1400</v>
      </c>
      <c r="H27" s="913">
        <f>H28</f>
        <v>2500</v>
      </c>
      <c r="I27" s="879"/>
      <c r="J27" s="940"/>
      <c r="K27" s="3">
        <v>0</v>
      </c>
      <c r="L27" s="3">
        <v>0</v>
      </c>
      <c r="N27" s="3">
        <v>2500</v>
      </c>
      <c r="T27" s="1272">
        <v>0</v>
      </c>
      <c r="U27" s="1285">
        <v>0</v>
      </c>
    </row>
    <row r="28" spans="1:21" ht="15">
      <c r="A28" s="13" t="s">
        <v>45</v>
      </c>
      <c r="B28" s="18" t="s">
        <v>494</v>
      </c>
      <c r="C28" s="957">
        <v>800</v>
      </c>
      <c r="D28" s="915">
        <v>0</v>
      </c>
      <c r="E28" s="915"/>
      <c r="F28" s="915"/>
      <c r="G28" s="915">
        <f>'Проект на 20-22г отраб.с ДФ '!Z151/1000</f>
        <v>1400</v>
      </c>
      <c r="H28" s="915">
        <f>H29</f>
        <v>2500</v>
      </c>
      <c r="I28" s="879"/>
      <c r="J28" s="940"/>
      <c r="K28" s="3">
        <v>0</v>
      </c>
      <c r="L28" s="3">
        <v>0</v>
      </c>
      <c r="N28" s="3">
        <v>2500</v>
      </c>
      <c r="T28" s="1272">
        <v>0</v>
      </c>
      <c r="U28" s="1285">
        <v>0</v>
      </c>
    </row>
    <row r="29" spans="1:21" ht="15">
      <c r="A29" s="13" t="s">
        <v>47</v>
      </c>
      <c r="B29" s="18" t="s">
        <v>494</v>
      </c>
      <c r="C29" s="957">
        <v>870</v>
      </c>
      <c r="D29" s="915">
        <v>0</v>
      </c>
      <c r="E29" s="915"/>
      <c r="F29" s="915"/>
      <c r="G29" s="915">
        <f>G28</f>
        <v>1400</v>
      </c>
      <c r="H29" s="915">
        <f>'Проект на 20-22г отраб.с ДФ '!AA151/1000</f>
        <v>2500</v>
      </c>
      <c r="I29" s="879"/>
      <c r="J29" s="940"/>
      <c r="K29" s="3">
        <v>0</v>
      </c>
      <c r="L29" s="3">
        <v>0</v>
      </c>
      <c r="N29" s="3">
        <v>2500</v>
      </c>
      <c r="T29" s="1272">
        <v>0</v>
      </c>
      <c r="U29" s="1285">
        <v>0</v>
      </c>
    </row>
    <row r="30" spans="1:21" ht="30" customHeight="1">
      <c r="A30" s="894" t="s">
        <v>470</v>
      </c>
      <c r="B30" s="893" t="s">
        <v>48</v>
      </c>
      <c r="C30" s="958" t="s">
        <v>40</v>
      </c>
      <c r="D30" s="916">
        <f>D32+D42+D39+0.025</f>
        <v>9134.112074</v>
      </c>
      <c r="E30" s="916" t="e">
        <f>E32+E42+E39+#REF!</f>
        <v>#REF!</v>
      </c>
      <c r="F30" s="916" t="e">
        <f>F32+F42+F39+#REF!</f>
        <v>#REF!</v>
      </c>
      <c r="G30" s="916">
        <f>G32+G42+G39</f>
        <v>9293.032044</v>
      </c>
      <c r="H30" s="916">
        <f>H32+H42+H39</f>
        <v>9293.032044</v>
      </c>
      <c r="I30" s="898"/>
      <c r="J30" s="928"/>
      <c r="K30" s="3">
        <v>9134.087074000001</v>
      </c>
      <c r="L30" s="916">
        <v>9134.087074000001</v>
      </c>
      <c r="N30" s="3">
        <v>9293.032044</v>
      </c>
      <c r="T30" s="1272">
        <v>9134.087074000001</v>
      </c>
      <c r="U30" s="1285">
        <v>9134.087074000001</v>
      </c>
    </row>
    <row r="31" spans="1:21" ht="32.25" customHeight="1">
      <c r="A31" s="881" t="s">
        <v>533</v>
      </c>
      <c r="B31" s="947" t="s">
        <v>534</v>
      </c>
      <c r="C31" s="959"/>
      <c r="D31" s="924">
        <f>D30</f>
        <v>9134.112074</v>
      </c>
      <c r="E31" s="924"/>
      <c r="F31" s="924"/>
      <c r="G31" s="924">
        <f>G30</f>
        <v>9293.032044</v>
      </c>
      <c r="H31" s="924">
        <f>H30</f>
        <v>9293.032044</v>
      </c>
      <c r="I31" s="898"/>
      <c r="J31" s="928"/>
      <c r="K31" s="3">
        <v>9134.087074000001</v>
      </c>
      <c r="L31" s="924">
        <v>9134.087074000001</v>
      </c>
      <c r="N31" s="3">
        <v>9293.032044</v>
      </c>
      <c r="T31" s="1272">
        <v>9134.087074000001</v>
      </c>
      <c r="U31" s="1285">
        <v>9134.087074000001</v>
      </c>
    </row>
    <row r="32" spans="1:21" ht="47.25" customHeight="1">
      <c r="A32" s="9" t="s">
        <v>532</v>
      </c>
      <c r="B32" s="20" t="s">
        <v>471</v>
      </c>
      <c r="C32" s="960" t="s">
        <v>40</v>
      </c>
      <c r="D32" s="917">
        <f>D33+D35+D37</f>
        <v>8193.395820000002</v>
      </c>
      <c r="E32" s="917" t="e">
        <f>E33+E35+E37</f>
        <v>#REF!</v>
      </c>
      <c r="F32" s="917" t="e">
        <f>F33+F35+F37</f>
        <v>#REF!</v>
      </c>
      <c r="G32" s="917">
        <f>G33+G35+G37</f>
        <v>8615.50079</v>
      </c>
      <c r="H32" s="917">
        <f>H33+H35+H37</f>
        <v>8615.50079</v>
      </c>
      <c r="I32" s="879"/>
      <c r="J32" s="928"/>
      <c r="K32" s="3">
        <v>8193.395820000002</v>
      </c>
      <c r="L32" s="917">
        <v>8193.395820000002</v>
      </c>
      <c r="M32" s="1259">
        <f>L32+L39</f>
        <v>8456.555820000001</v>
      </c>
      <c r="N32" s="3">
        <v>8615.50079</v>
      </c>
      <c r="T32" s="1272">
        <v>8193.395820000002</v>
      </c>
      <c r="U32" s="1285">
        <v>8193.395820000002</v>
      </c>
    </row>
    <row r="33" spans="1:21" ht="57.75" customHeight="1">
      <c r="A33" s="21" t="s">
        <v>49</v>
      </c>
      <c r="B33" s="22" t="s">
        <v>471</v>
      </c>
      <c r="C33" s="956" t="s">
        <v>50</v>
      </c>
      <c r="D33" s="918">
        <f>D34</f>
        <v>5877.36142</v>
      </c>
      <c r="E33" s="919"/>
      <c r="F33" s="919"/>
      <c r="G33" s="918">
        <f>G34</f>
        <v>5660.05869</v>
      </c>
      <c r="H33" s="918">
        <f>H34</f>
        <v>5660.05869</v>
      </c>
      <c r="I33" s="879"/>
      <c r="J33" s="928"/>
      <c r="K33" s="3">
        <v>5877.36142</v>
      </c>
      <c r="L33" s="1258">
        <v>5877.36142</v>
      </c>
      <c r="N33" s="3">
        <v>5660.05869</v>
      </c>
      <c r="T33" s="1272">
        <v>5877.36142</v>
      </c>
      <c r="U33" s="1285">
        <v>5877.36142</v>
      </c>
    </row>
    <row r="34" spans="1:21" ht="24" customHeight="1">
      <c r="A34" s="13" t="s">
        <v>51</v>
      </c>
      <c r="B34" s="22" t="s">
        <v>471</v>
      </c>
      <c r="C34" s="956" t="s">
        <v>52</v>
      </c>
      <c r="D34" s="918">
        <f>('Проект на 20-22г отраб.с ДФ '!V382+'Проект на 20-22г отраб.с ДФ '!V384+'Проект на 20-22г отраб.с ДФ '!X382+'Проект на 20-22г отраб.с ДФ '!X385)/1000</f>
        <v>5877.36142</v>
      </c>
      <c r="E34" s="919"/>
      <c r="F34" s="919"/>
      <c r="G34" s="918">
        <f>('Проект на 20-22г отраб.с ДФ '!Z381+'Проект на 20-22г отраб.с ДФ '!Z383)/1000</f>
        <v>5660.05869</v>
      </c>
      <c r="H34" s="918">
        <f>('Проект на 20-22г отраб.с ДФ '!AA381+'Проект на 20-22г отраб.с ДФ '!AA384)/1000</f>
        <v>5660.05869</v>
      </c>
      <c r="I34" s="879"/>
      <c r="J34" s="928"/>
      <c r="K34" s="3">
        <v>5877.36142</v>
      </c>
      <c r="L34" s="1258">
        <v>5877.36142</v>
      </c>
      <c r="M34" s="3">
        <v>5877.36142</v>
      </c>
      <c r="N34" s="3">
        <v>5660.05869</v>
      </c>
      <c r="T34" s="1272">
        <v>5877.36142</v>
      </c>
      <c r="U34" s="1285">
        <v>5877.36142</v>
      </c>
    </row>
    <row r="35" spans="1:21" ht="15">
      <c r="A35" s="23" t="s">
        <v>53</v>
      </c>
      <c r="B35" s="22" t="s">
        <v>471</v>
      </c>
      <c r="C35" s="961" t="s">
        <v>54</v>
      </c>
      <c r="D35" s="918">
        <f>D36</f>
        <v>2313.0344000000005</v>
      </c>
      <c r="E35" s="923"/>
      <c r="F35" s="923"/>
      <c r="G35" s="948">
        <f>G36</f>
        <v>2955.4421</v>
      </c>
      <c r="H35" s="918">
        <f>H36</f>
        <v>2955.4421</v>
      </c>
      <c r="I35" s="879"/>
      <c r="J35" s="928"/>
      <c r="K35" s="3">
        <v>2313.0344000000005</v>
      </c>
      <c r="L35" s="1258">
        <v>2313.0344000000005</v>
      </c>
      <c r="N35" s="3">
        <v>2955.4421</v>
      </c>
      <c r="T35" s="1272">
        <v>2313.0344000000005</v>
      </c>
      <c r="U35" s="1285">
        <v>2313.0344000000005</v>
      </c>
    </row>
    <row r="36" spans="1:21" ht="15">
      <c r="A36" s="23" t="s">
        <v>55</v>
      </c>
      <c r="B36" s="22" t="s">
        <v>471</v>
      </c>
      <c r="C36" s="961" t="s">
        <v>56</v>
      </c>
      <c r="D36" s="918">
        <f>('Проект на 20-22г отраб.с ДФ '!V433+'Проект на 20-22г отраб.с ДФ '!X433)/1000</f>
        <v>2313.0344000000005</v>
      </c>
      <c r="E36" s="923"/>
      <c r="F36" s="923"/>
      <c r="G36" s="948">
        <f>'Проект на 20-22г отраб.с ДФ '!AM425/1000</f>
        <v>2955.4421</v>
      </c>
      <c r="H36" s="918">
        <f>('Проект на 20-22г отраб.с ДФ '!AA388+'Проект на 20-22г отраб.с ДФ '!AA395+'Проект на 20-22г отраб.с ДФ '!AA405+'Проект на 20-22г отраб.с ДФ '!AA412)/1000</f>
        <v>2955.4421</v>
      </c>
      <c r="I36" s="879"/>
      <c r="J36" s="928"/>
      <c r="K36" s="3">
        <v>2313.0344000000005</v>
      </c>
      <c r="L36" s="1258">
        <v>2313.0344000000005</v>
      </c>
      <c r="N36" s="3">
        <v>2955.4421</v>
      </c>
      <c r="T36" s="1272">
        <v>2313.0344000000005</v>
      </c>
      <c r="U36" s="1285">
        <v>2313.0344000000005</v>
      </c>
    </row>
    <row r="37" spans="1:21" ht="15">
      <c r="A37" s="23" t="s">
        <v>45</v>
      </c>
      <c r="B37" s="22" t="s">
        <v>471</v>
      </c>
      <c r="C37" s="961" t="s">
        <v>57</v>
      </c>
      <c r="D37" s="918">
        <f>D38</f>
        <v>3</v>
      </c>
      <c r="E37" s="918" t="e">
        <f>E38</f>
        <v>#REF!</v>
      </c>
      <c r="F37" s="918" t="e">
        <f>F38</f>
        <v>#REF!</v>
      </c>
      <c r="G37" s="948">
        <f>G38</f>
        <v>0</v>
      </c>
      <c r="H37" s="918">
        <f>H38</f>
        <v>0</v>
      </c>
      <c r="I37" s="879"/>
      <c r="J37" s="928"/>
      <c r="K37" s="3">
        <v>3</v>
      </c>
      <c r="L37" s="1258">
        <v>3</v>
      </c>
      <c r="N37" s="3">
        <v>0</v>
      </c>
      <c r="T37" s="1272">
        <v>3</v>
      </c>
      <c r="U37" s="1285">
        <v>3</v>
      </c>
    </row>
    <row r="38" spans="1:21" ht="15">
      <c r="A38" s="24" t="s">
        <v>58</v>
      </c>
      <c r="B38" s="22" t="s">
        <v>471</v>
      </c>
      <c r="C38" s="961" t="s">
        <v>59</v>
      </c>
      <c r="D38" s="918">
        <f>('Проект на 20-22г отраб.с ДФ '!V416+'Проект на 20-22г отраб.с ДФ '!V417)/1000</f>
        <v>3</v>
      </c>
      <c r="E38" s="918" t="e">
        <f>#REF!+#REF!+#REF!</f>
        <v>#REF!</v>
      </c>
      <c r="F38" s="918" t="e">
        <f>#REF!+#REF!+#REF!</f>
        <v>#REF!</v>
      </c>
      <c r="G38" s="948">
        <v>0</v>
      </c>
      <c r="H38" s="918">
        <v>0</v>
      </c>
      <c r="I38" s="879"/>
      <c r="J38" s="928"/>
      <c r="K38" s="3">
        <v>3</v>
      </c>
      <c r="L38" s="1258">
        <v>3</v>
      </c>
      <c r="N38" s="3">
        <v>0</v>
      </c>
      <c r="T38" s="1272">
        <v>3</v>
      </c>
      <c r="U38" s="1285">
        <v>3</v>
      </c>
    </row>
    <row r="39" spans="1:21" ht="46.5">
      <c r="A39" s="9" t="s">
        <v>720</v>
      </c>
      <c r="B39" s="12" t="s">
        <v>684</v>
      </c>
      <c r="C39" s="960" t="s">
        <v>40</v>
      </c>
      <c r="D39" s="917">
        <f>D40</f>
        <v>263.16</v>
      </c>
      <c r="E39" s="917">
        <f>E40</f>
        <v>0</v>
      </c>
      <c r="F39" s="917">
        <f>F40</f>
        <v>0</v>
      </c>
      <c r="G39" s="917">
        <f>G40</f>
        <v>0</v>
      </c>
      <c r="H39" s="917">
        <f>H40</f>
        <v>0</v>
      </c>
      <c r="I39" s="879"/>
      <c r="J39" s="928"/>
      <c r="K39" s="3">
        <v>263.16</v>
      </c>
      <c r="L39" s="1257">
        <v>263.16</v>
      </c>
      <c r="N39" s="3">
        <v>0</v>
      </c>
      <c r="T39" s="1272">
        <v>263.16</v>
      </c>
      <c r="U39" s="1285">
        <v>263.16</v>
      </c>
    </row>
    <row r="40" spans="1:21" ht="15">
      <c r="A40" s="13" t="s">
        <v>53</v>
      </c>
      <c r="B40" s="15" t="s">
        <v>684</v>
      </c>
      <c r="C40" s="956" t="s">
        <v>54</v>
      </c>
      <c r="D40" s="918">
        <f>D41</f>
        <v>263.16</v>
      </c>
      <c r="E40" s="923"/>
      <c r="F40" s="923"/>
      <c r="G40" s="918">
        <f>G41</f>
        <v>0</v>
      </c>
      <c r="H40" s="918">
        <f>H41</f>
        <v>0</v>
      </c>
      <c r="I40" s="879"/>
      <c r="J40" s="928"/>
      <c r="K40" s="3">
        <v>263.16</v>
      </c>
      <c r="L40" s="1258">
        <v>263.16</v>
      </c>
      <c r="N40" s="3">
        <v>0</v>
      </c>
      <c r="T40" s="1272">
        <v>263.16</v>
      </c>
      <c r="U40" s="1285">
        <v>263.16</v>
      </c>
    </row>
    <row r="41" spans="1:21" ht="15">
      <c r="A41" s="13" t="s">
        <v>55</v>
      </c>
      <c r="B41" s="15" t="s">
        <v>684</v>
      </c>
      <c r="C41" s="956" t="s">
        <v>56</v>
      </c>
      <c r="D41" s="918">
        <f>('Проект на 20-22г отраб.с ДФ '!V444+'Проект на 20-22г отраб.с ДФ '!X444)/1000</f>
        <v>263.16</v>
      </c>
      <c r="E41" s="923"/>
      <c r="F41" s="923"/>
      <c r="G41" s="918">
        <v>0</v>
      </c>
      <c r="H41" s="918">
        <v>0</v>
      </c>
      <c r="I41" s="879"/>
      <c r="J41" s="928"/>
      <c r="K41" s="3">
        <v>263.16</v>
      </c>
      <c r="L41" s="1258">
        <v>263.16</v>
      </c>
      <c r="N41" s="3">
        <v>0</v>
      </c>
      <c r="T41" s="1272">
        <v>263.16</v>
      </c>
      <c r="U41" s="1285">
        <v>263.16</v>
      </c>
    </row>
    <row r="42" spans="1:21" ht="46.5" customHeight="1">
      <c r="A42" s="9" t="s">
        <v>535</v>
      </c>
      <c r="B42" s="20" t="s">
        <v>471</v>
      </c>
      <c r="C42" s="960" t="s">
        <v>40</v>
      </c>
      <c r="D42" s="917">
        <f>D43</f>
        <v>677.531254</v>
      </c>
      <c r="E42" s="920"/>
      <c r="F42" s="920"/>
      <c r="G42" s="917">
        <f>G43</f>
        <v>677.531254</v>
      </c>
      <c r="H42" s="917">
        <f>H43</f>
        <v>677.531254</v>
      </c>
      <c r="I42" s="879"/>
      <c r="J42" s="928"/>
      <c r="K42" s="3">
        <v>677.531254</v>
      </c>
      <c r="L42" s="1257">
        <v>677.531254</v>
      </c>
      <c r="N42" s="3">
        <v>677.531254</v>
      </c>
      <c r="T42" s="1272">
        <v>677.531254</v>
      </c>
      <c r="U42" s="1285">
        <v>677.531254</v>
      </c>
    </row>
    <row r="43" spans="1:21" ht="46.5">
      <c r="A43" s="21" t="s">
        <v>49</v>
      </c>
      <c r="B43" s="22" t="s">
        <v>471</v>
      </c>
      <c r="C43" s="956" t="s">
        <v>50</v>
      </c>
      <c r="D43" s="918">
        <f>D44</f>
        <v>677.531254</v>
      </c>
      <c r="E43" s="923"/>
      <c r="F43" s="923"/>
      <c r="G43" s="918">
        <f>G44</f>
        <v>677.531254</v>
      </c>
      <c r="H43" s="918">
        <f>H44</f>
        <v>677.531254</v>
      </c>
      <c r="I43" s="879"/>
      <c r="J43" s="928"/>
      <c r="K43" s="3">
        <v>677.531254</v>
      </c>
      <c r="L43" s="1258">
        <v>677.531254</v>
      </c>
      <c r="N43" s="3">
        <v>677.531254</v>
      </c>
      <c r="T43" s="1272">
        <v>677.531254</v>
      </c>
      <c r="U43" s="1285">
        <v>677.531254</v>
      </c>
    </row>
    <row r="44" spans="1:21" ht="30.75" customHeight="1">
      <c r="A44" s="13" t="s">
        <v>51</v>
      </c>
      <c r="B44" s="22" t="s">
        <v>471</v>
      </c>
      <c r="C44" s="956" t="s">
        <v>52</v>
      </c>
      <c r="D44" s="918">
        <f>('Проект на 20-22г отраб.с ДФ '!V447+'Проект на 20-22г отраб.с ДФ '!V448)/1000</f>
        <v>677.531254</v>
      </c>
      <c r="E44" s="923"/>
      <c r="F44" s="923"/>
      <c r="G44" s="918">
        <f>'Проект на 20-22г отраб.с ДФ '!Z448/1000</f>
        <v>677.531254</v>
      </c>
      <c r="H44" s="918">
        <f>'Проект на 20-22г отраб.с ДФ '!AA448/1000</f>
        <v>677.531254</v>
      </c>
      <c r="I44" s="879"/>
      <c r="J44" s="928"/>
      <c r="K44" s="3">
        <v>677.531254</v>
      </c>
      <c r="L44" s="1258">
        <v>677.531254</v>
      </c>
      <c r="N44" s="3">
        <v>677.531254</v>
      </c>
      <c r="T44" s="1272">
        <v>677.531254</v>
      </c>
      <c r="U44" s="1285">
        <v>677.531254</v>
      </c>
    </row>
    <row r="45" spans="1:21" ht="37.5" customHeight="1">
      <c r="A45" s="888" t="s">
        <v>480</v>
      </c>
      <c r="B45" s="884" t="s">
        <v>62</v>
      </c>
      <c r="C45" s="958" t="s">
        <v>40</v>
      </c>
      <c r="D45" s="916">
        <f>D46+0.03</f>
        <v>946.70104</v>
      </c>
      <c r="E45" s="916" t="e">
        <f>E46+#REF!</f>
        <v>#REF!</v>
      </c>
      <c r="F45" s="916" t="e">
        <f>F46+#REF!</f>
        <v>#REF!</v>
      </c>
      <c r="G45" s="916">
        <f>G46</f>
        <v>827.376</v>
      </c>
      <c r="H45" s="916">
        <f>H46</f>
        <v>827.376</v>
      </c>
      <c r="I45" s="879"/>
      <c r="J45" s="929"/>
      <c r="K45" s="3">
        <v>946.6710400000001</v>
      </c>
      <c r="L45" s="3">
        <v>946.6710400000001</v>
      </c>
      <c r="N45" s="3">
        <v>827.376</v>
      </c>
      <c r="T45" s="1272">
        <v>946.6710400000001</v>
      </c>
      <c r="U45" s="1285">
        <v>946.6710400000001</v>
      </c>
    </row>
    <row r="46" spans="1:21" ht="85.5" customHeight="1">
      <c r="A46" s="887" t="s">
        <v>706</v>
      </c>
      <c r="B46" s="882" t="s">
        <v>525</v>
      </c>
      <c r="C46" s="959" t="s">
        <v>40</v>
      </c>
      <c r="D46" s="924">
        <f>D47</f>
        <v>946.6710400000001</v>
      </c>
      <c r="E46" s="924">
        <f aca="true" t="shared" si="0" ref="D46:F47">E47</f>
        <v>0</v>
      </c>
      <c r="F46" s="924">
        <f t="shared" si="0"/>
        <v>0</v>
      </c>
      <c r="G46" s="924">
        <f aca="true" t="shared" si="1" ref="G46:H48">G47</f>
        <v>827.376</v>
      </c>
      <c r="H46" s="924">
        <f t="shared" si="1"/>
        <v>827.376</v>
      </c>
      <c r="I46" s="879"/>
      <c r="J46" s="1139"/>
      <c r="K46" s="3">
        <v>946.6710400000001</v>
      </c>
      <c r="L46" s="3">
        <v>946.6710400000001</v>
      </c>
      <c r="N46" s="3">
        <v>827.376</v>
      </c>
      <c r="T46" s="1272">
        <v>946.6710400000001</v>
      </c>
      <c r="U46" s="1285">
        <v>946.6710400000001</v>
      </c>
    </row>
    <row r="47" spans="1:21" ht="70.5" customHeight="1">
      <c r="A47" s="25" t="s">
        <v>707</v>
      </c>
      <c r="B47" s="12" t="s">
        <v>526</v>
      </c>
      <c r="C47" s="960" t="s">
        <v>40</v>
      </c>
      <c r="D47" s="917">
        <f t="shared" si="0"/>
        <v>946.6710400000001</v>
      </c>
      <c r="E47" s="917">
        <f t="shared" si="0"/>
        <v>0</v>
      </c>
      <c r="F47" s="917">
        <f t="shared" si="0"/>
        <v>0</v>
      </c>
      <c r="G47" s="917">
        <f t="shared" si="1"/>
        <v>827.376</v>
      </c>
      <c r="H47" s="917">
        <f t="shared" si="1"/>
        <v>827.376</v>
      </c>
      <c r="I47" s="879"/>
      <c r="J47" s="1139"/>
      <c r="K47" s="3">
        <v>946.6710400000001</v>
      </c>
      <c r="L47" s="3">
        <v>946.6710400000001</v>
      </c>
      <c r="N47" s="3">
        <v>827.376</v>
      </c>
      <c r="T47" s="1272">
        <v>946.6710400000001</v>
      </c>
      <c r="U47" s="1285">
        <v>946.6710400000001</v>
      </c>
    </row>
    <row r="48" spans="1:21" ht="15">
      <c r="A48" s="13" t="s">
        <v>53</v>
      </c>
      <c r="B48" s="15" t="s">
        <v>526</v>
      </c>
      <c r="C48" s="956" t="s">
        <v>54</v>
      </c>
      <c r="D48" s="918">
        <f>D49</f>
        <v>946.6710400000001</v>
      </c>
      <c r="E48" s="923"/>
      <c r="F48" s="923"/>
      <c r="G48" s="918">
        <f t="shared" si="1"/>
        <v>827.376</v>
      </c>
      <c r="H48" s="918">
        <f t="shared" si="1"/>
        <v>827.376</v>
      </c>
      <c r="I48" s="879"/>
      <c r="J48" s="929"/>
      <c r="K48" s="3">
        <v>946.6710400000001</v>
      </c>
      <c r="L48" s="3">
        <v>946.6710400000001</v>
      </c>
      <c r="N48" s="3">
        <v>827.376</v>
      </c>
      <c r="T48" s="1272">
        <v>946.6710400000001</v>
      </c>
      <c r="U48" s="1285">
        <v>946.6710400000001</v>
      </c>
    </row>
    <row r="49" spans="1:21" ht="15">
      <c r="A49" s="13" t="s">
        <v>55</v>
      </c>
      <c r="B49" s="15" t="s">
        <v>526</v>
      </c>
      <c r="C49" s="956" t="s">
        <v>56</v>
      </c>
      <c r="D49" s="918">
        <f>('Проект на 20-22г отраб.с ДФ '!V189+'Проект на 20-22г отраб.с ДФ '!X189)/1000</f>
        <v>946.6710400000001</v>
      </c>
      <c r="E49" s="923"/>
      <c r="F49" s="923"/>
      <c r="G49" s="918">
        <f>('Проект на 20-22г отраб.с ДФ '!Z181+'Проект на 20-22г отраб.с ДФ '!Z182+'Проект на 20-22г отраб.с ДФ '!Z184+'Проект на 20-22г отраб.с ДФ '!Z185+'Проект на 20-22г отраб.с ДФ '!Z187)/1000+('Проект на 20-22г отраб.с ДФ '!Z186+'Проект на 20-22г отраб.с ДФ '!Z180)/1000</f>
        <v>827.376</v>
      </c>
      <c r="H49" s="918">
        <f>('Проект на 20-22г отраб.с ДФ '!AA181+'Проект на 20-22г отраб.с ДФ '!AA182+'Проект на 20-22г отраб.с ДФ '!AA184+'Проект на 20-22г отраб.с ДФ '!AA185+'Проект на 20-22г отраб.с ДФ '!AA187)/1000+('Проект на 20-22г отраб.с ДФ '!AA180+'Проект на 20-22г отраб.с ДФ '!AA186)/1000</f>
        <v>827.376</v>
      </c>
      <c r="I49" s="879"/>
      <c r="J49" s="929"/>
      <c r="K49" s="3">
        <v>946.6710400000001</v>
      </c>
      <c r="L49" s="3">
        <v>946.6710400000001</v>
      </c>
      <c r="N49" s="3">
        <v>827.376</v>
      </c>
      <c r="T49" s="1272">
        <v>946.6710400000001</v>
      </c>
      <c r="U49" s="1285">
        <v>946.6710400000001</v>
      </c>
    </row>
    <row r="50" spans="1:21" ht="45.75" customHeight="1">
      <c r="A50" s="883" t="s">
        <v>481</v>
      </c>
      <c r="B50" s="884" t="s">
        <v>63</v>
      </c>
      <c r="C50" s="958" t="s">
        <v>40</v>
      </c>
      <c r="D50" s="916">
        <f>D51+0.04</f>
        <v>8945.298998604001</v>
      </c>
      <c r="E50" s="916" t="e">
        <f>E51</f>
        <v>#REF!</v>
      </c>
      <c r="F50" s="916" t="e">
        <f>F51</f>
        <v>#REF!</v>
      </c>
      <c r="G50" s="916">
        <f>G51</f>
        <v>8455.168203812</v>
      </c>
      <c r="H50" s="916">
        <f>H51</f>
        <v>8854.793003812</v>
      </c>
      <c r="I50" s="879"/>
      <c r="J50" s="927">
        <f>D53+D57+D60+D64+D70+D76+D79+D83</f>
        <v>8945.258998604</v>
      </c>
      <c r="K50" s="944">
        <v>8945.297588603999</v>
      </c>
      <c r="L50" s="944">
        <v>8945.297588603999</v>
      </c>
      <c r="N50" s="3">
        <v>8854.793003812</v>
      </c>
      <c r="T50" s="1272">
        <v>8945.297588603999</v>
      </c>
      <c r="U50" s="1285">
        <v>8945.258998604</v>
      </c>
    </row>
    <row r="51" spans="1:21" ht="30" customHeight="1">
      <c r="A51" s="881" t="s">
        <v>635</v>
      </c>
      <c r="B51" s="882" t="s">
        <v>485</v>
      </c>
      <c r="C51" s="959" t="s">
        <v>40</v>
      </c>
      <c r="D51" s="924">
        <f>D53+D57+D60+D64+D70+D76+D83+D79</f>
        <v>8945.258998604</v>
      </c>
      <c r="E51" s="924" t="e">
        <f>E53+E57+E60+E64+E70+E76+E83+E79</f>
        <v>#REF!</v>
      </c>
      <c r="F51" s="924" t="e">
        <f>F53+F57+F60+F64+F70+F76+F83+F79</f>
        <v>#REF!</v>
      </c>
      <c r="G51" s="924">
        <f>G53+G57+G60+G64+G70+G76+G83+G79</f>
        <v>8455.168203812</v>
      </c>
      <c r="H51" s="924">
        <f>H53+H57+H60+H64+H70+H76+H83+H79</f>
        <v>8854.793003812</v>
      </c>
      <c r="I51" s="879"/>
      <c r="K51" s="3">
        <v>8945.297588603999</v>
      </c>
      <c r="L51" s="3">
        <v>8945.297588603999</v>
      </c>
      <c r="N51" s="3">
        <v>8854.793003812</v>
      </c>
      <c r="S51" s="3">
        <v>8945.258998604</v>
      </c>
      <c r="T51" s="1272">
        <v>8945.297588603999</v>
      </c>
      <c r="U51" s="1285">
        <v>8945.258998604</v>
      </c>
    </row>
    <row r="52" spans="1:9" ht="21.75" customHeight="1" hidden="1">
      <c r="A52" s="881"/>
      <c r="B52" s="882"/>
      <c r="C52" s="959"/>
      <c r="D52" s="924"/>
      <c r="E52" s="965" t="e">
        <f aca="true" t="shared" si="2" ref="D52:H53">E54</f>
        <v>#REF!</v>
      </c>
      <c r="F52" s="965" t="e">
        <f t="shared" si="2"/>
        <v>#REF!</v>
      </c>
      <c r="G52" s="924"/>
      <c r="H52" s="924"/>
      <c r="I52" s="879"/>
    </row>
    <row r="53" spans="1:21" ht="87.75" customHeight="1">
      <c r="A53" s="9" t="s">
        <v>636</v>
      </c>
      <c r="B53" s="12" t="s">
        <v>486</v>
      </c>
      <c r="C53" s="960" t="s">
        <v>40</v>
      </c>
      <c r="D53" s="917">
        <f t="shared" si="2"/>
        <v>1418.6</v>
      </c>
      <c r="E53" s="922" t="e">
        <f t="shared" si="2"/>
        <v>#REF!</v>
      </c>
      <c r="F53" s="922" t="e">
        <f t="shared" si="2"/>
        <v>#REF!</v>
      </c>
      <c r="G53" s="917">
        <f t="shared" si="2"/>
        <v>1418.6340052080004</v>
      </c>
      <c r="H53" s="917">
        <f t="shared" si="2"/>
        <v>1418.6340052080004</v>
      </c>
      <c r="I53" s="879"/>
      <c r="K53" s="3">
        <v>1418.634</v>
      </c>
      <c r="L53" s="3">
        <v>1418.634</v>
      </c>
      <c r="N53" s="3">
        <v>1418.6340052080004</v>
      </c>
      <c r="T53" s="1272">
        <v>1418.634</v>
      </c>
      <c r="U53" s="1285">
        <v>1418.6</v>
      </c>
    </row>
    <row r="54" spans="1:21" ht="46.5">
      <c r="A54" s="13" t="s">
        <v>60</v>
      </c>
      <c r="B54" s="15" t="s">
        <v>486</v>
      </c>
      <c r="C54" s="956" t="s">
        <v>50</v>
      </c>
      <c r="D54" s="918">
        <f>D55</f>
        <v>1418.6</v>
      </c>
      <c r="E54" s="921" t="e">
        <f>E55</f>
        <v>#REF!</v>
      </c>
      <c r="F54" s="921" t="e">
        <f>F55</f>
        <v>#REF!</v>
      </c>
      <c r="G54" s="918">
        <f>G55</f>
        <v>1418.6340052080004</v>
      </c>
      <c r="H54" s="918">
        <f>H55</f>
        <v>1418.6340052080004</v>
      </c>
      <c r="I54" s="898"/>
      <c r="K54" s="3">
        <v>1418.634</v>
      </c>
      <c r="L54" s="3">
        <v>1418.634</v>
      </c>
      <c r="N54" s="3">
        <v>1418.6340052080004</v>
      </c>
      <c r="T54" s="1272">
        <v>1418.634</v>
      </c>
      <c r="U54" s="1285">
        <v>1418.6</v>
      </c>
    </row>
    <row r="55" spans="1:21" ht="21.75" customHeight="1">
      <c r="A55" s="13" t="s">
        <v>64</v>
      </c>
      <c r="B55" s="15" t="s">
        <v>486</v>
      </c>
      <c r="C55" s="956" t="s">
        <v>65</v>
      </c>
      <c r="D55" s="918">
        <f>'Проект на 20-22г отраб.с ДФ '!V28/1000-0.034</f>
        <v>1418.6</v>
      </c>
      <c r="E55" s="921" t="e">
        <f>#REF!+#REF!</f>
        <v>#REF!</v>
      </c>
      <c r="F55" s="921" t="e">
        <f>#REF!+#REF!</f>
        <v>#REF!</v>
      </c>
      <c r="G55" s="918">
        <f>'Проект на 20-22г отраб.с ДФ '!Z28/1000</f>
        <v>1418.6340052080004</v>
      </c>
      <c r="H55" s="918">
        <f>'Проект на 20-22г отраб.с ДФ '!AA28/1000</f>
        <v>1418.6340052080004</v>
      </c>
      <c r="I55" s="879"/>
      <c r="K55" s="3">
        <v>1418.634</v>
      </c>
      <c r="L55" s="3">
        <v>1418.634</v>
      </c>
      <c r="N55" s="3">
        <v>1418.6340052080004</v>
      </c>
      <c r="T55" s="1272">
        <v>1418.634</v>
      </c>
      <c r="U55" s="1285">
        <v>1418.6</v>
      </c>
    </row>
    <row r="56" spans="1:21" ht="15" hidden="1">
      <c r="A56" s="881"/>
      <c r="B56" s="882"/>
      <c r="C56" s="959"/>
      <c r="D56" s="924">
        <f>D57</f>
        <v>6555.588998604</v>
      </c>
      <c r="E56" s="924" t="e">
        <f aca="true" t="shared" si="3" ref="D56:H58">E57</f>
        <v>#REF!</v>
      </c>
      <c r="F56" s="924" t="e">
        <f t="shared" si="3"/>
        <v>#REF!</v>
      </c>
      <c r="G56" s="924">
        <f t="shared" si="3"/>
        <v>6448.464198604001</v>
      </c>
      <c r="H56" s="924">
        <f t="shared" si="3"/>
        <v>6621.588998604</v>
      </c>
      <c r="I56" s="879"/>
      <c r="K56" s="880">
        <v>6555.588998604</v>
      </c>
      <c r="L56" s="3">
        <v>6555.588998604</v>
      </c>
      <c r="N56" s="3">
        <v>6621.588998604</v>
      </c>
      <c r="T56" s="1272">
        <v>6555.588998604</v>
      </c>
      <c r="U56" s="1285">
        <v>6555.588998604</v>
      </c>
    </row>
    <row r="57" spans="1:21" ht="98.25" customHeight="1">
      <c r="A57" s="9" t="s">
        <v>637</v>
      </c>
      <c r="B57" s="12" t="s">
        <v>546</v>
      </c>
      <c r="C57" s="960" t="s">
        <v>40</v>
      </c>
      <c r="D57" s="917">
        <f t="shared" si="3"/>
        <v>6555.588998604</v>
      </c>
      <c r="E57" s="917" t="e">
        <f t="shared" si="3"/>
        <v>#REF!</v>
      </c>
      <c r="F57" s="917" t="e">
        <f t="shared" si="3"/>
        <v>#REF!</v>
      </c>
      <c r="G57" s="917">
        <f t="shared" si="3"/>
        <v>6448.464198604001</v>
      </c>
      <c r="H57" s="917">
        <f t="shared" si="3"/>
        <v>6621.588998604</v>
      </c>
      <c r="I57" s="879"/>
      <c r="K57" s="880">
        <v>6555.588998604</v>
      </c>
      <c r="L57" s="3">
        <v>6555.588998604</v>
      </c>
      <c r="N57" s="3">
        <v>6621.588998604</v>
      </c>
      <c r="T57" s="1272">
        <v>6555.588998604</v>
      </c>
      <c r="U57" s="1285">
        <v>6555.588998604</v>
      </c>
    </row>
    <row r="58" spans="1:21" ht="46.5">
      <c r="A58" s="13" t="s">
        <v>60</v>
      </c>
      <c r="B58" s="15" t="s">
        <v>546</v>
      </c>
      <c r="C58" s="956" t="s">
        <v>50</v>
      </c>
      <c r="D58" s="918">
        <f>D59</f>
        <v>6555.588998604</v>
      </c>
      <c r="E58" s="921" t="e">
        <f t="shared" si="3"/>
        <v>#REF!</v>
      </c>
      <c r="F58" s="921" t="e">
        <f t="shared" si="3"/>
        <v>#REF!</v>
      </c>
      <c r="G58" s="918">
        <f t="shared" si="3"/>
        <v>6448.464198604001</v>
      </c>
      <c r="H58" s="918">
        <f t="shared" si="3"/>
        <v>6621.588998604</v>
      </c>
      <c r="I58" s="879"/>
      <c r="K58" s="3">
        <v>6555.588998604</v>
      </c>
      <c r="L58" s="3">
        <v>6555.588998604</v>
      </c>
      <c r="N58" s="3">
        <v>6621.588998604</v>
      </c>
      <c r="T58" s="1272">
        <v>6555.588998604</v>
      </c>
      <c r="U58" s="1285">
        <v>6555.588998604</v>
      </c>
    </row>
    <row r="59" spans="1:21" ht="21.75" customHeight="1">
      <c r="A59" s="13" t="s">
        <v>64</v>
      </c>
      <c r="B59" s="15" t="s">
        <v>546</v>
      </c>
      <c r="C59" s="956" t="s">
        <v>65</v>
      </c>
      <c r="D59" s="918">
        <f>('Проект на 20-22г отраб.с ДФ '!V41+'Проект на 20-22г отраб.с ДФ '!X41)/1000</f>
        <v>6555.588998604</v>
      </c>
      <c r="E59" s="921" t="e">
        <f>#REF!+#REF!</f>
        <v>#REF!</v>
      </c>
      <c r="F59" s="921" t="e">
        <f>#REF!+#REF!</f>
        <v>#REF!</v>
      </c>
      <c r="G59" s="918">
        <f>('Проект на 20-22г отраб.с ДФ '!Z41)/1000</f>
        <v>6448.464198604001</v>
      </c>
      <c r="H59" s="918">
        <f>'Проект на 20-22г отраб.с ДФ '!AA41/1000</f>
        <v>6621.588998604</v>
      </c>
      <c r="I59" s="879"/>
      <c r="K59" s="3">
        <v>6555.588998604</v>
      </c>
      <c r="L59" s="3">
        <v>6555.588998604</v>
      </c>
      <c r="N59" s="3">
        <v>6621.588998604</v>
      </c>
      <c r="T59" s="1272">
        <v>6555.588998604</v>
      </c>
      <c r="U59" s="1285">
        <v>6555.588998604</v>
      </c>
    </row>
    <row r="60" spans="1:21" ht="95.25" customHeight="1">
      <c r="A60" s="28" t="s">
        <v>638</v>
      </c>
      <c r="B60" s="20" t="s">
        <v>547</v>
      </c>
      <c r="C60" s="960" t="s">
        <v>40</v>
      </c>
      <c r="D60" s="917">
        <f>D61</f>
        <v>211.4</v>
      </c>
      <c r="E60" s="922"/>
      <c r="F60" s="922"/>
      <c r="G60" s="917">
        <f>G61</f>
        <v>0</v>
      </c>
      <c r="H60" s="917">
        <f>H61</f>
        <v>0</v>
      </c>
      <c r="I60" s="879"/>
      <c r="K60" s="3">
        <v>211.4</v>
      </c>
      <c r="L60" s="3">
        <v>211.4</v>
      </c>
      <c r="N60" s="3">
        <v>0</v>
      </c>
      <c r="T60" s="1272">
        <v>211.4</v>
      </c>
      <c r="U60" s="1285">
        <v>211.4</v>
      </c>
    </row>
    <row r="61" spans="1:21" ht="15">
      <c r="A61" s="13" t="s">
        <v>41</v>
      </c>
      <c r="B61" s="15" t="s">
        <v>547</v>
      </c>
      <c r="C61" s="956" t="s">
        <v>42</v>
      </c>
      <c r="D61" s="918">
        <f>D62</f>
        <v>211.4</v>
      </c>
      <c r="E61" s="921" t="e">
        <f>E62</f>
        <v>#REF!</v>
      </c>
      <c r="F61" s="921" t="e">
        <f>F62</f>
        <v>#REF!</v>
      </c>
      <c r="G61" s="918">
        <f>G62</f>
        <v>0</v>
      </c>
      <c r="H61" s="918">
        <f>H62</f>
        <v>0</v>
      </c>
      <c r="I61" s="879"/>
      <c r="K61" s="3">
        <v>211.4</v>
      </c>
      <c r="L61" s="3">
        <v>211.4</v>
      </c>
      <c r="N61" s="3">
        <v>0</v>
      </c>
      <c r="T61" s="1272">
        <v>211.4</v>
      </c>
      <c r="U61" s="1285">
        <v>211.4</v>
      </c>
    </row>
    <row r="62" spans="1:21" ht="15">
      <c r="A62" s="13" t="s">
        <v>43</v>
      </c>
      <c r="B62" s="15" t="s">
        <v>547</v>
      </c>
      <c r="C62" s="956" t="s">
        <v>44</v>
      </c>
      <c r="D62" s="918">
        <f>'Проект на 20-22г отраб.с ДФ '!V59/1000</f>
        <v>211.4</v>
      </c>
      <c r="E62" s="921" t="e">
        <f>'[1]#ССЫЛКА'!P33</f>
        <v>#REF!</v>
      </c>
      <c r="F62" s="921" t="e">
        <f>'[1]#ССЫЛКА'!R33</f>
        <v>#REF!</v>
      </c>
      <c r="G62" s="918">
        <v>0</v>
      </c>
      <c r="H62" s="918">
        <v>0</v>
      </c>
      <c r="I62" s="879"/>
      <c r="K62" s="3">
        <v>211.4</v>
      </c>
      <c r="L62" s="3">
        <v>211.4</v>
      </c>
      <c r="N62" s="3">
        <v>0</v>
      </c>
      <c r="T62" s="1272">
        <v>211.4</v>
      </c>
      <c r="U62" s="1285">
        <v>211.4</v>
      </c>
    </row>
    <row r="63" spans="1:21" ht="15" hidden="1">
      <c r="A63" s="9"/>
      <c r="B63" s="20" t="s">
        <v>485</v>
      </c>
      <c r="C63" s="960"/>
      <c r="D63" s="917">
        <f>D64</f>
        <v>323.69999999999993</v>
      </c>
      <c r="E63" s="917">
        <f>E64</f>
        <v>0</v>
      </c>
      <c r="F63" s="917">
        <f>F64</f>
        <v>0</v>
      </c>
      <c r="G63" s="917">
        <f>G64</f>
        <v>0</v>
      </c>
      <c r="H63" s="917">
        <f>H64</f>
        <v>220</v>
      </c>
      <c r="I63" s="879"/>
      <c r="K63" s="3">
        <v>323.70458999999994</v>
      </c>
      <c r="L63" s="3">
        <v>323.70458999999994</v>
      </c>
      <c r="N63" s="3">
        <v>220</v>
      </c>
      <c r="T63" s="1272">
        <v>323.70458999999994</v>
      </c>
      <c r="U63" s="1285">
        <v>323.69999999999993</v>
      </c>
    </row>
    <row r="64" spans="1:21" ht="60.75" customHeight="1">
      <c r="A64" s="28" t="s">
        <v>518</v>
      </c>
      <c r="B64" s="20" t="s">
        <v>550</v>
      </c>
      <c r="C64" s="960" t="s">
        <v>40</v>
      </c>
      <c r="D64" s="917">
        <f>D65+D67</f>
        <v>323.69999999999993</v>
      </c>
      <c r="E64" s="917">
        <f>E65+E67</f>
        <v>0</v>
      </c>
      <c r="F64" s="917">
        <f>F65+F67</f>
        <v>0</v>
      </c>
      <c r="G64" s="917">
        <f>G65+G67</f>
        <v>0</v>
      </c>
      <c r="H64" s="917">
        <f>H65+H67</f>
        <v>220</v>
      </c>
      <c r="I64" s="879"/>
      <c r="K64" s="3">
        <v>323.70458999999994</v>
      </c>
      <c r="L64" s="3">
        <v>323.70458999999994</v>
      </c>
      <c r="N64" s="3">
        <v>220</v>
      </c>
      <c r="T64" s="1272">
        <v>323.70458999999994</v>
      </c>
      <c r="U64" s="1285">
        <v>323.69999999999993</v>
      </c>
    </row>
    <row r="65" spans="1:21" ht="15">
      <c r="A65" s="13" t="s">
        <v>53</v>
      </c>
      <c r="B65" s="22" t="s">
        <v>550</v>
      </c>
      <c r="C65" s="956" t="s">
        <v>54</v>
      </c>
      <c r="D65" s="918">
        <f>D66</f>
        <v>308.69999999999993</v>
      </c>
      <c r="E65" s="921"/>
      <c r="F65" s="921"/>
      <c r="G65" s="918">
        <f>G66</f>
        <v>0</v>
      </c>
      <c r="H65" s="918">
        <f>H66</f>
        <v>205</v>
      </c>
      <c r="I65" s="879"/>
      <c r="K65" s="3">
        <v>308.70458999999994</v>
      </c>
      <c r="L65" s="3">
        <v>308.70458999999994</v>
      </c>
      <c r="N65" s="3">
        <v>205</v>
      </c>
      <c r="T65" s="1272">
        <v>308.70458999999994</v>
      </c>
      <c r="U65" s="1285">
        <v>308.69999999999993</v>
      </c>
    </row>
    <row r="66" spans="1:21" ht="15">
      <c r="A66" s="13" t="s">
        <v>55</v>
      </c>
      <c r="B66" s="22" t="s">
        <v>550</v>
      </c>
      <c r="C66" s="956" t="s">
        <v>56</v>
      </c>
      <c r="D66" s="918">
        <f>('Проект на 20-22г отраб.с ДФ '!V75-'Проект на 20-22г отраб.с ДФ '!V73-'Проект на 20-22г отраб.с ДФ '!V74+'Проект на 20-22г отраб.с ДФ '!X69+'Проект на 20-22г отраб.с ДФ '!X71)/1000-0.00459</f>
        <v>308.69999999999993</v>
      </c>
      <c r="E66" s="921"/>
      <c r="F66" s="921"/>
      <c r="G66" s="918">
        <f>('Проект на 20-22г отраб.с ДФ '!Z71+'Проект на 20-22г отраб.с ДФ '!Z69)/1000</f>
        <v>0</v>
      </c>
      <c r="H66" s="918">
        <f>('Проект на 20-22г отраб.с ДФ '!AA75-'Проект на 20-22г отраб.с ДФ '!AA73-'Проект на 20-22г отраб.с ДФ '!AA74)/1000</f>
        <v>205</v>
      </c>
      <c r="I66" s="879"/>
      <c r="K66" s="3">
        <v>308.70458999999994</v>
      </c>
      <c r="L66" s="3">
        <v>308.70458999999994</v>
      </c>
      <c r="N66" s="3">
        <v>205</v>
      </c>
      <c r="T66" s="1272">
        <v>308.70458999999994</v>
      </c>
      <c r="U66" s="1285">
        <v>308.69999999999993</v>
      </c>
    </row>
    <row r="67" spans="1:21" ht="15">
      <c r="A67" s="13" t="s">
        <v>45</v>
      </c>
      <c r="B67" s="22" t="s">
        <v>550</v>
      </c>
      <c r="C67" s="956" t="s">
        <v>57</v>
      </c>
      <c r="D67" s="918">
        <f>D68</f>
        <v>15</v>
      </c>
      <c r="E67" s="918"/>
      <c r="F67" s="918"/>
      <c r="G67" s="918">
        <f>G68</f>
        <v>0</v>
      </c>
      <c r="H67" s="918">
        <f>H68</f>
        <v>15</v>
      </c>
      <c r="I67" s="879"/>
      <c r="K67" s="3">
        <v>15</v>
      </c>
      <c r="L67" s="3">
        <v>15</v>
      </c>
      <c r="N67" s="3">
        <v>15</v>
      </c>
      <c r="T67" s="1272">
        <v>15</v>
      </c>
      <c r="U67" s="1285">
        <v>15</v>
      </c>
    </row>
    <row r="68" spans="1:21" ht="15">
      <c r="A68" s="16" t="s">
        <v>58</v>
      </c>
      <c r="B68" s="22" t="s">
        <v>550</v>
      </c>
      <c r="C68" s="956" t="s">
        <v>59</v>
      </c>
      <c r="D68" s="918">
        <f>('Проект на 20-22г отраб.с ДФ '!V73+'Проект на 20-22г отраб.с ДФ '!V74)/1000</f>
        <v>15</v>
      </c>
      <c r="E68" s="918" t="e">
        <f>#REF!+#REF!</f>
        <v>#REF!</v>
      </c>
      <c r="F68" s="918" t="e">
        <f>#REF!+#REF!</f>
        <v>#REF!</v>
      </c>
      <c r="G68" s="918">
        <f>('Проект на 20-22г отраб.с ДФ '!Z74+'Проект на 20-22г отраб.с ДФ '!Z73)/1000</f>
        <v>0</v>
      </c>
      <c r="H68" s="918">
        <f>('Проект на 20-22г отраб.с ДФ '!AA73+'Проект на 20-22г отраб.с ДФ '!AA74)/1000</f>
        <v>15</v>
      </c>
      <c r="I68" s="879"/>
      <c r="K68" s="3">
        <v>15</v>
      </c>
      <c r="L68" s="3">
        <v>15</v>
      </c>
      <c r="N68" s="3">
        <v>15</v>
      </c>
      <c r="T68" s="1272">
        <v>15</v>
      </c>
      <c r="U68" s="1285">
        <v>15</v>
      </c>
    </row>
    <row r="69" spans="1:21" ht="15" hidden="1">
      <c r="A69" s="886"/>
      <c r="B69" s="882" t="s">
        <v>485</v>
      </c>
      <c r="C69" s="959"/>
      <c r="D69" s="924">
        <f>D70</f>
        <v>219</v>
      </c>
      <c r="E69" s="924" t="e">
        <f>E70</f>
        <v>#REF!</v>
      </c>
      <c r="F69" s="924" t="e">
        <f>F70</f>
        <v>#REF!</v>
      </c>
      <c r="G69" s="924">
        <f>G70</f>
        <v>221.1</v>
      </c>
      <c r="H69" s="924">
        <f>H70</f>
        <v>227.6</v>
      </c>
      <c r="I69" s="879"/>
      <c r="J69" s="1036"/>
      <c r="K69" s="3">
        <v>219</v>
      </c>
      <c r="L69" s="3">
        <v>219</v>
      </c>
      <c r="N69" s="3">
        <v>227.6</v>
      </c>
      <c r="T69" s="1272">
        <v>219</v>
      </c>
      <c r="U69" s="1285">
        <v>219</v>
      </c>
    </row>
    <row r="70" spans="1:21" ht="46.5">
      <c r="A70" s="19" t="s">
        <v>519</v>
      </c>
      <c r="B70" s="12" t="s">
        <v>549</v>
      </c>
      <c r="C70" s="960" t="s">
        <v>40</v>
      </c>
      <c r="D70" s="917">
        <f>D71+D73</f>
        <v>219</v>
      </c>
      <c r="E70" s="917" t="e">
        <f>E71+E73</f>
        <v>#REF!</v>
      </c>
      <c r="F70" s="917" t="e">
        <f>F71+F73</f>
        <v>#REF!</v>
      </c>
      <c r="G70" s="917">
        <f>G71+G73</f>
        <v>221.1</v>
      </c>
      <c r="H70" s="917">
        <f>H71+H73</f>
        <v>227.6</v>
      </c>
      <c r="I70" s="879"/>
      <c r="J70" s="1036"/>
      <c r="K70" s="3">
        <v>219</v>
      </c>
      <c r="L70" s="3">
        <v>219</v>
      </c>
      <c r="N70" s="3">
        <v>227.6</v>
      </c>
      <c r="T70" s="1272">
        <v>219</v>
      </c>
      <c r="U70" s="1285">
        <v>219</v>
      </c>
    </row>
    <row r="71" spans="1:21" ht="46.5">
      <c r="A71" s="27" t="s">
        <v>60</v>
      </c>
      <c r="B71" s="15" t="s">
        <v>549</v>
      </c>
      <c r="C71" s="956" t="s">
        <v>50</v>
      </c>
      <c r="D71" s="918">
        <f>D72</f>
        <v>219</v>
      </c>
      <c r="E71" s="921" t="e">
        <f>E72</f>
        <v>#REF!</v>
      </c>
      <c r="F71" s="921" t="e">
        <f>F72</f>
        <v>#REF!</v>
      </c>
      <c r="G71" s="918">
        <f>G72</f>
        <v>221.1</v>
      </c>
      <c r="H71" s="918">
        <f>H72</f>
        <v>227.6</v>
      </c>
      <c r="I71" s="879"/>
      <c r="J71" s="1036"/>
      <c r="K71" s="3">
        <v>219</v>
      </c>
      <c r="L71" s="3">
        <v>219</v>
      </c>
      <c r="N71" s="3">
        <v>227.6</v>
      </c>
      <c r="T71" s="1272">
        <v>219</v>
      </c>
      <c r="U71" s="1285">
        <v>219</v>
      </c>
    </row>
    <row r="72" spans="1:21" ht="15">
      <c r="A72" s="27" t="s">
        <v>64</v>
      </c>
      <c r="B72" s="15" t="s">
        <v>549</v>
      </c>
      <c r="C72" s="956" t="s">
        <v>65</v>
      </c>
      <c r="D72" s="918">
        <f>'Проект на 20-22г отраб.с ДФ '!V163/1000</f>
        <v>219</v>
      </c>
      <c r="E72" s="921" t="e">
        <f>#REF!</f>
        <v>#REF!</v>
      </c>
      <c r="F72" s="921" t="e">
        <f>#REF!</f>
        <v>#REF!</v>
      </c>
      <c r="G72" s="918">
        <f>'Проект на 20-22г отраб.с ДФ '!Z162/1000</f>
        <v>221.1</v>
      </c>
      <c r="H72" s="918">
        <f>'Проект на 20-22г отраб.с ДФ '!AA162/1000</f>
        <v>227.6</v>
      </c>
      <c r="I72" s="879"/>
      <c r="J72" s="1036"/>
      <c r="K72" s="3">
        <v>219</v>
      </c>
      <c r="L72" s="3">
        <v>219</v>
      </c>
      <c r="N72" s="3">
        <v>227.6</v>
      </c>
      <c r="T72" s="1272">
        <v>219</v>
      </c>
      <c r="U72" s="1285">
        <v>219</v>
      </c>
    </row>
    <row r="73" spans="1:21" ht="15">
      <c r="A73" s="27" t="s">
        <v>53</v>
      </c>
      <c r="B73" s="15" t="s">
        <v>549</v>
      </c>
      <c r="C73" s="956" t="s">
        <v>54</v>
      </c>
      <c r="D73" s="918">
        <f>D74</f>
        <v>0</v>
      </c>
      <c r="E73" s="921"/>
      <c r="F73" s="921"/>
      <c r="G73" s="918">
        <f>G74</f>
        <v>0</v>
      </c>
      <c r="H73" s="918">
        <f>H74</f>
        <v>0</v>
      </c>
      <c r="I73" s="879"/>
      <c r="J73" s="1036"/>
      <c r="K73" s="3">
        <v>0</v>
      </c>
      <c r="L73" s="3">
        <v>0</v>
      </c>
      <c r="N73" s="3">
        <v>0</v>
      </c>
      <c r="T73" s="1272">
        <v>0</v>
      </c>
      <c r="U73" s="1285">
        <v>0</v>
      </c>
    </row>
    <row r="74" spans="1:21" ht="15">
      <c r="A74" s="13" t="s">
        <v>55</v>
      </c>
      <c r="B74" s="15" t="s">
        <v>549</v>
      </c>
      <c r="C74" s="956" t="s">
        <v>56</v>
      </c>
      <c r="D74" s="918">
        <f>'Проект на 20-22г отраб.с ДФ '!V173/1000</f>
        <v>0</v>
      </c>
      <c r="E74" s="921"/>
      <c r="F74" s="921"/>
      <c r="G74" s="918">
        <f>'Проект на 20-22г отраб.с ДФ '!Z172/1000</f>
        <v>0</v>
      </c>
      <c r="H74" s="918">
        <f>'Проект на 20-22г отраб.с ДФ '!AA172/1000</f>
        <v>0</v>
      </c>
      <c r="I74" s="879"/>
      <c r="J74" s="1036"/>
      <c r="K74" s="3">
        <v>0</v>
      </c>
      <c r="L74" s="3">
        <v>0</v>
      </c>
      <c r="N74" s="3">
        <v>0</v>
      </c>
      <c r="T74" s="1272">
        <v>0</v>
      </c>
      <c r="U74" s="1285">
        <v>0</v>
      </c>
    </row>
    <row r="75" spans="1:21" ht="80.25" customHeight="1" hidden="1">
      <c r="A75" s="886"/>
      <c r="B75" s="882" t="s">
        <v>485</v>
      </c>
      <c r="C75" s="959"/>
      <c r="D75" s="924">
        <f>D76+D80</f>
        <v>6.970000000000001</v>
      </c>
      <c r="E75" s="924">
        <f aca="true" t="shared" si="4" ref="E75:H76">E76</f>
        <v>0</v>
      </c>
      <c r="F75" s="924">
        <f t="shared" si="4"/>
        <v>0</v>
      </c>
      <c r="G75" s="924">
        <f>G76+G80</f>
        <v>6.970000000000001</v>
      </c>
      <c r="H75" s="924">
        <f>H76+H80</f>
        <v>6.970000000000001</v>
      </c>
      <c r="I75" s="1035"/>
      <c r="J75" s="1036"/>
      <c r="K75" s="3">
        <v>6.970000000000001</v>
      </c>
      <c r="L75" s="3">
        <v>6.970000000000001</v>
      </c>
      <c r="N75" s="3">
        <v>6.970000000000001</v>
      </c>
      <c r="T75" s="1272">
        <v>6.970000000000001</v>
      </c>
      <c r="U75" s="1285">
        <v>6.970000000000001</v>
      </c>
    </row>
    <row r="76" spans="1:21" ht="93">
      <c r="A76" s="11" t="s">
        <v>523</v>
      </c>
      <c r="B76" s="12" t="s">
        <v>552</v>
      </c>
      <c r="C76" s="960" t="s">
        <v>40</v>
      </c>
      <c r="D76" s="917">
        <f>D77</f>
        <v>5.57</v>
      </c>
      <c r="E76" s="917">
        <f t="shared" si="4"/>
        <v>0</v>
      </c>
      <c r="F76" s="917">
        <f t="shared" si="4"/>
        <v>0</v>
      </c>
      <c r="G76" s="917">
        <f t="shared" si="4"/>
        <v>5.57</v>
      </c>
      <c r="H76" s="917">
        <f t="shared" si="4"/>
        <v>5.57</v>
      </c>
      <c r="I76" s="1035"/>
      <c r="J76" s="1036"/>
      <c r="K76" s="3">
        <v>5.57</v>
      </c>
      <c r="L76" s="3">
        <v>5.57</v>
      </c>
      <c r="N76" s="3">
        <v>5.57</v>
      </c>
      <c r="T76" s="1272">
        <v>5.57</v>
      </c>
      <c r="U76" s="1285">
        <v>5.57</v>
      </c>
    </row>
    <row r="77" spans="1:21" ht="15">
      <c r="A77" s="27" t="s">
        <v>53</v>
      </c>
      <c r="B77" s="15" t="s">
        <v>552</v>
      </c>
      <c r="C77" s="956" t="s">
        <v>54</v>
      </c>
      <c r="D77" s="918">
        <f>D78</f>
        <v>5.57</v>
      </c>
      <c r="E77" s="921"/>
      <c r="F77" s="921"/>
      <c r="G77" s="918">
        <f>G78</f>
        <v>5.57</v>
      </c>
      <c r="H77" s="918">
        <f>H78</f>
        <v>5.57</v>
      </c>
      <c r="I77" s="1035"/>
      <c r="J77" s="1036"/>
      <c r="K77" s="3">
        <v>5.57</v>
      </c>
      <c r="L77" s="3">
        <v>5.57</v>
      </c>
      <c r="N77" s="3">
        <v>5.57</v>
      </c>
      <c r="T77" s="1272">
        <v>5.57</v>
      </c>
      <c r="U77" s="1285">
        <v>5.57</v>
      </c>
    </row>
    <row r="78" spans="1:21" ht="15">
      <c r="A78" s="13" t="s">
        <v>55</v>
      </c>
      <c r="B78" s="15" t="s">
        <v>552</v>
      </c>
      <c r="C78" s="956" t="s">
        <v>56</v>
      </c>
      <c r="D78" s="918">
        <f>'Проект на 20-22г отраб.с ДФ '!V177/1000</f>
        <v>5.57</v>
      </c>
      <c r="E78" s="921"/>
      <c r="F78" s="921"/>
      <c r="G78" s="918">
        <f>'Проект на 20-22г отраб.с ДФ '!Z176/1000</f>
        <v>5.57</v>
      </c>
      <c r="H78" s="918">
        <f>'Проект на 20-22г отраб.с ДФ '!AA176/1000</f>
        <v>5.57</v>
      </c>
      <c r="I78" s="1035"/>
      <c r="J78" s="1036"/>
      <c r="K78" s="3">
        <v>5.57</v>
      </c>
      <c r="L78" s="3">
        <v>5.57</v>
      </c>
      <c r="N78" s="3">
        <v>5.57</v>
      </c>
      <c r="T78" s="1272">
        <v>5.57</v>
      </c>
      <c r="U78" s="1285">
        <v>5.57</v>
      </c>
    </row>
    <row r="79" spans="1:21" ht="108.75">
      <c r="A79" s="897" t="s">
        <v>524</v>
      </c>
      <c r="B79" s="12" t="s">
        <v>551</v>
      </c>
      <c r="C79" s="960" t="s">
        <v>40</v>
      </c>
      <c r="D79" s="917">
        <f aca="true" t="shared" si="5" ref="D79:H80">D80</f>
        <v>1.4</v>
      </c>
      <c r="E79" s="917" t="e">
        <f t="shared" si="5"/>
        <v>#REF!</v>
      </c>
      <c r="F79" s="917" t="e">
        <f t="shared" si="5"/>
        <v>#REF!</v>
      </c>
      <c r="G79" s="917">
        <f t="shared" si="5"/>
        <v>1.4</v>
      </c>
      <c r="H79" s="917">
        <f t="shared" si="5"/>
        <v>1.4</v>
      </c>
      <c r="I79" s="1035"/>
      <c r="J79" s="1036"/>
      <c r="K79" s="3">
        <v>1.4</v>
      </c>
      <c r="L79" s="3">
        <v>1.4</v>
      </c>
      <c r="N79" s="3">
        <v>1.4</v>
      </c>
      <c r="T79" s="1272">
        <v>1.4</v>
      </c>
      <c r="U79" s="1285">
        <v>1.4</v>
      </c>
    </row>
    <row r="80" spans="1:21" ht="15">
      <c r="A80" s="27" t="s">
        <v>53</v>
      </c>
      <c r="B80" s="15" t="s">
        <v>551</v>
      </c>
      <c r="C80" s="956" t="s">
        <v>54</v>
      </c>
      <c r="D80" s="918">
        <f t="shared" si="5"/>
        <v>1.4</v>
      </c>
      <c r="E80" s="921" t="e">
        <f t="shared" si="5"/>
        <v>#REF!</v>
      </c>
      <c r="F80" s="921" t="e">
        <f t="shared" si="5"/>
        <v>#REF!</v>
      </c>
      <c r="G80" s="918">
        <f t="shared" si="5"/>
        <v>1.4</v>
      </c>
      <c r="H80" s="918">
        <f t="shared" si="5"/>
        <v>1.4</v>
      </c>
      <c r="I80" s="1035"/>
      <c r="J80" s="1036"/>
      <c r="K80" s="3">
        <v>1.4</v>
      </c>
      <c r="L80" s="3">
        <v>1.4</v>
      </c>
      <c r="N80" s="3">
        <v>1.4</v>
      </c>
      <c r="T80" s="1272">
        <v>1.4</v>
      </c>
      <c r="U80" s="1285">
        <v>1.4</v>
      </c>
    </row>
    <row r="81" spans="1:21" ht="15">
      <c r="A81" s="13" t="s">
        <v>55</v>
      </c>
      <c r="B81" s="15" t="s">
        <v>551</v>
      </c>
      <c r="C81" s="956" t="s">
        <v>56</v>
      </c>
      <c r="D81" s="918">
        <f>'Проект на 20-22г отраб.с ДФ '!V176/1000</f>
        <v>1.4</v>
      </c>
      <c r="E81" s="921" t="e">
        <f>#REF!</f>
        <v>#REF!</v>
      </c>
      <c r="F81" s="921" t="e">
        <f>#REF!</f>
        <v>#REF!</v>
      </c>
      <c r="G81" s="918">
        <f>'Проект на 20-22г отраб.с ДФ '!Z175/1000</f>
        <v>1.4</v>
      </c>
      <c r="H81" s="918">
        <f>'Проект на 20-22г отраб.с ДФ '!AA175/1000</f>
        <v>1.4</v>
      </c>
      <c r="I81" s="1035"/>
      <c r="J81" s="1036"/>
      <c r="K81" s="3">
        <v>1.4</v>
      </c>
      <c r="L81" s="3">
        <v>1.4</v>
      </c>
      <c r="N81" s="3">
        <v>1.4</v>
      </c>
      <c r="T81" s="1272">
        <v>1.4</v>
      </c>
      <c r="U81" s="1285">
        <v>1.4</v>
      </c>
    </row>
    <row r="82" spans="1:21" ht="15" hidden="1">
      <c r="A82" s="881"/>
      <c r="B82" s="882" t="s">
        <v>485</v>
      </c>
      <c r="C82" s="966"/>
      <c r="D82" s="924">
        <f>D83</f>
        <v>210</v>
      </c>
      <c r="E82" s="965"/>
      <c r="F82" s="965"/>
      <c r="G82" s="924">
        <f aca="true" t="shared" si="6" ref="G82:H84">G83</f>
        <v>360</v>
      </c>
      <c r="H82" s="924">
        <f t="shared" si="6"/>
        <v>360</v>
      </c>
      <c r="I82" s="1035"/>
      <c r="J82" s="1036"/>
      <c r="K82" s="3">
        <v>210</v>
      </c>
      <c r="L82" s="3">
        <v>210</v>
      </c>
      <c r="N82" s="3">
        <v>360</v>
      </c>
      <c r="T82" s="1272">
        <v>210</v>
      </c>
      <c r="U82" s="1285">
        <v>210</v>
      </c>
    </row>
    <row r="83" spans="1:21" ht="46.5">
      <c r="A83" s="9" t="s">
        <v>527</v>
      </c>
      <c r="B83" s="12" t="s">
        <v>546</v>
      </c>
      <c r="C83" s="960" t="s">
        <v>40</v>
      </c>
      <c r="D83" s="917">
        <f>D84</f>
        <v>210</v>
      </c>
      <c r="E83" s="922" t="e">
        <f>E85</f>
        <v>#REF!</v>
      </c>
      <c r="F83" s="922" t="e">
        <f>F85</f>
        <v>#REF!</v>
      </c>
      <c r="G83" s="917">
        <f t="shared" si="6"/>
        <v>360</v>
      </c>
      <c r="H83" s="917">
        <f t="shared" si="6"/>
        <v>360</v>
      </c>
      <c r="I83" s="1035"/>
      <c r="J83" s="1036"/>
      <c r="K83" s="3">
        <v>210</v>
      </c>
      <c r="L83" s="3">
        <v>210</v>
      </c>
      <c r="N83" s="3">
        <v>360</v>
      </c>
      <c r="T83" s="1272">
        <v>210</v>
      </c>
      <c r="U83" s="1285">
        <v>210</v>
      </c>
    </row>
    <row r="84" spans="1:21" ht="15">
      <c r="A84" s="13" t="s">
        <v>66</v>
      </c>
      <c r="B84" s="15" t="s">
        <v>546</v>
      </c>
      <c r="C84" s="956" t="s">
        <v>67</v>
      </c>
      <c r="D84" s="918">
        <f>D85</f>
        <v>210</v>
      </c>
      <c r="E84" s="921"/>
      <c r="F84" s="921"/>
      <c r="G84" s="918">
        <f t="shared" si="6"/>
        <v>360</v>
      </c>
      <c r="H84" s="918">
        <f t="shared" si="6"/>
        <v>360</v>
      </c>
      <c r="I84" s="1035"/>
      <c r="J84" s="1036"/>
      <c r="K84" s="3">
        <v>210</v>
      </c>
      <c r="L84" s="3">
        <v>210</v>
      </c>
      <c r="N84" s="3">
        <v>360</v>
      </c>
      <c r="T84" s="1272">
        <v>210</v>
      </c>
      <c r="U84" s="1285">
        <v>210</v>
      </c>
    </row>
    <row r="85" spans="1:21" ht="15">
      <c r="A85" s="26" t="s">
        <v>68</v>
      </c>
      <c r="B85" s="15" t="s">
        <v>546</v>
      </c>
      <c r="C85" s="956" t="s">
        <v>69</v>
      </c>
      <c r="D85" s="918">
        <f>'Проект на 20-22г отраб.с ДФ '!V456/1000</f>
        <v>210</v>
      </c>
      <c r="E85" s="921" t="e">
        <f>'[1]#ССЫЛКА'!P165</f>
        <v>#REF!</v>
      </c>
      <c r="F85" s="921" t="e">
        <f>'[1]#ССЫЛКА'!R165</f>
        <v>#REF!</v>
      </c>
      <c r="G85" s="918">
        <f>'Проект на 20-22г отраб.с ДФ '!Z455/1000</f>
        <v>360</v>
      </c>
      <c r="H85" s="918">
        <f>'Проект на 20-22г отраб.с ДФ '!AA456/1000</f>
        <v>360</v>
      </c>
      <c r="I85" s="1035"/>
      <c r="J85" s="1036"/>
      <c r="K85" s="3">
        <v>210</v>
      </c>
      <c r="L85" s="3">
        <v>210</v>
      </c>
      <c r="N85" s="3">
        <v>360</v>
      </c>
      <c r="T85" s="1272">
        <v>210</v>
      </c>
      <c r="U85" s="1285">
        <v>210</v>
      </c>
    </row>
    <row r="86" spans="1:21" ht="44.25" customHeight="1">
      <c r="A86" s="883" t="s">
        <v>469</v>
      </c>
      <c r="B86" s="889" t="s">
        <v>70</v>
      </c>
      <c r="C86" s="962" t="s">
        <v>40</v>
      </c>
      <c r="D86" s="925">
        <f>D88+D91</f>
        <v>27.060000000000002</v>
      </c>
      <c r="E86" s="925" t="e">
        <f>E88+E91+#REF!</f>
        <v>#REF!</v>
      </c>
      <c r="F86" s="925" t="e">
        <f>F88+F91+#REF!</f>
        <v>#REF!</v>
      </c>
      <c r="G86" s="925">
        <f>G88+G91</f>
        <v>27.16</v>
      </c>
      <c r="H86" s="925">
        <f>H88+H91</f>
        <v>27.16</v>
      </c>
      <c r="I86" s="879"/>
      <c r="J86" s="1015"/>
      <c r="K86" s="943">
        <v>27.060000000000002</v>
      </c>
      <c r="L86" s="3">
        <v>27.060000000000002</v>
      </c>
      <c r="N86" s="3">
        <v>27.16</v>
      </c>
      <c r="T86" s="1272">
        <v>27.060000000000002</v>
      </c>
      <c r="U86" s="1285">
        <v>27.060000000000002</v>
      </c>
    </row>
    <row r="87" spans="1:11" ht="24" customHeight="1">
      <c r="A87" s="881" t="s">
        <v>498</v>
      </c>
      <c r="B87" s="941"/>
      <c r="C87" s="963" t="s">
        <v>40</v>
      </c>
      <c r="D87" s="942"/>
      <c r="E87" s="942"/>
      <c r="F87" s="942"/>
      <c r="G87" s="942"/>
      <c r="H87" s="942"/>
      <c r="I87" s="879"/>
      <c r="J87" s="1007"/>
      <c r="K87" s="943"/>
    </row>
    <row r="88" spans="1:21" ht="46.5">
      <c r="A88" s="9" t="s">
        <v>499</v>
      </c>
      <c r="B88" s="12" t="s">
        <v>71</v>
      </c>
      <c r="C88" s="960" t="s">
        <v>40</v>
      </c>
      <c r="D88" s="917">
        <f>D89</f>
        <v>13.5</v>
      </c>
      <c r="E88" s="909"/>
      <c r="F88" s="909"/>
      <c r="G88" s="917">
        <f>G89</f>
        <v>13.58</v>
      </c>
      <c r="H88" s="917">
        <f>H89</f>
        <v>13.58</v>
      </c>
      <c r="I88" s="879"/>
      <c r="J88" s="1007"/>
      <c r="K88" s="943">
        <v>13.5</v>
      </c>
      <c r="L88" s="3">
        <v>13.5</v>
      </c>
      <c r="N88" s="3">
        <v>13.58</v>
      </c>
      <c r="T88" s="1272">
        <v>13.5</v>
      </c>
      <c r="U88" s="1285">
        <v>13.5</v>
      </c>
    </row>
    <row r="89" spans="1:21" ht="15">
      <c r="A89" s="13" t="s">
        <v>53</v>
      </c>
      <c r="B89" s="15" t="s">
        <v>71</v>
      </c>
      <c r="C89" s="956" t="s">
        <v>54</v>
      </c>
      <c r="D89" s="918">
        <f>D90</f>
        <v>13.5</v>
      </c>
      <c r="E89" s="914"/>
      <c r="F89" s="914"/>
      <c r="G89" s="918">
        <f>G90</f>
        <v>13.58</v>
      </c>
      <c r="H89" s="918">
        <f>H90</f>
        <v>13.58</v>
      </c>
      <c r="I89" s="879"/>
      <c r="J89" s="1007"/>
      <c r="K89" s="943">
        <v>13.5</v>
      </c>
      <c r="L89" s="3">
        <v>13.5</v>
      </c>
      <c r="N89" s="3">
        <v>13.58</v>
      </c>
      <c r="T89" s="1272">
        <v>13.5</v>
      </c>
      <c r="U89" s="1285">
        <v>13.5</v>
      </c>
    </row>
    <row r="90" spans="1:21" ht="15">
      <c r="A90" s="13" t="s">
        <v>55</v>
      </c>
      <c r="B90" s="15" t="s">
        <v>71</v>
      </c>
      <c r="C90" s="956" t="s">
        <v>56</v>
      </c>
      <c r="D90" s="918">
        <v>13.5</v>
      </c>
      <c r="E90" s="914"/>
      <c r="F90" s="914"/>
      <c r="G90" s="918">
        <f>'Проект на 20-22г отраб.с ДФ '!Z233/1000</f>
        <v>13.58</v>
      </c>
      <c r="H90" s="918">
        <f>'Проект на 20-22г отраб.с ДФ '!AA233/1000</f>
        <v>13.58</v>
      </c>
      <c r="I90" s="879"/>
      <c r="J90" s="1007"/>
      <c r="K90" s="943">
        <v>13.5</v>
      </c>
      <c r="L90" s="3">
        <v>13.5</v>
      </c>
      <c r="N90" s="3">
        <v>13.58</v>
      </c>
      <c r="T90" s="1272">
        <v>13.5</v>
      </c>
      <c r="U90" s="1285">
        <v>13.5</v>
      </c>
    </row>
    <row r="91" spans="1:21" ht="46.5">
      <c r="A91" s="9" t="s">
        <v>500</v>
      </c>
      <c r="B91" s="12" t="s">
        <v>72</v>
      </c>
      <c r="C91" s="960" t="s">
        <v>40</v>
      </c>
      <c r="D91" s="917">
        <f>D92</f>
        <v>13.56</v>
      </c>
      <c r="E91" s="909"/>
      <c r="F91" s="909"/>
      <c r="G91" s="917">
        <f>G92</f>
        <v>13.58</v>
      </c>
      <c r="H91" s="917">
        <f>H92</f>
        <v>13.58</v>
      </c>
      <c r="I91" s="879"/>
      <c r="J91" s="1007"/>
      <c r="K91" s="943">
        <v>13.56</v>
      </c>
      <c r="L91" s="3">
        <v>13.56</v>
      </c>
      <c r="N91" s="3">
        <v>13.58</v>
      </c>
      <c r="T91" s="1272">
        <v>13.56</v>
      </c>
      <c r="U91" s="1285">
        <v>13.56</v>
      </c>
    </row>
    <row r="92" spans="1:21" ht="15">
      <c r="A92" s="13" t="s">
        <v>53</v>
      </c>
      <c r="B92" s="15" t="s">
        <v>72</v>
      </c>
      <c r="C92" s="956" t="s">
        <v>54</v>
      </c>
      <c r="D92" s="918">
        <f>D93</f>
        <v>13.56</v>
      </c>
      <c r="E92" s="914"/>
      <c r="F92" s="914"/>
      <c r="G92" s="918">
        <f>G93</f>
        <v>13.58</v>
      </c>
      <c r="H92" s="918">
        <f>H93</f>
        <v>13.58</v>
      </c>
      <c r="I92" s="879"/>
      <c r="J92" s="1007"/>
      <c r="K92" s="943">
        <v>13.56</v>
      </c>
      <c r="L92" s="3">
        <v>13.56</v>
      </c>
      <c r="N92" s="3">
        <v>13.58</v>
      </c>
      <c r="T92" s="1272">
        <v>13.56</v>
      </c>
      <c r="U92" s="1285">
        <v>13.56</v>
      </c>
    </row>
    <row r="93" spans="1:21" ht="15">
      <c r="A93" s="13" t="s">
        <v>55</v>
      </c>
      <c r="B93" s="15" t="s">
        <v>72</v>
      </c>
      <c r="C93" s="956" t="s">
        <v>56</v>
      </c>
      <c r="D93" s="918">
        <f>'Проект на 20-22г отраб.с ДФ '!V231/1000</f>
        <v>13.56</v>
      </c>
      <c r="E93" s="914"/>
      <c r="F93" s="914"/>
      <c r="G93" s="918">
        <f>'Проект на 20-22г отраб.с ДФ '!Z230/1000</f>
        <v>13.58</v>
      </c>
      <c r="H93" s="918">
        <f>'Проект на 20-22г отраб.с ДФ '!AA230/1000</f>
        <v>13.58</v>
      </c>
      <c r="I93" s="879"/>
      <c r="J93" s="1007"/>
      <c r="K93" s="943">
        <v>13.56</v>
      </c>
      <c r="L93" s="3">
        <v>13.56</v>
      </c>
      <c r="N93" s="3">
        <v>13.58</v>
      </c>
      <c r="T93" s="1272">
        <v>13.56</v>
      </c>
      <c r="U93" s="1285">
        <v>13.56</v>
      </c>
    </row>
    <row r="94" spans="1:21" ht="32.25" customHeight="1">
      <c r="A94" s="890" t="s">
        <v>478</v>
      </c>
      <c r="B94" s="889" t="s">
        <v>73</v>
      </c>
      <c r="C94" s="962" t="s">
        <v>40</v>
      </c>
      <c r="D94" s="925">
        <f>D95</f>
        <v>8740.116</v>
      </c>
      <c r="E94" s="925" t="e">
        <f>E95+#REF!</f>
        <v>#REF!</v>
      </c>
      <c r="F94" s="925" t="e">
        <f>F95+#REF!</f>
        <v>#REF!</v>
      </c>
      <c r="G94" s="925">
        <f>G95</f>
        <v>14369.311</v>
      </c>
      <c r="H94" s="925">
        <f>H95</f>
        <v>9141.933</v>
      </c>
      <c r="I94" s="879"/>
      <c r="J94" s="1007"/>
      <c r="K94" s="3">
        <v>8740.116</v>
      </c>
      <c r="L94" s="3">
        <v>8740.116</v>
      </c>
      <c r="N94" s="3">
        <v>9141.933</v>
      </c>
      <c r="T94" s="1272">
        <v>8740.116</v>
      </c>
      <c r="U94" s="1285">
        <v>8740.116</v>
      </c>
    </row>
    <row r="95" spans="1:21" ht="30.75">
      <c r="A95" s="9" t="s">
        <v>504</v>
      </c>
      <c r="B95" s="12" t="s">
        <v>502</v>
      </c>
      <c r="C95" s="960" t="s">
        <v>40</v>
      </c>
      <c r="D95" s="917">
        <f>D97</f>
        <v>8740.116</v>
      </c>
      <c r="E95" s="909"/>
      <c r="F95" s="909"/>
      <c r="G95" s="917">
        <f>G97</f>
        <v>14369.311</v>
      </c>
      <c r="H95" s="917">
        <f>H97</f>
        <v>9141.933</v>
      </c>
      <c r="I95" s="879"/>
      <c r="J95" s="1007"/>
      <c r="K95" s="3">
        <v>8740.116</v>
      </c>
      <c r="L95" s="3">
        <v>8740.116</v>
      </c>
      <c r="N95" s="3">
        <v>9141.933</v>
      </c>
      <c r="T95" s="1272">
        <v>8740.116</v>
      </c>
      <c r="U95" s="1285">
        <v>8740.116</v>
      </c>
    </row>
    <row r="96" spans="1:21" ht="46.5">
      <c r="A96" s="9" t="s">
        <v>503</v>
      </c>
      <c r="B96" s="12" t="s">
        <v>74</v>
      </c>
      <c r="C96" s="960" t="s">
        <v>40</v>
      </c>
      <c r="D96" s="917">
        <f>D98</f>
        <v>8740.116</v>
      </c>
      <c r="E96" s="909"/>
      <c r="F96" s="909"/>
      <c r="G96" s="917">
        <f>G98</f>
        <v>14369.311</v>
      </c>
      <c r="H96" s="917">
        <f>H98</f>
        <v>9141.933</v>
      </c>
      <c r="I96" s="879"/>
      <c r="J96" s="1007"/>
      <c r="K96" s="3">
        <v>8740.116</v>
      </c>
      <c r="L96" s="3">
        <v>8740.116</v>
      </c>
      <c r="N96" s="3">
        <v>9141.933</v>
      </c>
      <c r="T96" s="1272">
        <v>8740.116</v>
      </c>
      <c r="U96" s="1285">
        <v>8740.116</v>
      </c>
    </row>
    <row r="97" spans="1:21" ht="15">
      <c r="A97" s="13" t="s">
        <v>53</v>
      </c>
      <c r="B97" s="15" t="s">
        <v>74</v>
      </c>
      <c r="C97" s="956" t="s">
        <v>54</v>
      </c>
      <c r="D97" s="918">
        <f>D98</f>
        <v>8740.116</v>
      </c>
      <c r="E97" s="914"/>
      <c r="F97" s="914"/>
      <c r="G97" s="918">
        <f>G98</f>
        <v>14369.311</v>
      </c>
      <c r="H97" s="918">
        <f>H98</f>
        <v>9141.933</v>
      </c>
      <c r="I97" s="879"/>
      <c r="J97" s="1007"/>
      <c r="K97" s="3">
        <v>8740.116</v>
      </c>
      <c r="L97" s="3">
        <v>8740.116</v>
      </c>
      <c r="N97" s="3">
        <v>9141.933</v>
      </c>
      <c r="T97" s="1272">
        <v>8740.116</v>
      </c>
      <c r="U97" s="1285">
        <v>8740.116</v>
      </c>
    </row>
    <row r="98" spans="1:21" ht="15">
      <c r="A98" s="13" t="s">
        <v>55</v>
      </c>
      <c r="B98" s="15" t="s">
        <v>74</v>
      </c>
      <c r="C98" s="956" t="s">
        <v>56</v>
      </c>
      <c r="D98" s="918">
        <f>'Проект на 20-22г отраб.с ДФ '!V254/1000</f>
        <v>8740.116</v>
      </c>
      <c r="E98" s="914"/>
      <c r="F98" s="914"/>
      <c r="G98" s="918">
        <f>'Проект на 20-22г отраб.с ДФ '!Z253/1000</f>
        <v>14369.311</v>
      </c>
      <c r="H98" s="918">
        <f>'Проект на 20-22г отраб.с ДФ '!AA253/1000</f>
        <v>9141.933</v>
      </c>
      <c r="I98" s="879"/>
      <c r="J98" s="1007"/>
      <c r="K98" s="3">
        <v>8740.116</v>
      </c>
      <c r="L98" s="3">
        <v>8740.116</v>
      </c>
      <c r="N98" s="3">
        <v>9141.933</v>
      </c>
      <c r="T98" s="1272">
        <v>8740.116</v>
      </c>
      <c r="U98" s="1285">
        <v>8740.116</v>
      </c>
    </row>
    <row r="99" spans="1:21" ht="41.25" customHeight="1">
      <c r="A99" s="890" t="s">
        <v>476</v>
      </c>
      <c r="B99" s="884" t="s">
        <v>75</v>
      </c>
      <c r="C99" s="958" t="s">
        <v>40</v>
      </c>
      <c r="D99" s="916">
        <f>D101+D105</f>
        <v>1312.5017</v>
      </c>
      <c r="E99" s="916" t="e">
        <f>E101+E105</f>
        <v>#REF!</v>
      </c>
      <c r="F99" s="916" t="e">
        <f>F101+F105</f>
        <v>#REF!</v>
      </c>
      <c r="G99" s="916">
        <f>G101+G105</f>
        <v>560</v>
      </c>
      <c r="H99" s="916">
        <f>H101+H105</f>
        <v>560</v>
      </c>
      <c r="I99" s="879"/>
      <c r="J99" s="929"/>
      <c r="K99" s="3">
        <v>1312.5517</v>
      </c>
      <c r="L99" s="3">
        <v>1312.5517</v>
      </c>
      <c r="N99" s="3">
        <v>560</v>
      </c>
      <c r="T99" s="1272">
        <v>1312.5517</v>
      </c>
      <c r="U99" s="1285">
        <v>1312.5017</v>
      </c>
    </row>
    <row r="100" spans="1:21" ht="41.25" customHeight="1">
      <c r="A100" s="949" t="s">
        <v>536</v>
      </c>
      <c r="B100" s="882" t="s">
        <v>541</v>
      </c>
      <c r="C100" s="959" t="s">
        <v>40</v>
      </c>
      <c r="D100" s="924">
        <f>D101</f>
        <v>1312.5017</v>
      </c>
      <c r="E100" s="924" t="e">
        <f>E101</f>
        <v>#REF!</v>
      </c>
      <c r="F100" s="924" t="e">
        <f>F101</f>
        <v>#REF!</v>
      </c>
      <c r="G100" s="924">
        <f>G101</f>
        <v>560</v>
      </c>
      <c r="H100" s="924">
        <f>H101</f>
        <v>560</v>
      </c>
      <c r="I100" s="879"/>
      <c r="J100" s="929"/>
      <c r="K100" s="3">
        <v>1312.5517</v>
      </c>
      <c r="L100" s="3">
        <v>1312.5517</v>
      </c>
      <c r="N100" s="3">
        <v>560</v>
      </c>
      <c r="T100" s="1272">
        <v>1312.5517</v>
      </c>
      <c r="U100" s="1285">
        <v>1312.5017</v>
      </c>
    </row>
    <row r="101" spans="1:21" ht="46.5">
      <c r="A101" s="9" t="s">
        <v>537</v>
      </c>
      <c r="B101" s="12" t="s">
        <v>76</v>
      </c>
      <c r="C101" s="960" t="s">
        <v>40</v>
      </c>
      <c r="D101" s="917">
        <f>D102</f>
        <v>1312.5017</v>
      </c>
      <c r="E101" s="917" t="e">
        <f aca="true" t="shared" si="7" ref="E101:H102">E102</f>
        <v>#REF!</v>
      </c>
      <c r="F101" s="917" t="e">
        <f t="shared" si="7"/>
        <v>#REF!</v>
      </c>
      <c r="G101" s="917">
        <f t="shared" si="7"/>
        <v>560</v>
      </c>
      <c r="H101" s="917">
        <f t="shared" si="7"/>
        <v>560</v>
      </c>
      <c r="I101" s="879"/>
      <c r="J101" s="929"/>
      <c r="K101" s="3">
        <v>1312.5517</v>
      </c>
      <c r="L101" s="3">
        <v>1312.5517</v>
      </c>
      <c r="N101" s="3">
        <v>560</v>
      </c>
      <c r="T101" s="1272">
        <v>1312.5517</v>
      </c>
      <c r="U101" s="1285">
        <v>1312.5017</v>
      </c>
    </row>
    <row r="102" spans="1:21" ht="15">
      <c r="A102" s="13" t="s">
        <v>53</v>
      </c>
      <c r="B102" s="15" t="s">
        <v>76</v>
      </c>
      <c r="C102" s="956" t="s">
        <v>54</v>
      </c>
      <c r="D102" s="918">
        <f>D103</f>
        <v>1312.5017</v>
      </c>
      <c r="E102" s="918" t="e">
        <f t="shared" si="7"/>
        <v>#REF!</v>
      </c>
      <c r="F102" s="918" t="e">
        <f t="shared" si="7"/>
        <v>#REF!</v>
      </c>
      <c r="G102" s="918">
        <f t="shared" si="7"/>
        <v>560</v>
      </c>
      <c r="H102" s="918">
        <f t="shared" si="7"/>
        <v>560</v>
      </c>
      <c r="I102" s="879"/>
      <c r="J102" s="929"/>
      <c r="K102" s="3">
        <v>1312.5517</v>
      </c>
      <c r="L102" s="3">
        <v>1312.5517</v>
      </c>
      <c r="N102" s="3">
        <v>560</v>
      </c>
      <c r="T102" s="1272">
        <v>1312.5517</v>
      </c>
      <c r="U102" s="1285">
        <v>1312.5017</v>
      </c>
    </row>
    <row r="103" spans="1:21" ht="15">
      <c r="A103" s="13" t="s">
        <v>55</v>
      </c>
      <c r="B103" s="15" t="s">
        <v>76</v>
      </c>
      <c r="C103" s="956" t="s">
        <v>56</v>
      </c>
      <c r="D103" s="918">
        <f>('Проект на 20-22г отраб.с ДФ '!V371+'Проект на 20-22г отраб.с ДФ '!V361+'Проект на 20-22г отраб.с ДФ '!V287+'Проект на 20-22г отраб.с ДФ '!V203+'Проект на 20-22г отраб.с ДФ '!X204+'Проект на 20-22г отраб.с ДФ '!X371+'Проект на 20-22г отраб.с ДФ '!X361+'Проект на 20-22г отраб.с ДФ '!X287)/1000-0.05</f>
        <v>1312.5017</v>
      </c>
      <c r="E103" s="918" t="e">
        <f>#REF!</f>
        <v>#REF!</v>
      </c>
      <c r="F103" s="918" t="e">
        <f>#REF!</f>
        <v>#REF!</v>
      </c>
      <c r="G103" s="918">
        <f>('Проект на 20-22г отраб.с ДФ '!Z370+'Проект на 20-22г отраб.с ДФ '!Z203)/1000</f>
        <v>560</v>
      </c>
      <c r="H103" s="918">
        <f>('Проект на 20-22г отраб.с ДФ '!AA370+'Проект на 20-22г отраб.с ДФ '!AA203)/1000</f>
        <v>560</v>
      </c>
      <c r="I103" s="879"/>
      <c r="J103" s="929"/>
      <c r="K103" s="3">
        <v>1312.5517</v>
      </c>
      <c r="L103" s="3">
        <v>1312.5517</v>
      </c>
      <c r="N103" s="3">
        <v>560</v>
      </c>
      <c r="T103" s="1272">
        <v>1312.5517</v>
      </c>
      <c r="U103" s="1285">
        <v>1312.5017</v>
      </c>
    </row>
    <row r="104" spans="1:10" ht="53.25" customHeight="1" hidden="1">
      <c r="A104" s="949" t="s">
        <v>538</v>
      </c>
      <c r="B104" s="882" t="s">
        <v>540</v>
      </c>
      <c r="C104" s="959"/>
      <c r="D104" s="924"/>
      <c r="E104" s="924"/>
      <c r="F104" s="924"/>
      <c r="G104" s="924"/>
      <c r="H104" s="924"/>
      <c r="I104" s="879"/>
      <c r="J104" s="929"/>
    </row>
    <row r="105" spans="1:21" ht="62.25" hidden="1">
      <c r="A105" s="9" t="s">
        <v>539</v>
      </c>
      <c r="B105" s="12" t="s">
        <v>77</v>
      </c>
      <c r="C105" s="960" t="s">
        <v>40</v>
      </c>
      <c r="D105" s="917">
        <f>D106</f>
        <v>0</v>
      </c>
      <c r="E105" s="917" t="e">
        <f aca="true" t="shared" si="8" ref="E105:H106">E106</f>
        <v>#REF!</v>
      </c>
      <c r="F105" s="917" t="e">
        <f t="shared" si="8"/>
        <v>#REF!</v>
      </c>
      <c r="G105" s="917">
        <f t="shared" si="8"/>
        <v>0</v>
      </c>
      <c r="H105" s="917">
        <f t="shared" si="8"/>
        <v>0</v>
      </c>
      <c r="I105" s="879"/>
      <c r="J105" s="929"/>
      <c r="K105" s="3">
        <v>0</v>
      </c>
      <c r="L105" s="3">
        <v>0</v>
      </c>
      <c r="N105" s="3">
        <v>0</v>
      </c>
      <c r="T105" s="1272">
        <v>0</v>
      </c>
      <c r="U105" s="1285">
        <v>0</v>
      </c>
    </row>
    <row r="106" spans="1:21" ht="15" hidden="1">
      <c r="A106" s="13" t="s">
        <v>53</v>
      </c>
      <c r="B106" s="15" t="s">
        <v>77</v>
      </c>
      <c r="C106" s="956" t="s">
        <v>54</v>
      </c>
      <c r="D106" s="918">
        <f>D107</f>
        <v>0</v>
      </c>
      <c r="E106" s="918" t="e">
        <f t="shared" si="8"/>
        <v>#REF!</v>
      </c>
      <c r="F106" s="918" t="e">
        <f t="shared" si="8"/>
        <v>#REF!</v>
      </c>
      <c r="G106" s="918">
        <f t="shared" si="8"/>
        <v>0</v>
      </c>
      <c r="H106" s="918">
        <f t="shared" si="8"/>
        <v>0</v>
      </c>
      <c r="I106" s="879"/>
      <c r="J106" s="929"/>
      <c r="K106" s="3">
        <v>0</v>
      </c>
      <c r="L106" s="3">
        <v>0</v>
      </c>
      <c r="N106" s="3">
        <v>0</v>
      </c>
      <c r="T106" s="1272">
        <v>0</v>
      </c>
      <c r="U106" s="1285">
        <v>0</v>
      </c>
    </row>
    <row r="107" spans="1:21" ht="15" hidden="1">
      <c r="A107" s="13" t="s">
        <v>55</v>
      </c>
      <c r="B107" s="15" t="s">
        <v>77</v>
      </c>
      <c r="C107" s="956" t="s">
        <v>56</v>
      </c>
      <c r="D107" s="918">
        <f>'Проект на 20-22г отраб.с ДФ '!V279/1000</f>
        <v>0</v>
      </c>
      <c r="E107" s="918" t="e">
        <f>#REF!</f>
        <v>#REF!</v>
      </c>
      <c r="F107" s="918" t="e">
        <f>#REF!</f>
        <v>#REF!</v>
      </c>
      <c r="G107" s="918">
        <f>'Проект на 20-22г отраб.с ДФ '!Z278/1000</f>
        <v>0</v>
      </c>
      <c r="H107" s="918">
        <f>'Проект на 20-22г отраб.с ДФ '!Z278/1000</f>
        <v>0</v>
      </c>
      <c r="I107" s="879"/>
      <c r="J107" s="929"/>
      <c r="K107" s="3">
        <v>0</v>
      </c>
      <c r="L107" s="3">
        <v>0</v>
      </c>
      <c r="N107" s="3">
        <v>0</v>
      </c>
      <c r="T107" s="1272">
        <v>0</v>
      </c>
      <c r="U107" s="1285">
        <v>0</v>
      </c>
    </row>
    <row r="108" spans="1:21" ht="40.5" customHeight="1">
      <c r="A108" s="891" t="s">
        <v>475</v>
      </c>
      <c r="B108" s="892" t="s">
        <v>78</v>
      </c>
      <c r="C108" s="964" t="s">
        <v>40</v>
      </c>
      <c r="D108" s="926">
        <f>D123+D119+D109+D130</f>
        <v>6082.354310000001</v>
      </c>
      <c r="E108" s="926" t="e">
        <f>E123+E119</f>
        <v>#REF!</v>
      </c>
      <c r="F108" s="926" t="e">
        <f>F123+F119</f>
        <v>#REF!</v>
      </c>
      <c r="G108" s="926">
        <f>G123+G119+G109+G130</f>
        <v>2517.6400000000003</v>
      </c>
      <c r="H108" s="926">
        <f>H123+H119+H109+H130</f>
        <v>2806.116</v>
      </c>
      <c r="J108" s="945"/>
      <c r="K108" s="944">
        <v>6082.364310000001</v>
      </c>
      <c r="L108" s="3">
        <v>6082.31431</v>
      </c>
      <c r="N108" s="3">
        <v>2806.116</v>
      </c>
      <c r="T108" s="1272">
        <v>6082.40431</v>
      </c>
      <c r="U108" s="1285">
        <v>6082.354310000001</v>
      </c>
    </row>
    <row r="109" spans="1:21" ht="22.5" customHeight="1">
      <c r="A109" s="886" t="s">
        <v>513</v>
      </c>
      <c r="B109" s="882" t="s">
        <v>505</v>
      </c>
      <c r="C109" s="959" t="s">
        <v>40</v>
      </c>
      <c r="D109" s="924">
        <f>D110+D113+D116</f>
        <v>401.0031</v>
      </c>
      <c r="E109" s="924" t="e">
        <f>E110+#REF!</f>
        <v>#REF!</v>
      </c>
      <c r="F109" s="924" t="e">
        <f>F110+#REF!</f>
        <v>#REF!</v>
      </c>
      <c r="G109" s="924">
        <f>G110</f>
        <v>0</v>
      </c>
      <c r="H109" s="924">
        <f>H110</f>
        <v>0</v>
      </c>
      <c r="J109" s="945"/>
      <c r="K109" s="3">
        <v>401.0031</v>
      </c>
      <c r="L109" s="3">
        <v>401.0031</v>
      </c>
      <c r="N109" s="3">
        <v>0</v>
      </c>
      <c r="T109" s="1272">
        <v>401.0031</v>
      </c>
      <c r="U109" s="1285">
        <v>401.0031</v>
      </c>
    </row>
    <row r="110" spans="1:21" ht="51.75" customHeight="1">
      <c r="A110" s="9" t="s">
        <v>514</v>
      </c>
      <c r="B110" s="885" t="s">
        <v>506</v>
      </c>
      <c r="C110" s="960" t="s">
        <v>40</v>
      </c>
      <c r="D110" s="1046">
        <f>D111</f>
        <v>299.993</v>
      </c>
      <c r="E110" s="911"/>
      <c r="F110" s="911"/>
      <c r="G110" s="911">
        <v>0</v>
      </c>
      <c r="H110" s="911">
        <v>0</v>
      </c>
      <c r="J110" s="945"/>
      <c r="K110" s="3">
        <v>299.993</v>
      </c>
      <c r="L110" s="3">
        <v>299.993</v>
      </c>
      <c r="N110" s="3">
        <v>0</v>
      </c>
      <c r="T110" s="1272">
        <v>299.993</v>
      </c>
      <c r="U110" s="1285">
        <v>299.993</v>
      </c>
    </row>
    <row r="111" spans="1:21" ht="15">
      <c r="A111" s="13" t="s">
        <v>53</v>
      </c>
      <c r="B111" s="885" t="s">
        <v>506</v>
      </c>
      <c r="C111" s="956" t="s">
        <v>54</v>
      </c>
      <c r="D111" s="967">
        <f>D112</f>
        <v>299.993</v>
      </c>
      <c r="E111" s="912"/>
      <c r="F111" s="912"/>
      <c r="G111" s="912">
        <v>0</v>
      </c>
      <c r="H111" s="912">
        <v>0</v>
      </c>
      <c r="J111" s="945"/>
      <c r="K111" s="3">
        <v>299.993</v>
      </c>
      <c r="L111" s="3">
        <v>299.993</v>
      </c>
      <c r="N111" s="3">
        <v>0</v>
      </c>
      <c r="T111" s="1272">
        <v>299.993</v>
      </c>
      <c r="U111" s="1285">
        <v>299.993</v>
      </c>
    </row>
    <row r="112" spans="1:21" ht="15">
      <c r="A112" s="13" t="s">
        <v>55</v>
      </c>
      <c r="B112" s="885" t="s">
        <v>506</v>
      </c>
      <c r="C112" s="956" t="s">
        <v>56</v>
      </c>
      <c r="D112" s="967">
        <f>'Проект на 20-22г отраб.с ДФ '!X329/1000</f>
        <v>299.993</v>
      </c>
      <c r="E112" s="912"/>
      <c r="F112" s="912"/>
      <c r="G112" s="912">
        <v>0</v>
      </c>
      <c r="H112" s="912">
        <v>0</v>
      </c>
      <c r="J112" s="945"/>
      <c r="K112" s="3">
        <v>299.993</v>
      </c>
      <c r="L112" s="3">
        <v>299.993</v>
      </c>
      <c r="N112" s="3">
        <v>0</v>
      </c>
      <c r="T112" s="1272">
        <v>299.993</v>
      </c>
      <c r="U112" s="1285">
        <v>299.993</v>
      </c>
    </row>
    <row r="113" spans="1:21" ht="78">
      <c r="A113" s="9" t="s">
        <v>721</v>
      </c>
      <c r="B113" s="12" t="s">
        <v>659</v>
      </c>
      <c r="C113" s="960" t="s">
        <v>40</v>
      </c>
      <c r="D113" s="917">
        <f>D114</f>
        <v>100</v>
      </c>
      <c r="E113" s="917">
        <f>E114</f>
        <v>0</v>
      </c>
      <c r="F113" s="917">
        <f>F114</f>
        <v>0</v>
      </c>
      <c r="G113" s="917">
        <f>G114</f>
        <v>0</v>
      </c>
      <c r="H113" s="917">
        <f>H114</f>
        <v>0</v>
      </c>
      <c r="I113" s="879"/>
      <c r="J113" s="928"/>
      <c r="K113" s="3">
        <v>100</v>
      </c>
      <c r="L113" s="3">
        <v>100</v>
      </c>
      <c r="N113" s="3">
        <v>0</v>
      </c>
      <c r="T113" s="1272">
        <v>100</v>
      </c>
      <c r="U113" s="1285">
        <v>100</v>
      </c>
    </row>
    <row r="114" spans="1:21" ht="15">
      <c r="A114" s="13" t="s">
        <v>53</v>
      </c>
      <c r="B114" s="15" t="s">
        <v>659</v>
      </c>
      <c r="C114" s="956" t="s">
        <v>54</v>
      </c>
      <c r="D114" s="918">
        <f>D115</f>
        <v>100</v>
      </c>
      <c r="E114" s="923"/>
      <c r="F114" s="923"/>
      <c r="G114" s="918">
        <f>G115</f>
        <v>0</v>
      </c>
      <c r="H114" s="918">
        <f>H115</f>
        <v>0</v>
      </c>
      <c r="I114" s="879"/>
      <c r="J114" s="928"/>
      <c r="K114" s="3">
        <v>100</v>
      </c>
      <c r="L114" s="3">
        <v>100</v>
      </c>
      <c r="N114" s="3">
        <v>0</v>
      </c>
      <c r="T114" s="1272">
        <v>100</v>
      </c>
      <c r="U114" s="1285">
        <v>100</v>
      </c>
    </row>
    <row r="115" spans="1:21" ht="15">
      <c r="A115" s="13" t="s">
        <v>55</v>
      </c>
      <c r="B115" s="15" t="s">
        <v>659</v>
      </c>
      <c r="C115" s="956" t="s">
        <v>56</v>
      </c>
      <c r="D115" s="918">
        <f>'Проект на 20-22г отраб.с ДФ '!V344/1000</f>
        <v>100</v>
      </c>
      <c r="E115" s="923"/>
      <c r="F115" s="923"/>
      <c r="G115" s="918">
        <v>0</v>
      </c>
      <c r="H115" s="918">
        <v>0</v>
      </c>
      <c r="I115" s="879"/>
      <c r="J115" s="928"/>
      <c r="K115" s="3">
        <v>100</v>
      </c>
      <c r="L115" s="3">
        <v>100</v>
      </c>
      <c r="N115" s="3">
        <v>0</v>
      </c>
      <c r="T115" s="1272">
        <v>100</v>
      </c>
      <c r="U115" s="1285">
        <v>100</v>
      </c>
    </row>
    <row r="116" spans="1:21" ht="78">
      <c r="A116" s="9" t="s">
        <v>722</v>
      </c>
      <c r="B116" s="12" t="s">
        <v>660</v>
      </c>
      <c r="C116" s="960" t="s">
        <v>40</v>
      </c>
      <c r="D116" s="917">
        <f>D117</f>
        <v>1.0101</v>
      </c>
      <c r="E116" s="917">
        <f>E117</f>
        <v>0</v>
      </c>
      <c r="F116" s="917">
        <f>F117</f>
        <v>0</v>
      </c>
      <c r="G116" s="917">
        <f>G117</f>
        <v>0</v>
      </c>
      <c r="H116" s="917">
        <f>H117</f>
        <v>0</v>
      </c>
      <c r="I116" s="879"/>
      <c r="J116" s="928"/>
      <c r="K116" s="3">
        <v>1.0101</v>
      </c>
      <c r="L116" s="3">
        <v>1.0101</v>
      </c>
      <c r="N116" s="3">
        <v>0</v>
      </c>
      <c r="T116" s="1272">
        <v>1.0101</v>
      </c>
      <c r="U116" s="1285">
        <v>1.0101</v>
      </c>
    </row>
    <row r="117" spans="1:21" ht="15">
      <c r="A117" s="13" t="s">
        <v>53</v>
      </c>
      <c r="B117" s="15" t="s">
        <v>660</v>
      </c>
      <c r="C117" s="956" t="s">
        <v>54</v>
      </c>
      <c r="D117" s="918">
        <f>D118</f>
        <v>1.0101</v>
      </c>
      <c r="E117" s="923"/>
      <c r="F117" s="923"/>
      <c r="G117" s="918">
        <f>G118</f>
        <v>0</v>
      </c>
      <c r="H117" s="918">
        <f>H118</f>
        <v>0</v>
      </c>
      <c r="I117" s="879"/>
      <c r="J117" s="928"/>
      <c r="K117" s="3">
        <v>1.0101</v>
      </c>
      <c r="L117" s="3">
        <v>1.0101</v>
      </c>
      <c r="N117" s="3">
        <v>0</v>
      </c>
      <c r="T117" s="1272">
        <v>1.0101</v>
      </c>
      <c r="U117" s="1285">
        <v>1.0101</v>
      </c>
    </row>
    <row r="118" spans="1:21" ht="15">
      <c r="A118" s="13" t="s">
        <v>55</v>
      </c>
      <c r="B118" s="15" t="s">
        <v>660</v>
      </c>
      <c r="C118" s="956" t="s">
        <v>56</v>
      </c>
      <c r="D118" s="918">
        <f>'Проект на 20-22г отраб.с ДФ '!V345/1000</f>
        <v>1.0101</v>
      </c>
      <c r="E118" s="923"/>
      <c r="F118" s="923"/>
      <c r="G118" s="918">
        <f>'Проект на 20-22г отраб.с ДФ '!Z421/1000</f>
        <v>0</v>
      </c>
      <c r="H118" s="918">
        <v>0</v>
      </c>
      <c r="I118" s="879"/>
      <c r="J118" s="928"/>
      <c r="K118" s="3">
        <v>1.0101</v>
      </c>
      <c r="L118" s="3">
        <v>1.0101</v>
      </c>
      <c r="N118" s="3">
        <v>0</v>
      </c>
      <c r="T118" s="1272">
        <v>1.0101</v>
      </c>
      <c r="U118" s="1285">
        <v>1.0101</v>
      </c>
    </row>
    <row r="119" spans="1:21" ht="22.5" customHeight="1">
      <c r="A119" s="886" t="s">
        <v>515</v>
      </c>
      <c r="B119" s="882" t="s">
        <v>507</v>
      </c>
      <c r="C119" s="959" t="s">
        <v>40</v>
      </c>
      <c r="D119" s="924">
        <f>D120</f>
        <v>990.0462100000001</v>
      </c>
      <c r="E119" s="924" t="e">
        <f>E120+E110</f>
        <v>#REF!</v>
      </c>
      <c r="F119" s="924" t="e">
        <f>F120+F110</f>
        <v>#REF!</v>
      </c>
      <c r="G119" s="924">
        <f>G120+G110</f>
        <v>560</v>
      </c>
      <c r="H119" s="924">
        <f>H120+H110</f>
        <v>770.196</v>
      </c>
      <c r="J119" s="945"/>
      <c r="K119" s="3">
        <v>990.0462100000001</v>
      </c>
      <c r="L119" s="3">
        <v>990.0462100000001</v>
      </c>
      <c r="N119" s="3">
        <v>770.196</v>
      </c>
      <c r="T119" s="1272">
        <v>990.09621</v>
      </c>
      <c r="U119" s="1285">
        <v>990.0462100000001</v>
      </c>
    </row>
    <row r="120" spans="1:21" ht="45" customHeight="1">
      <c r="A120" s="9" t="s">
        <v>516</v>
      </c>
      <c r="B120" s="12" t="s">
        <v>509</v>
      </c>
      <c r="C120" s="960" t="s">
        <v>40</v>
      </c>
      <c r="D120" s="917">
        <f aca="true" t="shared" si="9" ref="D120:H121">D121</f>
        <v>990.0462100000001</v>
      </c>
      <c r="E120" s="922" t="e">
        <f t="shared" si="9"/>
        <v>#REF!</v>
      </c>
      <c r="F120" s="922" t="e">
        <f t="shared" si="9"/>
        <v>#REF!</v>
      </c>
      <c r="G120" s="917">
        <f t="shared" si="9"/>
        <v>560</v>
      </c>
      <c r="H120" s="917">
        <f t="shared" si="9"/>
        <v>770.196</v>
      </c>
      <c r="J120" s="945"/>
      <c r="K120" s="3">
        <v>990.0462100000001</v>
      </c>
      <c r="L120" s="3">
        <v>990.0462100000001</v>
      </c>
      <c r="N120" s="3">
        <v>770.196</v>
      </c>
      <c r="T120" s="1272">
        <v>990.09621</v>
      </c>
      <c r="U120" s="1285">
        <v>990.0462100000001</v>
      </c>
    </row>
    <row r="121" spans="1:21" ht="23.25" customHeight="1">
      <c r="A121" s="13" t="s">
        <v>53</v>
      </c>
      <c r="B121" s="15" t="s">
        <v>509</v>
      </c>
      <c r="C121" s="956" t="s">
        <v>54</v>
      </c>
      <c r="D121" s="918">
        <f t="shared" si="9"/>
        <v>990.0462100000001</v>
      </c>
      <c r="E121" s="921" t="e">
        <f t="shared" si="9"/>
        <v>#REF!</v>
      </c>
      <c r="F121" s="921" t="e">
        <f t="shared" si="9"/>
        <v>#REF!</v>
      </c>
      <c r="G121" s="918">
        <f t="shared" si="9"/>
        <v>560</v>
      </c>
      <c r="H121" s="918">
        <f t="shared" si="9"/>
        <v>770.196</v>
      </c>
      <c r="J121" s="945"/>
      <c r="K121" s="944">
        <v>990.0462100000001</v>
      </c>
      <c r="L121" s="3">
        <v>990.0462100000001</v>
      </c>
      <c r="N121" s="3">
        <v>770.196</v>
      </c>
      <c r="T121" s="1272">
        <v>990.09621</v>
      </c>
      <c r="U121" s="1285">
        <v>990.0462100000001</v>
      </c>
    </row>
    <row r="122" spans="1:21" ht="25.5" customHeight="1">
      <c r="A122" s="13" t="s">
        <v>55</v>
      </c>
      <c r="B122" s="15" t="s">
        <v>509</v>
      </c>
      <c r="C122" s="956" t="s">
        <v>56</v>
      </c>
      <c r="D122" s="918">
        <f>('Проект на 20-22г отраб.с ДФ '!V355+'Проект на 20-22г отраб.с ДФ '!X355)/1000</f>
        <v>990.0462100000001</v>
      </c>
      <c r="E122" s="921" t="e">
        <f>'[1]#ССЫЛКА'!P118</f>
        <v>#REF!</v>
      </c>
      <c r="F122" s="921" t="e">
        <f>'[1]#ССЫЛКА'!R118</f>
        <v>#REF!</v>
      </c>
      <c r="G122" s="918">
        <f>'Проект на 20-22г отраб.с ДФ '!Z354/1000</f>
        <v>560</v>
      </c>
      <c r="H122" s="918">
        <f>'Проект на 20-22г отраб.с ДФ '!AA354/1000</f>
        <v>770.196</v>
      </c>
      <c r="J122" s="945"/>
      <c r="K122" s="3">
        <v>990.0462100000001</v>
      </c>
      <c r="L122" s="3">
        <v>990.0462100000001</v>
      </c>
      <c r="N122" s="3">
        <v>770.196</v>
      </c>
      <c r="T122" s="1272">
        <v>990.09621</v>
      </c>
      <c r="U122" s="1285">
        <v>990.0462100000001</v>
      </c>
    </row>
    <row r="123" spans="1:21" ht="36" customHeight="1">
      <c r="A123" s="881" t="s">
        <v>511</v>
      </c>
      <c r="B123" s="882" t="s">
        <v>508</v>
      </c>
      <c r="C123" s="959" t="s">
        <v>40</v>
      </c>
      <c r="D123" s="924">
        <f>D127+D124</f>
        <v>1882.3600000000001</v>
      </c>
      <c r="E123" s="924" t="e">
        <f>E127+#REF!+#REF!</f>
        <v>#REF!</v>
      </c>
      <c r="F123" s="924" t="e">
        <f>F127+#REF!+#REF!</f>
        <v>#REF!</v>
      </c>
      <c r="G123" s="924">
        <f>G127+G124</f>
        <v>1957.64</v>
      </c>
      <c r="H123" s="924">
        <f>H127+H124</f>
        <v>2035.92</v>
      </c>
      <c r="J123" s="945"/>
      <c r="K123" s="944">
        <v>1882.41</v>
      </c>
      <c r="L123" s="3">
        <v>1882.3600000000001</v>
      </c>
      <c r="N123" s="3">
        <v>2035.92</v>
      </c>
      <c r="T123" s="1272">
        <v>1882.3600000000001</v>
      </c>
      <c r="U123" s="1285">
        <v>1882.3600000000001</v>
      </c>
    </row>
    <row r="124" spans="1:21" ht="73.5" customHeight="1">
      <c r="A124" s="9" t="s">
        <v>644</v>
      </c>
      <c r="B124" s="15" t="s">
        <v>645</v>
      </c>
      <c r="C124" s="960" t="s">
        <v>40</v>
      </c>
      <c r="D124" s="918">
        <f>D125</f>
        <v>0.4</v>
      </c>
      <c r="E124" s="921"/>
      <c r="F124" s="921"/>
      <c r="G124" s="918">
        <f>G125</f>
        <v>0.4</v>
      </c>
      <c r="H124" s="918">
        <f>H125</f>
        <v>0.4</v>
      </c>
      <c r="J124" s="945"/>
      <c r="K124" s="3">
        <v>0.45</v>
      </c>
      <c r="L124" s="3">
        <v>0.4</v>
      </c>
      <c r="N124" s="3">
        <v>0.4</v>
      </c>
      <c r="T124" s="1272">
        <v>0.4</v>
      </c>
      <c r="U124" s="1285">
        <v>0.4</v>
      </c>
    </row>
    <row r="125" spans="1:21" ht="27" customHeight="1">
      <c r="A125" s="13" t="s">
        <v>53</v>
      </c>
      <c r="B125" s="15" t="s">
        <v>645</v>
      </c>
      <c r="C125" s="956" t="s">
        <v>54</v>
      </c>
      <c r="D125" s="918">
        <f>D126</f>
        <v>0.4</v>
      </c>
      <c r="E125" s="921"/>
      <c r="F125" s="921"/>
      <c r="G125" s="918">
        <f>G126</f>
        <v>0.4</v>
      </c>
      <c r="H125" s="918">
        <f>H126</f>
        <v>0.4</v>
      </c>
      <c r="J125" s="945"/>
      <c r="K125" s="3">
        <v>0.45</v>
      </c>
      <c r="L125" s="3">
        <v>0.4</v>
      </c>
      <c r="N125" s="3">
        <v>0.4</v>
      </c>
      <c r="T125" s="1272">
        <v>0.4</v>
      </c>
      <c r="U125" s="1285">
        <v>0.4</v>
      </c>
    </row>
    <row r="126" spans="1:21" ht="27" customHeight="1">
      <c r="A126" s="13" t="s">
        <v>55</v>
      </c>
      <c r="B126" s="15" t="s">
        <v>645</v>
      </c>
      <c r="C126" s="956" t="s">
        <v>56</v>
      </c>
      <c r="D126" s="918">
        <f>'Проект на 20-22г отраб.с ДФ '!V331/1000-0.05</f>
        <v>0.4</v>
      </c>
      <c r="E126" s="921" t="e">
        <f>#REF!</f>
        <v>#REF!</v>
      </c>
      <c r="F126" s="921" t="e">
        <f>#REF!</f>
        <v>#REF!</v>
      </c>
      <c r="G126" s="918">
        <f>('Проект на 20-22г отраб.с ДФ '!Z330+'Проект на 20-22г отраб.с ДФ '!Z342)/1000-0.05</f>
        <v>0.4</v>
      </c>
      <c r="H126" s="918">
        <f>('Проект на 20-22г отраб.с ДФ '!AA342+'Проект на 20-22г отраб.с ДФ '!AA330)/1000-0.05</f>
        <v>0.4</v>
      </c>
      <c r="J126" s="945"/>
      <c r="K126" s="3">
        <v>0.45</v>
      </c>
      <c r="L126" s="3">
        <v>0.4</v>
      </c>
      <c r="N126" s="3">
        <v>0.4</v>
      </c>
      <c r="T126" s="1272">
        <v>0.4</v>
      </c>
      <c r="U126" s="1285">
        <v>0.4</v>
      </c>
    </row>
    <row r="127" spans="1:21" ht="62.25" customHeight="1">
      <c r="A127" s="9" t="s">
        <v>542</v>
      </c>
      <c r="B127" s="12" t="s">
        <v>510</v>
      </c>
      <c r="C127" s="960" t="s">
        <v>40</v>
      </c>
      <c r="D127" s="917">
        <f aca="true" t="shared" si="10" ref="D127:H128">D128</f>
        <v>1881.96</v>
      </c>
      <c r="E127" s="917" t="e">
        <f t="shared" si="10"/>
        <v>#REF!</v>
      </c>
      <c r="F127" s="917" t="e">
        <f t="shared" si="10"/>
        <v>#REF!</v>
      </c>
      <c r="G127" s="917">
        <f t="shared" si="10"/>
        <v>1957.24</v>
      </c>
      <c r="H127" s="917">
        <f t="shared" si="10"/>
        <v>2035.52</v>
      </c>
      <c r="J127" s="945"/>
      <c r="K127" s="944">
        <v>1881.96</v>
      </c>
      <c r="L127" s="3">
        <v>1881.96</v>
      </c>
      <c r="N127" s="3">
        <v>2035.52</v>
      </c>
      <c r="T127" s="1272">
        <v>1881.96</v>
      </c>
      <c r="U127" s="1285">
        <v>1881.96</v>
      </c>
    </row>
    <row r="128" spans="1:21" ht="15">
      <c r="A128" s="13" t="s">
        <v>45</v>
      </c>
      <c r="B128" s="15" t="s">
        <v>510</v>
      </c>
      <c r="C128" s="956" t="s">
        <v>57</v>
      </c>
      <c r="D128" s="918">
        <f t="shared" si="10"/>
        <v>1881.96</v>
      </c>
      <c r="E128" s="921" t="e">
        <f t="shared" si="10"/>
        <v>#REF!</v>
      </c>
      <c r="F128" s="921" t="e">
        <f t="shared" si="10"/>
        <v>#REF!</v>
      </c>
      <c r="G128" s="918">
        <f t="shared" si="10"/>
        <v>1957.24</v>
      </c>
      <c r="H128" s="918">
        <f t="shared" si="10"/>
        <v>2035.52</v>
      </c>
      <c r="J128" s="945"/>
      <c r="K128" s="3">
        <v>1881.96</v>
      </c>
      <c r="L128" s="3">
        <v>1881.96</v>
      </c>
      <c r="N128" s="3">
        <v>2035.52</v>
      </c>
      <c r="T128" s="1272">
        <v>1881.96</v>
      </c>
      <c r="U128" s="1285">
        <v>1881.96</v>
      </c>
    </row>
    <row r="129" spans="1:21" ht="43.5" customHeight="1">
      <c r="A129" s="29" t="s">
        <v>79</v>
      </c>
      <c r="B129" s="15" t="s">
        <v>510</v>
      </c>
      <c r="C129" s="956" t="s">
        <v>80</v>
      </c>
      <c r="D129" s="918">
        <f>('Проект на 20-22г отраб.с ДФ '!V272)/1000</f>
        <v>1881.96</v>
      </c>
      <c r="E129" s="921" t="e">
        <f>#REF!</f>
        <v>#REF!</v>
      </c>
      <c r="F129" s="921" t="e">
        <f>#REF!</f>
        <v>#REF!</v>
      </c>
      <c r="G129" s="918">
        <f>('Проект на 20-22г отраб.с ДФ '!Z272)/1000</f>
        <v>1957.24</v>
      </c>
      <c r="H129" s="918">
        <f>'Проект на 20-22г отраб.с ДФ '!AA272/1000</f>
        <v>2035.52</v>
      </c>
      <c r="J129" s="945"/>
      <c r="K129" s="3">
        <v>1881.96</v>
      </c>
      <c r="L129" s="3">
        <v>1881.96</v>
      </c>
      <c r="N129" s="3">
        <v>2035.52</v>
      </c>
      <c r="T129" s="1272">
        <v>1881.96</v>
      </c>
      <c r="U129" s="1285">
        <v>1881.96</v>
      </c>
    </row>
    <row r="130" spans="1:21" ht="22.5" customHeight="1">
      <c r="A130" s="886" t="s">
        <v>646</v>
      </c>
      <c r="B130" s="882" t="s">
        <v>712</v>
      </c>
      <c r="C130" s="959" t="s">
        <v>40</v>
      </c>
      <c r="D130" s="924">
        <f>D131+D134+D137</f>
        <v>2808.945</v>
      </c>
      <c r="E130" s="924" t="e">
        <f>E131+#REF!</f>
        <v>#REF!</v>
      </c>
      <c r="F130" s="924" t="e">
        <f>F131+#REF!</f>
        <v>#REF!</v>
      </c>
      <c r="G130" s="924">
        <f>G131</f>
        <v>0</v>
      </c>
      <c r="H130" s="924">
        <f>H131</f>
        <v>0</v>
      </c>
      <c r="J130" s="945"/>
      <c r="K130" s="3">
        <v>2808.905</v>
      </c>
      <c r="L130" s="3">
        <v>2808.905</v>
      </c>
      <c r="N130" s="3">
        <v>0</v>
      </c>
      <c r="T130" s="1272">
        <v>2808.945</v>
      </c>
      <c r="U130" s="1285">
        <v>2808.945</v>
      </c>
    </row>
    <row r="131" spans="1:21" ht="51.75" customHeight="1">
      <c r="A131" s="9" t="s">
        <v>716</v>
      </c>
      <c r="B131" s="12" t="s">
        <v>713</v>
      </c>
      <c r="C131" s="960" t="s">
        <v>40</v>
      </c>
      <c r="D131" s="1046">
        <f>D132</f>
        <v>57.300000000000004</v>
      </c>
      <c r="E131" s="911"/>
      <c r="F131" s="911"/>
      <c r="G131" s="917">
        <f>G135</f>
        <v>0</v>
      </c>
      <c r="H131" s="911">
        <v>0</v>
      </c>
      <c r="J131" s="1015"/>
      <c r="K131" s="3">
        <v>57.28</v>
      </c>
      <c r="L131" s="3">
        <v>57.28</v>
      </c>
      <c r="N131" s="3">
        <v>0</v>
      </c>
      <c r="T131" s="1272">
        <v>57.300000000000004</v>
      </c>
      <c r="U131" s="1285">
        <v>57.300000000000004</v>
      </c>
    </row>
    <row r="132" spans="1:21" ht="15">
      <c r="A132" s="13" t="s">
        <v>53</v>
      </c>
      <c r="B132" s="15" t="s">
        <v>713</v>
      </c>
      <c r="C132" s="956" t="s">
        <v>54</v>
      </c>
      <c r="D132" s="967">
        <f>D133</f>
        <v>57.300000000000004</v>
      </c>
      <c r="E132" s="912"/>
      <c r="F132" s="912"/>
      <c r="G132" s="918">
        <f>G133</f>
        <v>0</v>
      </c>
      <c r="H132" s="912">
        <v>0</v>
      </c>
      <c r="J132" s="1015"/>
      <c r="K132" s="3">
        <v>57.28</v>
      </c>
      <c r="L132" s="3">
        <v>57.28</v>
      </c>
      <c r="N132" s="3">
        <v>0</v>
      </c>
      <c r="T132" s="1272">
        <v>57.300000000000004</v>
      </c>
      <c r="U132" s="1285">
        <v>57.300000000000004</v>
      </c>
    </row>
    <row r="133" spans="1:21" ht="15">
      <c r="A133" s="13" t="s">
        <v>55</v>
      </c>
      <c r="B133" s="15" t="s">
        <v>713</v>
      </c>
      <c r="C133" s="956" t="s">
        <v>56</v>
      </c>
      <c r="D133" s="967">
        <f>'Проект на 20-22г отраб.с ДФ '!V340/1000+0.02</f>
        <v>57.300000000000004</v>
      </c>
      <c r="E133" s="912"/>
      <c r="F133" s="912"/>
      <c r="G133" s="918">
        <v>0</v>
      </c>
      <c r="H133" s="912">
        <v>0</v>
      </c>
      <c r="J133" s="1015"/>
      <c r="K133" s="3">
        <v>57.28</v>
      </c>
      <c r="L133" s="3">
        <v>57.28</v>
      </c>
      <c r="N133" s="3">
        <v>0</v>
      </c>
      <c r="T133" s="1272">
        <v>57.300000000000004</v>
      </c>
      <c r="U133" s="1285">
        <v>57.300000000000004</v>
      </c>
    </row>
    <row r="134" spans="1:21" ht="46.5">
      <c r="A134" s="9" t="s">
        <v>715</v>
      </c>
      <c r="B134" s="15" t="s">
        <v>668</v>
      </c>
      <c r="C134" s="956"/>
      <c r="D134" s="967">
        <f>D135</f>
        <v>84.6048</v>
      </c>
      <c r="E134" s="912"/>
      <c r="F134" s="912"/>
      <c r="G134" s="918"/>
      <c r="H134" s="912"/>
      <c r="J134" s="1015"/>
      <c r="K134" s="3">
        <v>84.5848</v>
      </c>
      <c r="L134" s="3">
        <v>84.5848</v>
      </c>
      <c r="T134" s="1272">
        <v>84.6048</v>
      </c>
      <c r="U134" s="1285">
        <v>84.6048</v>
      </c>
    </row>
    <row r="135" spans="1:21" ht="15">
      <c r="A135" s="13" t="s">
        <v>53</v>
      </c>
      <c r="B135" s="15" t="s">
        <v>668</v>
      </c>
      <c r="C135" s="956" t="s">
        <v>54</v>
      </c>
      <c r="D135" s="967">
        <f>D136</f>
        <v>84.6048</v>
      </c>
      <c r="E135" s="912"/>
      <c r="F135" s="912"/>
      <c r="G135" s="918">
        <f>G136</f>
        <v>0</v>
      </c>
      <c r="H135" s="912">
        <v>0</v>
      </c>
      <c r="J135" s="1015"/>
      <c r="K135" s="3">
        <v>84.5848</v>
      </c>
      <c r="L135" s="3">
        <v>84.5848</v>
      </c>
      <c r="N135" s="3">
        <v>0</v>
      </c>
      <c r="T135" s="1272">
        <v>84.6048</v>
      </c>
      <c r="U135" s="1285">
        <v>84.6048</v>
      </c>
    </row>
    <row r="136" spans="1:21" ht="15">
      <c r="A136" s="13" t="s">
        <v>55</v>
      </c>
      <c r="B136" s="15" t="s">
        <v>668</v>
      </c>
      <c r="C136" s="956" t="s">
        <v>56</v>
      </c>
      <c r="D136" s="967">
        <f>('Проект на 20-22г отраб.с ДФ '!V333+'Проект на 20-22г отраб.с ДФ '!V339+'Проект на 20-22г отраб.с ДФ '!X335+'Проект на 20-22г отраб.с ДФ '!X336)/1000+0.02</f>
        <v>84.6048</v>
      </c>
      <c r="E136" s="912"/>
      <c r="F136" s="912"/>
      <c r="G136" s="918">
        <v>0</v>
      </c>
      <c r="H136" s="912">
        <v>0</v>
      </c>
      <c r="J136" s="1015"/>
      <c r="K136" s="3">
        <v>84.5848</v>
      </c>
      <c r="L136" s="3">
        <v>84.5848</v>
      </c>
      <c r="N136" s="3">
        <v>0</v>
      </c>
      <c r="T136" s="1272">
        <v>84.6048</v>
      </c>
      <c r="U136" s="1285">
        <v>84.6048</v>
      </c>
    </row>
    <row r="137" spans="1:21" ht="51.75" customHeight="1">
      <c r="A137" s="9" t="s">
        <v>648</v>
      </c>
      <c r="B137" s="12" t="s">
        <v>712</v>
      </c>
      <c r="C137" s="960" t="s">
        <v>40</v>
      </c>
      <c r="D137" s="1046">
        <f>D138</f>
        <v>2667.0402000000004</v>
      </c>
      <c r="E137" s="911"/>
      <c r="F137" s="911"/>
      <c r="G137" s="917">
        <f>G140</f>
        <v>407.6559960000001</v>
      </c>
      <c r="H137" s="911">
        <v>0</v>
      </c>
      <c r="J137" s="1015"/>
      <c r="K137" s="3">
        <v>2667.0402000000004</v>
      </c>
      <c r="L137" s="3">
        <v>2667.0402000000004</v>
      </c>
      <c r="N137" s="3">
        <v>0</v>
      </c>
      <c r="T137" s="1272">
        <v>2667.0402000000004</v>
      </c>
      <c r="U137" s="1285">
        <v>2667.0402000000004</v>
      </c>
    </row>
    <row r="138" spans="1:21" ht="15">
      <c r="A138" s="13" t="s">
        <v>53</v>
      </c>
      <c r="B138" s="15" t="s">
        <v>647</v>
      </c>
      <c r="C138" s="956" t="s">
        <v>54</v>
      </c>
      <c r="D138" s="967">
        <f>D139</f>
        <v>2667.0402000000004</v>
      </c>
      <c r="E138" s="912"/>
      <c r="F138" s="912"/>
      <c r="G138" s="918">
        <f>G139</f>
        <v>0</v>
      </c>
      <c r="H138" s="912">
        <v>0</v>
      </c>
      <c r="J138" s="1015"/>
      <c r="K138" s="3">
        <v>2667.0402000000004</v>
      </c>
      <c r="L138" s="3">
        <v>2667.0402000000004</v>
      </c>
      <c r="N138" s="3">
        <v>0</v>
      </c>
      <c r="T138" s="1272">
        <v>2667.0402000000004</v>
      </c>
      <c r="U138" s="1285">
        <v>2667.0402000000004</v>
      </c>
    </row>
    <row r="139" spans="1:21" ht="15">
      <c r="A139" s="13" t="s">
        <v>55</v>
      </c>
      <c r="B139" s="15" t="s">
        <v>647</v>
      </c>
      <c r="C139" s="956" t="s">
        <v>56</v>
      </c>
      <c r="D139" s="967">
        <f>('Проект на 20-22г отраб.с ДФ '!V337+'Проект на 20-22г отраб.с ДФ '!V338+'Проект на 20-22г отраб.с ДФ '!X338+'Проект на 20-22г отраб.с ДФ '!X339+'Проект на 20-22г отраб.с ДФ '!X337)/1000</f>
        <v>2667.0402000000004</v>
      </c>
      <c r="E139" s="912"/>
      <c r="F139" s="912"/>
      <c r="G139" s="918">
        <v>0</v>
      </c>
      <c r="H139" s="912">
        <v>0</v>
      </c>
      <c r="J139" s="1015"/>
      <c r="K139" s="3">
        <v>2667.0402000000004</v>
      </c>
      <c r="L139" s="3">
        <v>2667.0402000000004</v>
      </c>
      <c r="N139" s="3">
        <v>0</v>
      </c>
      <c r="T139" s="1272">
        <v>2667.0402000000004</v>
      </c>
      <c r="U139" s="1285">
        <v>2667.0402000000004</v>
      </c>
    </row>
    <row r="140" spans="1:21" ht="52.5" customHeight="1">
      <c r="A140" s="883" t="s">
        <v>482</v>
      </c>
      <c r="B140" s="893" t="s">
        <v>477</v>
      </c>
      <c r="C140" s="958" t="s">
        <v>40</v>
      </c>
      <c r="D140" s="916">
        <f aca="true" t="shared" si="11" ref="D140:H141">D141</f>
        <v>441.9420660000001</v>
      </c>
      <c r="E140" s="916">
        <f t="shared" si="11"/>
        <v>0</v>
      </c>
      <c r="F140" s="916">
        <f t="shared" si="11"/>
        <v>0</v>
      </c>
      <c r="G140" s="916">
        <f t="shared" si="11"/>
        <v>407.6559960000001</v>
      </c>
      <c r="H140" s="916">
        <f t="shared" si="11"/>
        <v>407.6559960000001</v>
      </c>
      <c r="I140" s="879"/>
      <c r="J140" s="1007"/>
      <c r="K140" s="3">
        <v>441.9420660000001</v>
      </c>
      <c r="L140" s="3">
        <v>441.9420660000001</v>
      </c>
      <c r="N140" s="3">
        <v>407.6559960000001</v>
      </c>
      <c r="T140" s="1272">
        <v>441.9420660000001</v>
      </c>
      <c r="U140" s="1285">
        <v>441.9420660000001</v>
      </c>
    </row>
    <row r="141" spans="1:21" ht="39.75" customHeight="1">
      <c r="A141" s="886" t="s">
        <v>528</v>
      </c>
      <c r="B141" s="882" t="s">
        <v>529</v>
      </c>
      <c r="C141" s="959" t="s">
        <v>40</v>
      </c>
      <c r="D141" s="924">
        <f t="shared" si="11"/>
        <v>441.9420660000001</v>
      </c>
      <c r="E141" s="924">
        <f t="shared" si="11"/>
        <v>0</v>
      </c>
      <c r="F141" s="924">
        <f t="shared" si="11"/>
        <v>0</v>
      </c>
      <c r="G141" s="924">
        <f t="shared" si="11"/>
        <v>407.6559960000001</v>
      </c>
      <c r="H141" s="924">
        <f t="shared" si="11"/>
        <v>407.6559960000001</v>
      </c>
      <c r="J141" s="1007"/>
      <c r="K141" s="944">
        <v>441.9420660000001</v>
      </c>
      <c r="L141" s="3">
        <v>441.9420660000001</v>
      </c>
      <c r="N141" s="3">
        <v>407.6559960000001</v>
      </c>
      <c r="T141" s="1272">
        <v>441.9420660000001</v>
      </c>
      <c r="U141" s="1285">
        <v>441.9420660000001</v>
      </c>
    </row>
    <row r="142" spans="1:21" ht="46.5">
      <c r="A142" s="9" t="s">
        <v>531</v>
      </c>
      <c r="B142" s="20" t="s">
        <v>530</v>
      </c>
      <c r="C142" s="960" t="s">
        <v>40</v>
      </c>
      <c r="D142" s="917">
        <f>D143+D145</f>
        <v>441.9420660000001</v>
      </c>
      <c r="E142" s="917">
        <f>E143+E145</f>
        <v>0</v>
      </c>
      <c r="F142" s="917">
        <f>F143+F145</f>
        <v>0</v>
      </c>
      <c r="G142" s="917">
        <f>G143+G145</f>
        <v>407.6559960000001</v>
      </c>
      <c r="H142" s="917">
        <f>H143+H145</f>
        <v>407.6559960000001</v>
      </c>
      <c r="I142" s="879"/>
      <c r="J142" s="1007"/>
      <c r="K142" s="3">
        <v>441.9420660000001</v>
      </c>
      <c r="L142" s="3">
        <v>441.9420660000001</v>
      </c>
      <c r="N142" s="3">
        <v>407.6559960000001</v>
      </c>
      <c r="T142" s="1272">
        <v>441.9420660000001</v>
      </c>
      <c r="U142" s="1285">
        <v>441.9420660000001</v>
      </c>
    </row>
    <row r="143" spans="1:21" ht="46.5">
      <c r="A143" s="13" t="s">
        <v>60</v>
      </c>
      <c r="B143" s="20" t="s">
        <v>530</v>
      </c>
      <c r="C143" s="956" t="s">
        <v>50</v>
      </c>
      <c r="D143" s="918">
        <f>D144</f>
        <v>416.9420660000001</v>
      </c>
      <c r="E143" s="923"/>
      <c r="F143" s="923"/>
      <c r="G143" s="918">
        <f>G144</f>
        <v>407.6559960000001</v>
      </c>
      <c r="H143" s="918">
        <f>H144</f>
        <v>407.6559960000001</v>
      </c>
      <c r="I143" s="879"/>
      <c r="J143" s="1007"/>
      <c r="K143" s="3">
        <v>416.9420660000001</v>
      </c>
      <c r="L143" s="3">
        <v>416.9420660000001</v>
      </c>
      <c r="N143" s="3">
        <v>407.6559960000001</v>
      </c>
      <c r="T143" s="1272">
        <v>416.9420660000001</v>
      </c>
      <c r="U143" s="1285">
        <v>416.9420660000001</v>
      </c>
    </row>
    <row r="144" spans="1:21" ht="15">
      <c r="A144" s="13" t="s">
        <v>61</v>
      </c>
      <c r="B144" s="20" t="s">
        <v>530</v>
      </c>
      <c r="C144" s="956" t="s">
        <v>52</v>
      </c>
      <c r="D144" s="918">
        <f>('Проект на 20-22г отраб.с ДФ '!V461+'Проект на 20-22г отраб.с ДФ '!V463+'Проект на 20-22г отраб.с ДФ '!X463)/1000</f>
        <v>416.9420660000001</v>
      </c>
      <c r="E144" s="923"/>
      <c r="F144" s="923"/>
      <c r="G144" s="918">
        <f>('Проект на 20-22г отраб.с ДФ '!Z460+'Проект на 20-22г отраб.с ДФ '!Z462)/1000</f>
        <v>407.6559960000001</v>
      </c>
      <c r="H144" s="918">
        <f>('Проект на 20-22г отраб.с ДФ '!AA460+'Проект на 20-22г отраб.с ДФ '!AA462)/1000</f>
        <v>407.6559960000001</v>
      </c>
      <c r="I144" s="879"/>
      <c r="J144" s="1007"/>
      <c r="K144" s="3">
        <v>416.9420660000001</v>
      </c>
      <c r="L144" s="3">
        <v>416.9420660000001</v>
      </c>
      <c r="N144" s="3">
        <v>407.6559960000001</v>
      </c>
      <c r="T144" s="1272">
        <v>416.9420660000001</v>
      </c>
      <c r="U144" s="1285">
        <v>416.9420660000001</v>
      </c>
    </row>
    <row r="145" spans="1:21" ht="15">
      <c r="A145" s="13" t="s">
        <v>53</v>
      </c>
      <c r="B145" s="20" t="s">
        <v>530</v>
      </c>
      <c r="C145" s="956" t="s">
        <v>54</v>
      </c>
      <c r="D145" s="918">
        <f>D146</f>
        <v>25</v>
      </c>
      <c r="E145" s="923"/>
      <c r="F145" s="923"/>
      <c r="G145" s="918">
        <f>G146</f>
        <v>0</v>
      </c>
      <c r="H145" s="918">
        <f>H146</f>
        <v>0</v>
      </c>
      <c r="I145" s="879"/>
      <c r="J145" s="1007"/>
      <c r="K145" s="3">
        <v>25</v>
      </c>
      <c r="L145" s="3">
        <v>25</v>
      </c>
      <c r="N145" s="3">
        <v>0</v>
      </c>
      <c r="T145" s="1272">
        <v>25</v>
      </c>
      <c r="U145" s="1285">
        <v>25</v>
      </c>
    </row>
    <row r="146" spans="1:21" ht="15">
      <c r="A146" s="13" t="s">
        <v>55</v>
      </c>
      <c r="B146" s="20" t="s">
        <v>530</v>
      </c>
      <c r="C146" s="956" t="s">
        <v>56</v>
      </c>
      <c r="D146" s="918">
        <f>('Проект на 20-22г отраб.с ДФ '!V466+'Проект на 20-22г отраб.с ДФ '!V464+'Проект на 20-22г отраб.с ДФ '!X465)/1000</f>
        <v>25</v>
      </c>
      <c r="E146" s="923"/>
      <c r="F146" s="923"/>
      <c r="G146" s="918">
        <f>('Проект на 20-22г отраб.с ДФ '!Z464+'Проект на 20-22г отраб.с ДФ '!Z463)/1000</f>
        <v>0</v>
      </c>
      <c r="H146" s="918">
        <f>('Проект на 20-22г отраб.с ДФ '!AA464+'Проект на 20-22г отраб.с ДФ '!AA463)/1000</f>
        <v>0</v>
      </c>
      <c r="I146" s="879"/>
      <c r="J146" s="1007"/>
      <c r="K146" s="3">
        <v>25</v>
      </c>
      <c r="L146" s="3">
        <v>25</v>
      </c>
      <c r="N146" s="3">
        <v>0</v>
      </c>
      <c r="T146" s="1272">
        <v>25</v>
      </c>
      <c r="U146" s="1285">
        <v>25</v>
      </c>
    </row>
    <row r="147" spans="1:21" ht="42" customHeight="1">
      <c r="A147" s="883" t="s">
        <v>483</v>
      </c>
      <c r="B147" s="893" t="s">
        <v>479</v>
      </c>
      <c r="C147" s="958" t="s">
        <v>40</v>
      </c>
      <c r="D147" s="916">
        <f>D148</f>
        <v>9260.77663086144</v>
      </c>
      <c r="E147" s="916" t="e">
        <f>E148</f>
        <v>#REF!</v>
      </c>
      <c r="F147" s="916" t="e">
        <f>F148</f>
        <v>#REF!</v>
      </c>
      <c r="G147" s="916">
        <f>G148</f>
        <v>7044.840760937439</v>
      </c>
      <c r="H147" s="916">
        <f>H148</f>
        <v>7648.54896093744</v>
      </c>
      <c r="I147" s="879">
        <v>8734.3</v>
      </c>
      <c r="J147" s="927">
        <f>I147-D147</f>
        <v>-526.4766308614398</v>
      </c>
      <c r="K147" s="3">
        <v>9260.77663086144</v>
      </c>
      <c r="L147" s="3">
        <v>9260.77663086144</v>
      </c>
      <c r="N147" s="3">
        <v>7648.44896093744</v>
      </c>
      <c r="T147" s="1272">
        <v>9260.77663086144</v>
      </c>
      <c r="U147" s="1285">
        <v>9260.77663086144</v>
      </c>
    </row>
    <row r="148" spans="1:21" ht="39.75" customHeight="1">
      <c r="A148" s="886" t="s">
        <v>520</v>
      </c>
      <c r="B148" s="882" t="s">
        <v>521</v>
      </c>
      <c r="C148" s="959" t="s">
        <v>40</v>
      </c>
      <c r="D148" s="924">
        <f>D149</f>
        <v>9260.77663086144</v>
      </c>
      <c r="E148" s="924" t="e">
        <f>E149+#REF!</f>
        <v>#REF!</v>
      </c>
      <c r="F148" s="924" t="e">
        <f>F149+#REF!</f>
        <v>#REF!</v>
      </c>
      <c r="G148" s="924">
        <f>G149</f>
        <v>7044.840760937439</v>
      </c>
      <c r="H148" s="924">
        <f>H149</f>
        <v>7648.54896093744</v>
      </c>
      <c r="J148" s="929">
        <f>D148+G148+H148</f>
        <v>23954.16635273632</v>
      </c>
      <c r="K148" s="3">
        <v>9260.77663086144</v>
      </c>
      <c r="L148" s="3">
        <v>9260.77663086144</v>
      </c>
      <c r="N148" s="3">
        <v>7648.44896093744</v>
      </c>
      <c r="T148" s="1272">
        <v>9260.77663086144</v>
      </c>
      <c r="U148" s="1285">
        <v>9260.77663086144</v>
      </c>
    </row>
    <row r="149" spans="1:21" ht="62.25">
      <c r="A149" s="9" t="s">
        <v>522</v>
      </c>
      <c r="B149" s="20" t="s">
        <v>517</v>
      </c>
      <c r="C149" s="960" t="s">
        <v>40</v>
      </c>
      <c r="D149" s="917">
        <f>D150+D154+D156+D152</f>
        <v>9260.77663086144</v>
      </c>
      <c r="E149" s="917">
        <f>E150+E154+E156</f>
        <v>5296.2</v>
      </c>
      <c r="F149" s="917">
        <f>F150+F154+F156</f>
        <v>5296.2</v>
      </c>
      <c r="G149" s="917">
        <f>G150+G154+G156+G152</f>
        <v>7044.840760937439</v>
      </c>
      <c r="H149" s="917">
        <f>H150+H154+H156+H152</f>
        <v>7648.54896093744</v>
      </c>
      <c r="I149" s="879"/>
      <c r="K149" s="3">
        <v>9260.77663086144</v>
      </c>
      <c r="L149" s="3">
        <v>9260.77663086144</v>
      </c>
      <c r="N149" s="3">
        <v>7648.44896093744</v>
      </c>
      <c r="T149" s="1272">
        <v>9260.77663086144</v>
      </c>
      <c r="U149" s="1285">
        <v>9260.77663086144</v>
      </c>
    </row>
    <row r="150" spans="1:21" ht="46.5">
      <c r="A150" s="13" t="s">
        <v>60</v>
      </c>
      <c r="B150" s="22" t="s">
        <v>517</v>
      </c>
      <c r="C150" s="956" t="s">
        <v>50</v>
      </c>
      <c r="D150" s="918">
        <f>D151</f>
        <v>5963.44200293744</v>
      </c>
      <c r="E150" s="918">
        <v>5296.2</v>
      </c>
      <c r="F150" s="918">
        <v>5296.2</v>
      </c>
      <c r="G150" s="918">
        <f>G151</f>
        <v>5843.44200293744</v>
      </c>
      <c r="H150" s="918">
        <f>H151</f>
        <v>5958.54200293744</v>
      </c>
      <c r="I150" s="879"/>
      <c r="K150" s="3">
        <v>5963.44200293744</v>
      </c>
      <c r="L150" s="3">
        <v>5963.44200293744</v>
      </c>
      <c r="N150" s="3">
        <v>5958.44200293744</v>
      </c>
      <c r="T150" s="1272">
        <v>5963.44200293744</v>
      </c>
      <c r="U150" s="1285">
        <v>5963.44200293744</v>
      </c>
    </row>
    <row r="151" spans="1:21" ht="15">
      <c r="A151" s="13" t="s">
        <v>61</v>
      </c>
      <c r="B151" s="22" t="s">
        <v>517</v>
      </c>
      <c r="C151" s="956" t="s">
        <v>52</v>
      </c>
      <c r="D151" s="948">
        <f>('Проект на 20-22г отраб.с ДФ '!V85+'Проект на 20-22г отраб.с ДФ '!V90+'Проект на 20-22г отраб.с ДФ '!X90)/1000</f>
        <v>5963.44200293744</v>
      </c>
      <c r="E151" s="918">
        <v>5296.2</v>
      </c>
      <c r="F151" s="918">
        <v>5296.2</v>
      </c>
      <c r="G151" s="918">
        <f>'Проект на 20-22г отраб.с ДФ '!Z89/1000</f>
        <v>5843.44200293744</v>
      </c>
      <c r="H151" s="918">
        <f>('Проект на 20-22г отраб.с ДФ '!AA84+'Проект на 20-22г отраб.с ДФ '!AA89)/1000+0.1</f>
        <v>5958.54200293744</v>
      </c>
      <c r="I151" s="879"/>
      <c r="K151" s="3">
        <v>5963.44200293744</v>
      </c>
      <c r="L151" s="3">
        <v>5963.44200293744</v>
      </c>
      <c r="N151" s="3">
        <v>5958.44200293744</v>
      </c>
      <c r="T151" s="1272">
        <v>5963.44200293744</v>
      </c>
      <c r="U151" s="1285">
        <v>5963.44200293744</v>
      </c>
    </row>
    <row r="152" spans="1:54" ht="46.5">
      <c r="A152" s="13" t="s">
        <v>60</v>
      </c>
      <c r="B152" s="22" t="s">
        <v>517</v>
      </c>
      <c r="C152" s="956" t="s">
        <v>50</v>
      </c>
      <c r="D152" s="918">
        <f>D153</f>
        <v>347.47255</v>
      </c>
      <c r="E152" s="918">
        <v>5296.2</v>
      </c>
      <c r="F152" s="918">
        <v>5296.2</v>
      </c>
      <c r="G152" s="918">
        <f>G153</f>
        <v>0</v>
      </c>
      <c r="H152" s="918">
        <f>H153</f>
        <v>0</v>
      </c>
      <c r="I152" s="879"/>
      <c r="J152" s="1017"/>
      <c r="K152" s="878">
        <v>347.47255</v>
      </c>
      <c r="L152" s="3">
        <v>347.47255</v>
      </c>
      <c r="N152" s="22">
        <v>0</v>
      </c>
      <c r="O152" s="956" t="s">
        <v>57</v>
      </c>
      <c r="P152" s="918">
        <f>P153</f>
        <v>32.4</v>
      </c>
      <c r="R152" s="1047"/>
      <c r="S152" s="1048"/>
      <c r="T152" s="1273">
        <v>347.47255</v>
      </c>
      <c r="U152" s="1286">
        <v>347.47255</v>
      </c>
      <c r="V152" s="943"/>
      <c r="W152" s="943"/>
      <c r="X152" s="943"/>
      <c r="Y152" s="943"/>
      <c r="Z152" s="943"/>
      <c r="AA152" s="943"/>
      <c r="AB152" s="943"/>
      <c r="AC152" s="943"/>
      <c r="AD152" s="943"/>
      <c r="AE152" s="943"/>
      <c r="AF152" s="943"/>
      <c r="AG152" s="943"/>
      <c r="AH152" s="943"/>
      <c r="AI152" s="943"/>
      <c r="AJ152" s="943"/>
      <c r="AK152" s="943"/>
      <c r="AL152" s="943"/>
      <c r="AM152" s="943"/>
      <c r="AN152" s="943"/>
      <c r="AO152" s="943"/>
      <c r="AP152" s="943"/>
      <c r="AQ152" s="943"/>
      <c r="AR152" s="943"/>
      <c r="AS152" s="943"/>
      <c r="AT152" s="943"/>
      <c r="AU152" s="943"/>
      <c r="AV152" s="943"/>
      <c r="AW152" s="943"/>
      <c r="AX152" s="943"/>
      <c r="AY152" s="943"/>
      <c r="AZ152" s="943"/>
      <c r="BA152" s="943"/>
      <c r="BB152" s="943"/>
    </row>
    <row r="153" spans="1:54" ht="15">
      <c r="A153" s="13" t="s">
        <v>61</v>
      </c>
      <c r="B153" s="22" t="s">
        <v>517</v>
      </c>
      <c r="C153" s="956" t="s">
        <v>52</v>
      </c>
      <c r="D153" s="918">
        <f>'Проект на 20-22г отраб.с ДФ '!V482/1000</f>
        <v>347.47255</v>
      </c>
      <c r="E153" s="918">
        <v>5296.2</v>
      </c>
      <c r="F153" s="918">
        <v>5296.2</v>
      </c>
      <c r="G153" s="918"/>
      <c r="H153" s="918"/>
      <c r="I153" s="879"/>
      <c r="J153" s="1017"/>
      <c r="K153" s="878">
        <v>347.47255</v>
      </c>
      <c r="L153" s="3">
        <v>347.47255</v>
      </c>
      <c r="N153" s="22"/>
      <c r="O153" s="956" t="s">
        <v>59</v>
      </c>
      <c r="P153" s="918">
        <v>32.4</v>
      </c>
      <c r="Q153" s="3">
        <f>SUM(Q10:Q152)</f>
        <v>0</v>
      </c>
      <c r="R153" s="1047"/>
      <c r="S153" s="1048"/>
      <c r="T153" s="1273">
        <v>347.47255</v>
      </c>
      <c r="U153" s="1286">
        <v>347.47255</v>
      </c>
      <c r="V153" s="943"/>
      <c r="W153" s="943"/>
      <c r="X153" s="943"/>
      <c r="Y153" s="943"/>
      <c r="Z153" s="943"/>
      <c r="AA153" s="943"/>
      <c r="AB153" s="943"/>
      <c r="AC153" s="943"/>
      <c r="AD153" s="943"/>
      <c r="AE153" s="943"/>
      <c r="AF153" s="943"/>
      <c r="AG153" s="943"/>
      <c r="AH153" s="943"/>
      <c r="AI153" s="943"/>
      <c r="AJ153" s="943"/>
      <c r="AK153" s="943"/>
      <c r="AL153" s="943"/>
      <c r="AM153" s="943"/>
      <c r="AN153" s="943"/>
      <c r="AO153" s="943"/>
      <c r="AP153" s="943"/>
      <c r="AQ153" s="943"/>
      <c r="AR153" s="943"/>
      <c r="AS153" s="943"/>
      <c r="AT153" s="943"/>
      <c r="AU153" s="943"/>
      <c r="AV153" s="943"/>
      <c r="AW153" s="943"/>
      <c r="AX153" s="943"/>
      <c r="AY153" s="943"/>
      <c r="AZ153" s="943"/>
      <c r="BA153" s="943"/>
      <c r="BB153" s="943"/>
    </row>
    <row r="154" spans="1:21" ht="15">
      <c r="A154" s="13" t="s">
        <v>53</v>
      </c>
      <c r="B154" s="22" t="s">
        <v>517</v>
      </c>
      <c r="C154" s="956" t="s">
        <v>54</v>
      </c>
      <c r="D154" s="918">
        <f>D155</f>
        <v>2945.862077924</v>
      </c>
      <c r="E154" s="918">
        <f>E155</f>
        <v>0</v>
      </c>
      <c r="F154" s="918">
        <f>F155</f>
        <v>0</v>
      </c>
      <c r="G154" s="918">
        <f>G155</f>
        <v>1201.3987579999998</v>
      </c>
      <c r="H154" s="918">
        <f>H155</f>
        <v>1690.006958</v>
      </c>
      <c r="I154" s="879"/>
      <c r="J154" s="927">
        <f>D150+G150+H150</f>
        <v>17765.42600881232</v>
      </c>
      <c r="K154" s="3">
        <v>2945.862077924</v>
      </c>
      <c r="L154" s="3">
        <v>2945.862077924</v>
      </c>
      <c r="N154" s="3">
        <v>1690.006958</v>
      </c>
      <c r="T154" s="1272">
        <v>2945.862077924</v>
      </c>
      <c r="U154" s="1285">
        <v>2945.862077924</v>
      </c>
    </row>
    <row r="155" spans="1:21" ht="15">
      <c r="A155" s="13" t="s">
        <v>55</v>
      </c>
      <c r="B155" s="22" t="s">
        <v>517</v>
      </c>
      <c r="C155" s="956" t="s">
        <v>56</v>
      </c>
      <c r="D155" s="918">
        <f>('Проект на 20-22г отраб.с ДФ '!V147+'Проект на 20-22г отраб.с ДФ '!X147)/1000</f>
        <v>2945.862077924</v>
      </c>
      <c r="E155" s="921"/>
      <c r="F155" s="921"/>
      <c r="G155" s="918">
        <f>('Проект на 20-22г отраб.с ДФ '!Z97+'Проект на 20-22г отраб.с ДФ '!Z104+'Проект на 20-22г отраб.с ДФ '!Z115+'Проект на 20-22г отраб.с ДФ '!Z129+'Проект на 20-22г отраб.с ДФ '!Z144)/1000</f>
        <v>1201.3987579999998</v>
      </c>
      <c r="H155" s="918">
        <f>('Проект на 20-22г отраб.с ДФ '!AA97+'Проект на 20-22г отраб.с ДФ '!AA104+'Проект на 20-22г отраб.с ДФ '!AA115+'Проект на 20-22г отраб.с ДФ '!AA129+'Проект на 20-22г отраб.с ДФ '!AA144)/1000</f>
        <v>1690.006958</v>
      </c>
      <c r="I155" s="879"/>
      <c r="K155" s="3">
        <v>2945.862077924</v>
      </c>
      <c r="L155" s="3">
        <v>2945.862077924</v>
      </c>
      <c r="N155" s="3">
        <v>1690.006958</v>
      </c>
      <c r="T155" s="1272">
        <v>2945.862077924</v>
      </c>
      <c r="U155" s="1285">
        <v>2945.862077924</v>
      </c>
    </row>
    <row r="156" spans="1:21" ht="15">
      <c r="A156" s="13" t="s">
        <v>45</v>
      </c>
      <c r="B156" s="22" t="s">
        <v>517</v>
      </c>
      <c r="C156" s="956" t="s">
        <v>57</v>
      </c>
      <c r="D156" s="918">
        <f>D157</f>
        <v>4</v>
      </c>
      <c r="E156" s="918"/>
      <c r="F156" s="918"/>
      <c r="G156" s="918">
        <v>0</v>
      </c>
      <c r="H156" s="918">
        <v>0</v>
      </c>
      <c r="I156" s="879"/>
      <c r="K156" s="3">
        <v>4</v>
      </c>
      <c r="L156" s="3">
        <v>4</v>
      </c>
      <c r="N156" s="3">
        <v>0</v>
      </c>
      <c r="T156" s="1272">
        <v>4</v>
      </c>
      <c r="U156" s="1285">
        <v>4</v>
      </c>
    </row>
    <row r="157" spans="1:21" ht="15">
      <c r="A157" s="16" t="s">
        <v>58</v>
      </c>
      <c r="B157" s="22" t="s">
        <v>517</v>
      </c>
      <c r="C157" s="956" t="s">
        <v>59</v>
      </c>
      <c r="D157" s="918">
        <f>('Проект на 20-22г отраб.с ДФ '!V135+'Проект на 20-22г отраб.с ДФ '!V134+'Проект на 20-22г отраб.с ДФ '!X148)/1000</f>
        <v>4</v>
      </c>
      <c r="E157" s="918" t="e">
        <f>#REF!+#REF!</f>
        <v>#REF!</v>
      </c>
      <c r="F157" s="918" t="e">
        <f>#REF!+#REF!</f>
        <v>#REF!</v>
      </c>
      <c r="G157" s="918">
        <v>0</v>
      </c>
      <c r="H157" s="918">
        <v>0</v>
      </c>
      <c r="I157" s="879"/>
      <c r="K157" s="3">
        <v>4</v>
      </c>
      <c r="L157" s="3">
        <v>4</v>
      </c>
      <c r="N157" s="3">
        <v>0</v>
      </c>
      <c r="T157" s="1272">
        <v>4</v>
      </c>
      <c r="U157" s="1285">
        <v>4</v>
      </c>
    </row>
    <row r="159" ht="12.75">
      <c r="B159" s="903"/>
    </row>
  </sheetData>
  <sheetProtection/>
  <mergeCells count="5">
    <mergeCell ref="C3:H3"/>
    <mergeCell ref="D4:H4"/>
    <mergeCell ref="A5:H5"/>
    <mergeCell ref="C1:H1"/>
    <mergeCell ref="D2:H2"/>
  </mergeCells>
  <printOptions/>
  <pageMargins left="0" right="0" top="0" bottom="0" header="0.31496062992125984" footer="0.31496062992125984"/>
  <pageSetup fitToHeight="10"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BT899"/>
  <sheetViews>
    <sheetView zoomScalePageLayoutView="0" workbookViewId="0" topLeftCell="A478">
      <selection activeCell="X570" sqref="X570"/>
    </sheetView>
  </sheetViews>
  <sheetFormatPr defaultColWidth="9.140625" defaultRowHeight="15"/>
  <cols>
    <col min="1" max="1" width="0.5625" style="39" customWidth="1"/>
    <col min="2" max="3" width="0" style="39" hidden="1" customWidth="1"/>
    <col min="4" max="4" width="10.00390625" style="39" customWidth="1"/>
    <col min="5" max="5" width="4.28125" style="39" customWidth="1"/>
    <col min="6" max="6" width="4.140625" style="39" customWidth="1"/>
    <col min="7" max="7" width="10.57421875" style="39" customWidth="1"/>
    <col min="8" max="8" width="8.28125" style="39" customWidth="1"/>
    <col min="9" max="9" width="3.7109375" style="39" customWidth="1"/>
    <col min="10" max="10" width="8.8515625" style="401" customWidth="1"/>
    <col min="11" max="11" width="0.2890625" style="39" customWidth="1"/>
    <col min="12" max="12" width="0.42578125" style="402" hidden="1" customWidth="1"/>
    <col min="13" max="13" width="8.57421875" style="402" hidden="1" customWidth="1"/>
    <col min="14" max="14" width="14.00390625" style="402" hidden="1" customWidth="1"/>
    <col min="15" max="15" width="11.00390625" style="402" hidden="1" customWidth="1"/>
    <col min="16" max="16" width="10.8515625" style="402" hidden="1" customWidth="1"/>
    <col min="17" max="17" width="25.00390625" style="403" hidden="1" customWidth="1"/>
    <col min="18" max="18" width="14.57421875" style="404" hidden="1" customWidth="1"/>
    <col min="19" max="20" width="12.140625" style="404" hidden="1" customWidth="1"/>
    <col min="21" max="21" width="11.421875" style="404" hidden="1" customWidth="1"/>
    <col min="22" max="22" width="13.57421875" style="39" customWidth="1"/>
    <col min="23" max="23" width="26.7109375" style="405" customWidth="1"/>
    <col min="24" max="24" width="16.8515625" style="406" customWidth="1"/>
    <col min="25" max="25" width="27.28125" style="407" customWidth="1"/>
    <col min="26" max="26" width="11.7109375" style="405" customWidth="1"/>
    <col min="27" max="27" width="11.57421875" style="39" customWidth="1"/>
    <col min="28" max="35" width="0" style="39" hidden="1" customWidth="1"/>
    <col min="36" max="38" width="1.57421875" style="39" customWidth="1"/>
    <col min="39" max="40" width="13.7109375" style="38" bestFit="1" customWidth="1"/>
    <col min="41" max="41" width="12.00390625" style="38" customWidth="1"/>
    <col min="42" max="42" width="13.28125" style="38" customWidth="1"/>
    <col min="43" max="58" width="8.8515625" style="38" customWidth="1"/>
    <col min="59" max="16384" width="8.8515625" style="39" customWidth="1"/>
  </cols>
  <sheetData>
    <row r="1" spans="1:38" ht="409.5" customHeight="1" hidden="1">
      <c r="A1" s="30"/>
      <c r="B1" s="30">
        <v>10</v>
      </c>
      <c r="C1" s="30"/>
      <c r="D1" s="30"/>
      <c r="E1" s="30"/>
      <c r="F1" s="30">
        <v>4</v>
      </c>
      <c r="G1" s="30"/>
      <c r="H1" s="30"/>
      <c r="I1" s="30"/>
      <c r="J1" s="31"/>
      <c r="K1" s="30"/>
      <c r="L1" s="32"/>
      <c r="M1" s="32"/>
      <c r="N1" s="32"/>
      <c r="O1" s="32"/>
      <c r="P1" s="32"/>
      <c r="Q1" s="33"/>
      <c r="R1" s="34"/>
      <c r="S1" s="34"/>
      <c r="T1" s="34"/>
      <c r="U1" s="34"/>
      <c r="V1" s="30"/>
      <c r="W1" s="35"/>
      <c r="X1" s="36"/>
      <c r="Y1" s="37"/>
      <c r="Z1" s="35"/>
      <c r="AA1" s="30"/>
      <c r="AB1" s="30"/>
      <c r="AC1" s="30"/>
      <c r="AD1" s="30"/>
      <c r="AE1" s="30"/>
      <c r="AF1" s="30"/>
      <c r="AG1" s="30"/>
      <c r="AH1" s="30"/>
      <c r="AI1" s="30"/>
      <c r="AJ1" s="30"/>
      <c r="AK1" s="30"/>
      <c r="AL1" s="30"/>
    </row>
    <row r="2" spans="1:36" ht="12.75" customHeight="1">
      <c r="A2" s="40"/>
      <c r="B2" s="40"/>
      <c r="C2" s="40"/>
      <c r="D2" s="1564" t="s">
        <v>93</v>
      </c>
      <c r="E2" s="1565"/>
      <c r="F2" s="1565"/>
      <c r="G2" s="41"/>
      <c r="H2" s="40"/>
      <c r="I2" s="40"/>
      <c r="J2" s="42" t="s">
        <v>567</v>
      </c>
      <c r="K2" s="30"/>
      <c r="L2" s="32"/>
      <c r="M2" s="32"/>
      <c r="N2" s="32"/>
      <c r="O2" s="32"/>
      <c r="P2" s="32"/>
      <c r="Q2" s="43" t="s">
        <v>93</v>
      </c>
      <c r="R2" s="43"/>
      <c r="S2" s="43"/>
      <c r="T2" s="34"/>
      <c r="U2" s="34"/>
      <c r="V2" s="30"/>
      <c r="W2" s="1566" t="s">
        <v>94</v>
      </c>
      <c r="X2" s="1566"/>
      <c r="Y2" s="1566"/>
      <c r="Z2" s="1566"/>
      <c r="AA2" s="1566"/>
      <c r="AB2" s="30"/>
      <c r="AC2" s="30"/>
      <c r="AD2" s="30"/>
      <c r="AE2" s="30"/>
      <c r="AF2" s="30"/>
      <c r="AG2" s="30"/>
      <c r="AH2" s="30"/>
      <c r="AI2" s="30"/>
      <c r="AJ2" s="30"/>
    </row>
    <row r="3" spans="1:43" ht="18.75" customHeight="1">
      <c r="A3" s="44" t="s">
        <v>95</v>
      </c>
      <c r="B3" s="40"/>
      <c r="C3" s="40"/>
      <c r="D3" s="1567" t="s">
        <v>96</v>
      </c>
      <c r="E3" s="45"/>
      <c r="F3" s="46"/>
      <c r="G3" s="1567" t="s">
        <v>97</v>
      </c>
      <c r="H3" s="1567" t="s">
        <v>568</v>
      </c>
      <c r="I3" s="40"/>
      <c r="J3" s="47"/>
      <c r="K3" s="48"/>
      <c r="L3" s="49"/>
      <c r="M3" s="32"/>
      <c r="N3" s="32"/>
      <c r="O3" s="32"/>
      <c r="P3" s="32"/>
      <c r="Q3" s="50" t="s">
        <v>98</v>
      </c>
      <c r="R3" s="51" t="s">
        <v>99</v>
      </c>
      <c r="S3" s="52"/>
      <c r="T3" s="34"/>
      <c r="U3" s="34"/>
      <c r="V3" s="30"/>
      <c r="W3" s="53"/>
      <c r="X3" s="36"/>
      <c r="Y3" s="54"/>
      <c r="Z3" s="53" t="s">
        <v>465</v>
      </c>
      <c r="AA3" s="53" t="s">
        <v>570</v>
      </c>
      <c r="AB3" s="30"/>
      <c r="AC3" s="30"/>
      <c r="AD3" s="30"/>
      <c r="AE3" s="30"/>
      <c r="AF3" s="30"/>
      <c r="AG3" s="30"/>
      <c r="AH3" s="30"/>
      <c r="AI3" s="30"/>
      <c r="AJ3" s="30"/>
      <c r="AK3" s="30"/>
      <c r="AL3" s="30"/>
      <c r="AM3" s="55" t="s">
        <v>100</v>
      </c>
      <c r="AN3" s="55"/>
      <c r="AO3" s="55"/>
      <c r="AP3" s="55"/>
      <c r="AQ3" s="55"/>
    </row>
    <row r="4" spans="1:43" ht="31.5" customHeight="1">
      <c r="A4" s="56"/>
      <c r="B4" s="57"/>
      <c r="C4" s="57"/>
      <c r="D4" s="1567"/>
      <c r="E4" s="58"/>
      <c r="F4" s="59"/>
      <c r="G4" s="1567"/>
      <c r="H4" s="1567"/>
      <c r="I4" s="57"/>
      <c r="J4" s="60"/>
      <c r="K4" s="61"/>
      <c r="L4" s="61"/>
      <c r="M4" s="62"/>
      <c r="N4" s="62"/>
      <c r="O4" s="63" t="s">
        <v>101</v>
      </c>
      <c r="P4" s="64"/>
      <c r="Q4" s="65"/>
      <c r="R4" s="66" t="s">
        <v>102</v>
      </c>
      <c r="S4" s="66"/>
      <c r="T4" s="64"/>
      <c r="U4" s="64"/>
      <c r="V4" s="992" t="s">
        <v>569</v>
      </c>
      <c r="W4" s="53" t="s">
        <v>103</v>
      </c>
      <c r="X4" s="36"/>
      <c r="Y4" s="54"/>
      <c r="Z4" s="53"/>
      <c r="AA4" s="53"/>
      <c r="AB4" s="30"/>
      <c r="AC4" s="30"/>
      <c r="AD4" s="30"/>
      <c r="AE4" s="30"/>
      <c r="AF4" s="30"/>
      <c r="AG4" s="30"/>
      <c r="AH4" s="30"/>
      <c r="AI4" s="30"/>
      <c r="AJ4" s="30"/>
      <c r="AK4" s="30"/>
      <c r="AL4" s="38"/>
      <c r="AM4" s="55" t="s">
        <v>104</v>
      </c>
      <c r="AN4" s="55"/>
      <c r="AO4" s="55"/>
      <c r="AP4" s="55"/>
      <c r="AQ4" s="55"/>
    </row>
    <row r="5" spans="1:43" ht="23.25" customHeight="1">
      <c r="A5" s="56"/>
      <c r="B5" s="57"/>
      <c r="C5" s="57"/>
      <c r="D5" s="67">
        <v>8200000</v>
      </c>
      <c r="E5" s="68" t="s">
        <v>105</v>
      </c>
      <c r="F5" s="69"/>
      <c r="G5" s="67">
        <v>10226000</v>
      </c>
      <c r="H5" s="67">
        <v>10746000</v>
      </c>
      <c r="I5" s="57"/>
      <c r="J5" s="60" t="s">
        <v>106</v>
      </c>
      <c r="K5" s="61"/>
      <c r="L5" s="62" t="s">
        <v>107</v>
      </c>
      <c r="M5" s="1568">
        <v>38851803</v>
      </c>
      <c r="N5" s="1568"/>
      <c r="O5" s="1569">
        <v>17121403</v>
      </c>
      <c r="P5" s="1557"/>
      <c r="Q5" s="65">
        <f>Q10-Q6</f>
        <v>3755000</v>
      </c>
      <c r="R5" s="70" t="s">
        <v>108</v>
      </c>
      <c r="S5" s="65">
        <v>4174000</v>
      </c>
      <c r="T5" s="64"/>
      <c r="U5" s="64"/>
      <c r="V5" s="71">
        <v>9672000</v>
      </c>
      <c r="W5" s="53" t="s">
        <v>109</v>
      </c>
      <c r="X5" s="36"/>
      <c r="Y5" s="54"/>
      <c r="Z5" s="72">
        <v>11046000</v>
      </c>
      <c r="AA5" s="72">
        <v>11346000</v>
      </c>
      <c r="AB5" s="30"/>
      <c r="AC5" s="30"/>
      <c r="AD5" s="30"/>
      <c r="AE5" s="30"/>
      <c r="AF5" s="30"/>
      <c r="AG5" s="30"/>
      <c r="AH5" s="30"/>
      <c r="AI5" s="30"/>
      <c r="AJ5" s="30"/>
      <c r="AK5" s="30"/>
      <c r="AL5" s="30"/>
      <c r="AM5" s="55" t="s">
        <v>110</v>
      </c>
      <c r="AN5" s="55"/>
      <c r="AO5" s="55"/>
      <c r="AP5" s="55"/>
      <c r="AQ5" s="55"/>
    </row>
    <row r="6" spans="1:38" ht="12.75" customHeight="1">
      <c r="A6" s="56"/>
      <c r="B6" s="73"/>
      <c r="C6" s="73"/>
      <c r="D6" s="67">
        <v>17895920</v>
      </c>
      <c r="E6" s="68" t="s">
        <v>111</v>
      </c>
      <c r="F6" s="74"/>
      <c r="G6" s="67">
        <v>32364980</v>
      </c>
      <c r="H6" s="993">
        <v>34203676</v>
      </c>
      <c r="I6" s="73"/>
      <c r="J6" s="75"/>
      <c r="K6" s="62"/>
      <c r="L6" s="62" t="s">
        <v>112</v>
      </c>
      <c r="M6" s="76">
        <v>2905000</v>
      </c>
      <c r="N6" s="76"/>
      <c r="O6" s="1557"/>
      <c r="P6" s="1558"/>
      <c r="Q6" s="77">
        <v>38851803</v>
      </c>
      <c r="R6" s="70" t="s">
        <v>113</v>
      </c>
      <c r="S6" s="65">
        <f>23193600</f>
        <v>23193600</v>
      </c>
      <c r="T6" s="64"/>
      <c r="U6" s="64"/>
      <c r="V6" s="78"/>
      <c r="W6" s="53" t="s">
        <v>114</v>
      </c>
      <c r="X6" s="36"/>
      <c r="Y6" s="54"/>
      <c r="Z6" s="72">
        <v>44492174</v>
      </c>
      <c r="AA6" s="72">
        <v>38750005</v>
      </c>
      <c r="AB6" s="30"/>
      <c r="AC6" s="30"/>
      <c r="AD6" s="30"/>
      <c r="AE6" s="30"/>
      <c r="AF6" s="30"/>
      <c r="AG6" s="30"/>
      <c r="AH6" s="30"/>
      <c r="AI6" s="30"/>
      <c r="AJ6" s="30"/>
      <c r="AK6" s="30"/>
      <c r="AL6" s="30"/>
    </row>
    <row r="7" spans="1:39" ht="12.75" customHeight="1">
      <c r="A7" s="56"/>
      <c r="B7" s="73"/>
      <c r="C7" s="73"/>
      <c r="D7" s="67">
        <v>0</v>
      </c>
      <c r="E7" s="68" t="s">
        <v>115</v>
      </c>
      <c r="F7" s="74"/>
      <c r="G7" s="67">
        <v>0</v>
      </c>
      <c r="H7" s="67">
        <v>0</v>
      </c>
      <c r="I7" s="73"/>
      <c r="J7" s="75"/>
      <c r="K7" s="62"/>
      <c r="L7" s="62"/>
      <c r="M7" s="79"/>
      <c r="N7" s="80"/>
      <c r="O7" s="81"/>
      <c r="P7" s="82"/>
      <c r="Q7" s="77"/>
      <c r="R7" s="70"/>
      <c r="S7" s="65"/>
      <c r="T7" s="64"/>
      <c r="U7" s="64"/>
      <c r="V7" s="78"/>
      <c r="W7" s="53"/>
      <c r="X7" s="36"/>
      <c r="Y7" s="54">
        <f>Z6+Z8</f>
        <v>44713274</v>
      </c>
      <c r="Z7" s="72"/>
      <c r="AA7" s="72"/>
      <c r="AB7" s="30"/>
      <c r="AC7" s="30"/>
      <c r="AD7" s="30"/>
      <c r="AE7" s="30"/>
      <c r="AF7" s="30"/>
      <c r="AG7" s="30"/>
      <c r="AH7" s="30"/>
      <c r="AI7" s="30"/>
      <c r="AJ7" s="30"/>
      <c r="AK7" s="30"/>
      <c r="AL7" s="30"/>
      <c r="AM7" s="83">
        <f>AA6+AA8</f>
        <v>38977605</v>
      </c>
    </row>
    <row r="8" spans="1:38" ht="12.75" customHeight="1">
      <c r="A8" s="56"/>
      <c r="B8" s="73"/>
      <c r="C8" s="73"/>
      <c r="D8" s="67">
        <v>210100</v>
      </c>
      <c r="E8" s="68" t="s">
        <v>116</v>
      </c>
      <c r="F8" s="74"/>
      <c r="G8" s="67">
        <v>217800</v>
      </c>
      <c r="H8" s="67">
        <v>219000</v>
      </c>
      <c r="I8" s="73"/>
      <c r="J8" s="75"/>
      <c r="K8" s="62"/>
      <c r="L8" s="62"/>
      <c r="M8" s="79"/>
      <c r="N8" s="80"/>
      <c r="O8" s="81"/>
      <c r="P8" s="82"/>
      <c r="Q8" s="77"/>
      <c r="R8" s="70"/>
      <c r="S8" s="65"/>
      <c r="T8" s="64"/>
      <c r="U8" s="64"/>
      <c r="V8" s="78"/>
      <c r="W8" s="53"/>
      <c r="X8" s="36"/>
      <c r="Y8" s="54"/>
      <c r="Z8" s="72">
        <v>221100</v>
      </c>
      <c r="AA8" s="72">
        <v>227600</v>
      </c>
      <c r="AB8" s="30"/>
      <c r="AC8" s="30"/>
      <c r="AD8" s="30"/>
      <c r="AE8" s="30"/>
      <c r="AF8" s="30"/>
      <c r="AG8" s="30"/>
      <c r="AH8" s="30"/>
      <c r="AI8" s="30"/>
      <c r="AJ8" s="30"/>
      <c r="AK8" s="30"/>
      <c r="AL8" s="30"/>
    </row>
    <row r="9" spans="1:38" ht="12.75" customHeight="1">
      <c r="A9" s="56"/>
      <c r="B9" s="73"/>
      <c r="C9" s="73"/>
      <c r="D9" s="67"/>
      <c r="E9" s="68" t="s">
        <v>117</v>
      </c>
      <c r="F9" s="74"/>
      <c r="G9" s="84">
        <v>9341.939999999999</v>
      </c>
      <c r="H9" s="84">
        <f>5570+1400</f>
        <v>6970</v>
      </c>
      <c r="I9" s="73"/>
      <c r="J9" s="75"/>
      <c r="K9" s="62"/>
      <c r="L9" s="62"/>
      <c r="M9" s="79"/>
      <c r="N9" s="80"/>
      <c r="O9" s="81"/>
      <c r="P9" s="82"/>
      <c r="Q9" s="77"/>
      <c r="R9" s="70"/>
      <c r="S9" s="65"/>
      <c r="T9" s="64"/>
      <c r="U9" s="64"/>
      <c r="V9" s="78"/>
      <c r="W9" s="53"/>
      <c r="X9" s="36"/>
      <c r="Y9" s="54"/>
      <c r="Z9" s="72">
        <v>6970</v>
      </c>
      <c r="AA9" s="72">
        <v>6970</v>
      </c>
      <c r="AB9" s="30"/>
      <c r="AC9" s="30"/>
      <c r="AD9" s="30"/>
      <c r="AE9" s="30"/>
      <c r="AF9" s="30"/>
      <c r="AG9" s="30"/>
      <c r="AH9" s="30"/>
      <c r="AI9" s="30"/>
      <c r="AJ9" s="30"/>
      <c r="AK9" s="30"/>
      <c r="AL9" s="30"/>
    </row>
    <row r="10" spans="1:39" ht="12.75" customHeight="1">
      <c r="A10" s="40"/>
      <c r="B10" s="40"/>
      <c r="C10" s="40"/>
      <c r="D10" s="67">
        <v>26306020</v>
      </c>
      <c r="E10" s="68" t="s">
        <v>118</v>
      </c>
      <c r="F10" s="85">
        <f>F5+F6</f>
        <v>0</v>
      </c>
      <c r="G10" s="67">
        <v>42818121.94</v>
      </c>
      <c r="H10" s="84">
        <f>H5+H6+H7+H8+H9</f>
        <v>45175646</v>
      </c>
      <c r="I10" s="40"/>
      <c r="J10" s="75"/>
      <c r="K10" s="64"/>
      <c r="L10" s="63" t="s">
        <v>119</v>
      </c>
      <c r="M10" s="1557">
        <f>M5+M6</f>
        <v>41756803</v>
      </c>
      <c r="N10" s="1559"/>
      <c r="O10" s="1557">
        <f>O5+P6</f>
        <v>17121403</v>
      </c>
      <c r="P10" s="1558"/>
      <c r="Q10" s="86">
        <v>42606803</v>
      </c>
      <c r="R10" s="70" t="s">
        <v>118</v>
      </c>
      <c r="S10" s="65">
        <f>S5+S6</f>
        <v>27367600</v>
      </c>
      <c r="T10" s="1560"/>
      <c r="U10" s="1560"/>
      <c r="V10" s="78"/>
      <c r="W10" s="53" t="s">
        <v>120</v>
      </c>
      <c r="X10" s="36"/>
      <c r="Y10" s="54"/>
      <c r="Z10" s="84">
        <f>Z5+Z6+Z7+Z8+Z9</f>
        <v>55766244</v>
      </c>
      <c r="AA10" s="84">
        <f>AA5+AA6+AA7+AA8+AA9</f>
        <v>50330575</v>
      </c>
      <c r="AB10" s="30"/>
      <c r="AC10" s="30"/>
      <c r="AD10" s="30"/>
      <c r="AE10" s="30"/>
      <c r="AF10" s="30"/>
      <c r="AG10" s="30"/>
      <c r="AH10" s="30"/>
      <c r="AI10" s="30"/>
      <c r="AJ10" s="30"/>
      <c r="AK10" s="30"/>
      <c r="AL10" s="30"/>
      <c r="AM10" s="38" t="s">
        <v>574</v>
      </c>
    </row>
    <row r="11" spans="1:38" ht="409.5" customHeight="1" hidden="1">
      <c r="A11" s="40"/>
      <c r="B11" s="40"/>
      <c r="C11" s="40"/>
      <c r="D11" s="40"/>
      <c r="E11" s="40"/>
      <c r="F11" s="40"/>
      <c r="G11" s="40"/>
      <c r="H11" s="40"/>
      <c r="I11" s="40"/>
      <c r="J11" s="75"/>
      <c r="K11" s="64"/>
      <c r="L11" s="64"/>
      <c r="M11" s="87"/>
      <c r="N11" s="87"/>
      <c r="O11" s="87"/>
      <c r="P11" s="64"/>
      <c r="Q11" s="88"/>
      <c r="R11" s="64"/>
      <c r="S11" s="87"/>
      <c r="T11" s="64"/>
      <c r="U11" s="64"/>
      <c r="V11" s="78"/>
      <c r="W11" s="53"/>
      <c r="X11" s="36"/>
      <c r="Y11" s="54"/>
      <c r="Z11" s="53"/>
      <c r="AA11" s="53"/>
      <c r="AB11" s="30"/>
      <c r="AC11" s="30"/>
      <c r="AD11" s="30"/>
      <c r="AE11" s="30"/>
      <c r="AF11" s="30"/>
      <c r="AG11" s="30"/>
      <c r="AH11" s="30"/>
      <c r="AI11" s="30"/>
      <c r="AJ11" s="30"/>
      <c r="AK11" s="30"/>
      <c r="AL11" s="30"/>
    </row>
    <row r="12" spans="1:38" ht="409.5" customHeight="1" hidden="1">
      <c r="A12" s="40"/>
      <c r="B12" s="40"/>
      <c r="C12" s="40"/>
      <c r="D12" s="40"/>
      <c r="E12" s="40"/>
      <c r="F12" s="40"/>
      <c r="G12" s="40"/>
      <c r="H12" s="40"/>
      <c r="I12" s="40"/>
      <c r="J12" s="75"/>
      <c r="K12" s="64"/>
      <c r="L12" s="64"/>
      <c r="M12" s="87"/>
      <c r="N12" s="87"/>
      <c r="O12" s="87"/>
      <c r="P12" s="64"/>
      <c r="Q12" s="88"/>
      <c r="R12" s="64"/>
      <c r="S12" s="87"/>
      <c r="T12" s="64"/>
      <c r="U12" s="64"/>
      <c r="V12" s="78"/>
      <c r="W12" s="53"/>
      <c r="X12" s="36"/>
      <c r="Y12" s="54"/>
      <c r="Z12" s="53"/>
      <c r="AA12" s="53"/>
      <c r="AB12" s="30"/>
      <c r="AC12" s="30"/>
      <c r="AD12" s="30"/>
      <c r="AE12" s="30"/>
      <c r="AF12" s="30"/>
      <c r="AG12" s="30"/>
      <c r="AH12" s="30"/>
      <c r="AI12" s="30"/>
      <c r="AJ12" s="30"/>
      <c r="AK12" s="30"/>
      <c r="AL12" s="30"/>
    </row>
    <row r="13" spans="1:38" ht="409.5" customHeight="1" hidden="1">
      <c r="A13" s="40"/>
      <c r="B13" s="40"/>
      <c r="C13" s="40"/>
      <c r="D13" s="40"/>
      <c r="E13" s="40"/>
      <c r="F13" s="40"/>
      <c r="G13" s="40"/>
      <c r="H13" s="40"/>
      <c r="I13" s="40"/>
      <c r="J13" s="75"/>
      <c r="K13" s="64"/>
      <c r="L13" s="64"/>
      <c r="M13" s="87"/>
      <c r="N13" s="87"/>
      <c r="O13" s="87"/>
      <c r="P13" s="64"/>
      <c r="Q13" s="88"/>
      <c r="R13" s="64"/>
      <c r="S13" s="87"/>
      <c r="T13" s="64"/>
      <c r="U13" s="64"/>
      <c r="V13" s="78"/>
      <c r="W13" s="53"/>
      <c r="X13" s="36"/>
      <c r="Y13" s="54"/>
      <c r="Z13" s="53"/>
      <c r="AA13" s="53"/>
      <c r="AB13" s="30"/>
      <c r="AC13" s="30"/>
      <c r="AD13" s="30"/>
      <c r="AE13" s="30"/>
      <c r="AF13" s="30"/>
      <c r="AG13" s="30"/>
      <c r="AH13" s="30"/>
      <c r="AI13" s="30"/>
      <c r="AJ13" s="30"/>
      <c r="AK13" s="30"/>
      <c r="AL13" s="30"/>
    </row>
    <row r="14" spans="1:40" ht="12.75" customHeight="1">
      <c r="A14" s="40"/>
      <c r="B14" s="40"/>
      <c r="C14" s="40"/>
      <c r="D14" s="40"/>
      <c r="E14" s="40"/>
      <c r="F14" s="40"/>
      <c r="G14" s="40">
        <v>32592121.94</v>
      </c>
      <c r="H14" s="1005">
        <f>H6+H8+H9</f>
        <v>34429646</v>
      </c>
      <c r="I14" s="40"/>
      <c r="J14" s="75"/>
      <c r="K14" s="64"/>
      <c r="L14" s="64"/>
      <c r="M14" s="87"/>
      <c r="N14" s="87"/>
      <c r="O14" s="87"/>
      <c r="P14" s="64"/>
      <c r="Q14" s="88"/>
      <c r="R14" s="64"/>
      <c r="S14" s="87"/>
      <c r="T14" s="64"/>
      <c r="U14" s="64"/>
      <c r="V14" s="89"/>
      <c r="W14" s="53"/>
      <c r="X14" s="36"/>
      <c r="Y14" s="54"/>
      <c r="Z14" s="1005">
        <f>Z6+Z8+Z9</f>
        <v>44720244</v>
      </c>
      <c r="AA14" s="1005">
        <f>AA6+AA8+AA9</f>
        <v>38984575</v>
      </c>
      <c r="AB14" s="30"/>
      <c r="AC14" s="30"/>
      <c r="AD14" s="30"/>
      <c r="AE14" s="30"/>
      <c r="AF14" s="30"/>
      <c r="AG14" s="30"/>
      <c r="AH14" s="30"/>
      <c r="AI14" s="30"/>
      <c r="AJ14" s="30"/>
      <c r="AK14" s="30"/>
      <c r="AL14" s="30"/>
      <c r="AN14" s="38" t="s">
        <v>575</v>
      </c>
    </row>
    <row r="15" spans="1:40" ht="13.5" customHeight="1">
      <c r="A15" s="40"/>
      <c r="B15" s="40"/>
      <c r="C15" s="40"/>
      <c r="D15" s="40" t="s">
        <v>627</v>
      </c>
      <c r="E15" s="40" t="s">
        <v>629</v>
      </c>
      <c r="F15" s="40"/>
      <c r="G15" s="54" t="s">
        <v>631</v>
      </c>
      <c r="H15" s="40">
        <v>6243700</v>
      </c>
      <c r="I15" s="40"/>
      <c r="J15" s="75" t="s">
        <v>121</v>
      </c>
      <c r="K15" s="64"/>
      <c r="L15" s="64"/>
      <c r="M15" s="64"/>
      <c r="N15" s="64"/>
      <c r="O15" s="64"/>
      <c r="P15" s="64"/>
      <c r="Q15" s="87"/>
      <c r="R15" s="64"/>
      <c r="S15" s="64"/>
      <c r="T15" s="64"/>
      <c r="U15" s="64"/>
      <c r="V15" s="77">
        <f>V28+V41+V50+V54+X41+V32</f>
        <v>8185622.998604001</v>
      </c>
      <c r="W15" s="54"/>
      <c r="X15" s="36"/>
      <c r="Y15" s="54" t="s">
        <v>631</v>
      </c>
      <c r="Z15" s="53">
        <v>10854010</v>
      </c>
      <c r="AA15" s="53">
        <v>8254010</v>
      </c>
      <c r="AB15" s="30"/>
      <c r="AC15" s="30"/>
      <c r="AD15" s="30"/>
      <c r="AE15" s="30"/>
      <c r="AF15" s="30"/>
      <c r="AG15" s="30"/>
      <c r="AH15" s="30"/>
      <c r="AI15" s="30"/>
      <c r="AJ15" s="30"/>
      <c r="AK15" s="30"/>
      <c r="AL15" s="30"/>
      <c r="AN15" s="38">
        <f>12130*2.2</f>
        <v>26686.000000000004</v>
      </c>
    </row>
    <row r="16" spans="1:41" ht="13.5" customHeight="1" thickBot="1">
      <c r="A16" s="40"/>
      <c r="B16" s="40"/>
      <c r="C16" s="40"/>
      <c r="D16" s="40" t="s">
        <v>628</v>
      </c>
      <c r="E16" s="40" t="s">
        <v>630</v>
      </c>
      <c r="F16" s="40"/>
      <c r="G16" s="40"/>
      <c r="H16" s="40"/>
      <c r="I16" s="40"/>
      <c r="J16" s="75" t="s">
        <v>122</v>
      </c>
      <c r="K16" s="64"/>
      <c r="L16" s="64"/>
      <c r="M16" s="64"/>
      <c r="N16" s="64"/>
      <c r="O16" s="64"/>
      <c r="P16" s="64"/>
      <c r="Q16" s="87"/>
      <c r="R16" s="64"/>
      <c r="S16" s="64"/>
      <c r="T16" s="64"/>
      <c r="U16" s="64"/>
      <c r="V16" s="77">
        <f>V5-V15</f>
        <v>1486377.0013959995</v>
      </c>
      <c r="W16" s="54"/>
      <c r="X16" s="36"/>
      <c r="Y16" s="54"/>
      <c r="Z16" s="53"/>
      <c r="AA16" s="53" t="s">
        <v>123</v>
      </c>
      <c r="AB16" s="30"/>
      <c r="AC16" s="30"/>
      <c r="AD16" s="30"/>
      <c r="AE16" s="30"/>
      <c r="AF16" s="30"/>
      <c r="AG16" s="30"/>
      <c r="AH16" s="30"/>
      <c r="AI16" s="30"/>
      <c r="AJ16" s="30"/>
      <c r="AK16" s="30"/>
      <c r="AL16" s="30"/>
      <c r="AN16" s="38">
        <f>11280*2.2*3.8%+11280*2.2</f>
        <v>25759.008000000005</v>
      </c>
      <c r="AO16" s="38">
        <f>AN16/AN15</f>
        <v>0.9652629843363562</v>
      </c>
    </row>
    <row r="17" spans="1:38" ht="12.75" customHeight="1" thickBot="1">
      <c r="A17" s="30"/>
      <c r="B17" s="90"/>
      <c r="C17" s="90"/>
      <c r="D17" s="91" t="s">
        <v>124</v>
      </c>
      <c r="E17" s="92" t="s">
        <v>125</v>
      </c>
      <c r="F17" s="93"/>
      <c r="G17" s="93"/>
      <c r="H17" s="93"/>
      <c r="I17" s="94"/>
      <c r="J17" s="95"/>
      <c r="K17" s="96" t="s">
        <v>126</v>
      </c>
      <c r="L17" s="97" t="s">
        <v>127</v>
      </c>
      <c r="M17" s="97" t="s">
        <v>128</v>
      </c>
      <c r="N17" s="97" t="s">
        <v>129</v>
      </c>
      <c r="O17" s="98" t="s">
        <v>130</v>
      </c>
      <c r="P17" s="1561">
        <v>2013</v>
      </c>
      <c r="Q17" s="99"/>
      <c r="R17" s="100" t="s">
        <v>131</v>
      </c>
      <c r="S17" s="101" t="s">
        <v>132</v>
      </c>
      <c r="T17" s="101" t="s">
        <v>133</v>
      </c>
      <c r="U17" s="101" t="s">
        <v>134</v>
      </c>
      <c r="V17" s="1563">
        <v>2020</v>
      </c>
      <c r="W17" s="1549" t="s">
        <v>135</v>
      </c>
      <c r="X17" s="103" t="s">
        <v>136</v>
      </c>
      <c r="Y17" s="104"/>
      <c r="Z17" s="102">
        <v>2021</v>
      </c>
      <c r="AA17" s="102">
        <v>2022</v>
      </c>
      <c r="AB17" s="105" t="s">
        <v>137</v>
      </c>
      <c r="AC17" s="105" t="s">
        <v>138</v>
      </c>
      <c r="AD17" s="105" t="s">
        <v>139</v>
      </c>
      <c r="AE17" s="105" t="s">
        <v>139</v>
      </c>
      <c r="AF17" s="105" t="s">
        <v>140</v>
      </c>
      <c r="AG17" s="105" t="s">
        <v>141</v>
      </c>
      <c r="AH17" s="106"/>
      <c r="AI17" s="105" t="s">
        <v>142</v>
      </c>
      <c r="AJ17" s="107" t="s">
        <v>143</v>
      </c>
      <c r="AK17" s="30"/>
      <c r="AL17" s="30"/>
    </row>
    <row r="18" spans="1:38" ht="12.75" customHeight="1" thickBot="1">
      <c r="A18" s="30"/>
      <c r="B18" s="108"/>
      <c r="C18" s="108"/>
      <c r="D18" s="109" t="s">
        <v>143</v>
      </c>
      <c r="E18" s="110" t="s">
        <v>144</v>
      </c>
      <c r="F18" s="110" t="s">
        <v>145</v>
      </c>
      <c r="G18" s="110" t="s">
        <v>146</v>
      </c>
      <c r="H18" s="110" t="s">
        <v>147</v>
      </c>
      <c r="I18" s="111" t="s">
        <v>148</v>
      </c>
      <c r="J18" s="112" t="s">
        <v>149</v>
      </c>
      <c r="K18" s="113" t="s">
        <v>150</v>
      </c>
      <c r="L18" s="114">
        <v>2013</v>
      </c>
      <c r="M18" s="114">
        <v>2013</v>
      </c>
      <c r="N18" s="114">
        <v>2013</v>
      </c>
      <c r="O18" s="115">
        <v>2013</v>
      </c>
      <c r="P18" s="1562"/>
      <c r="Q18" s="116"/>
      <c r="R18" s="117"/>
      <c r="S18" s="118"/>
      <c r="T18" s="118"/>
      <c r="U18" s="118"/>
      <c r="V18" s="1550"/>
      <c r="W18" s="1550"/>
      <c r="X18" s="120" t="s">
        <v>151</v>
      </c>
      <c r="Y18" s="121"/>
      <c r="Z18" s="119"/>
      <c r="AA18" s="119"/>
      <c r="AB18" s="122" t="s">
        <v>152</v>
      </c>
      <c r="AC18" s="122" t="s">
        <v>152</v>
      </c>
      <c r="AD18" s="122" t="s">
        <v>153</v>
      </c>
      <c r="AE18" s="122" t="s">
        <v>152</v>
      </c>
      <c r="AF18" s="122" t="s">
        <v>152</v>
      </c>
      <c r="AG18" s="122" t="s">
        <v>154</v>
      </c>
      <c r="AH18" s="122"/>
      <c r="AI18" s="122" t="s">
        <v>155</v>
      </c>
      <c r="AJ18" s="107" t="s">
        <v>143</v>
      </c>
      <c r="AK18" s="30"/>
      <c r="AL18" s="30"/>
    </row>
    <row r="19" spans="1:38" ht="13.5" customHeight="1">
      <c r="A19" s="30"/>
      <c r="B19" s="123"/>
      <c r="C19" s="123"/>
      <c r="D19" s="124">
        <v>1</v>
      </c>
      <c r="E19" s="125">
        <v>2</v>
      </c>
      <c r="F19" s="125">
        <v>3</v>
      </c>
      <c r="G19" s="125">
        <v>4</v>
      </c>
      <c r="H19" s="125">
        <v>5</v>
      </c>
      <c r="I19" s="126">
        <v>6</v>
      </c>
      <c r="J19" s="127" t="s">
        <v>143</v>
      </c>
      <c r="K19" s="128">
        <v>7</v>
      </c>
      <c r="L19" s="129"/>
      <c r="M19" s="129"/>
      <c r="N19" s="129"/>
      <c r="O19" s="129"/>
      <c r="P19" s="129"/>
      <c r="Q19" s="130"/>
      <c r="R19" s="131">
        <v>7</v>
      </c>
      <c r="S19" s="132">
        <v>8</v>
      </c>
      <c r="T19" s="125">
        <v>9</v>
      </c>
      <c r="U19" s="133">
        <f>R149+S149+T149+U149</f>
        <v>797983.39</v>
      </c>
      <c r="V19" s="125">
        <v>11</v>
      </c>
      <c r="W19" s="126">
        <v>12</v>
      </c>
      <c r="X19" s="134"/>
      <c r="Y19" s="135"/>
      <c r="Z19" s="126">
        <v>13</v>
      </c>
      <c r="AA19" s="126">
        <v>14</v>
      </c>
      <c r="AB19" s="136"/>
      <c r="AC19" s="136"/>
      <c r="AD19" s="136"/>
      <c r="AE19" s="136"/>
      <c r="AF19" s="136"/>
      <c r="AG19" s="136"/>
      <c r="AH19" s="137"/>
      <c r="AI19" s="128">
        <v>14</v>
      </c>
      <c r="AJ19" s="107" t="s">
        <v>143</v>
      </c>
      <c r="AK19" s="30"/>
      <c r="AL19" s="30"/>
    </row>
    <row r="20" spans="1:38" ht="30" customHeight="1">
      <c r="A20" s="30"/>
      <c r="B20" s="138"/>
      <c r="C20" s="138"/>
      <c r="D20" s="1416" t="s">
        <v>461</v>
      </c>
      <c r="E20" s="1416"/>
      <c r="F20" s="1416"/>
      <c r="G20" s="1416"/>
      <c r="H20" s="1416"/>
      <c r="I20" s="1416"/>
      <c r="J20" s="1416"/>
      <c r="K20" s="1416"/>
      <c r="L20" s="1416"/>
      <c r="M20" s="1416"/>
      <c r="N20" s="1416"/>
      <c r="O20" s="1416"/>
      <c r="P20" s="1416"/>
      <c r="Q20" s="1416"/>
      <c r="R20" s="1416"/>
      <c r="S20" s="1416"/>
      <c r="T20" s="1416"/>
      <c r="U20" s="1416"/>
      <c r="V20" s="1416"/>
      <c r="W20" s="1416"/>
      <c r="X20" s="1416"/>
      <c r="Y20" s="1416"/>
      <c r="Z20" s="1416"/>
      <c r="AA20" s="1416"/>
      <c r="AB20" s="149"/>
      <c r="AC20" s="149"/>
      <c r="AD20" s="149"/>
      <c r="AE20" s="149"/>
      <c r="AF20" s="149"/>
      <c r="AG20" s="149"/>
      <c r="AH20" s="149"/>
      <c r="AI20" s="150"/>
      <c r="AJ20" s="107"/>
      <c r="AK20" s="30"/>
      <c r="AL20" s="30"/>
    </row>
    <row r="21" spans="1:38" ht="15" customHeight="1">
      <c r="A21" s="30"/>
      <c r="B21" s="853"/>
      <c r="C21" s="853"/>
      <c r="D21" s="1551" t="s">
        <v>156</v>
      </c>
      <c r="E21" s="1552"/>
      <c r="F21" s="1552"/>
      <c r="G21" s="1552"/>
      <c r="H21" s="1552"/>
      <c r="I21" s="1552"/>
      <c r="J21" s="1553"/>
      <c r="K21" s="854"/>
      <c r="L21" s="855"/>
      <c r="M21" s="855"/>
      <c r="N21" s="855"/>
      <c r="O21" s="855"/>
      <c r="P21" s="855"/>
      <c r="Q21" s="856"/>
      <c r="R21" s="854"/>
      <c r="S21" s="857"/>
      <c r="T21" s="858"/>
      <c r="U21" s="517"/>
      <c r="V21" s="858"/>
      <c r="W21" s="858"/>
      <c r="X21" s="859"/>
      <c r="Y21" s="859"/>
      <c r="Z21" s="858"/>
      <c r="AA21" s="858"/>
      <c r="AB21" s="860"/>
      <c r="AC21" s="860"/>
      <c r="AD21" s="860"/>
      <c r="AE21" s="860"/>
      <c r="AF21" s="860"/>
      <c r="AG21" s="860"/>
      <c r="AH21" s="860"/>
      <c r="AI21" s="861"/>
      <c r="AJ21" s="107"/>
      <c r="AK21" s="30"/>
      <c r="AL21" s="30"/>
    </row>
    <row r="22" spans="1:38" ht="15" customHeight="1">
      <c r="A22" s="151"/>
      <c r="B22" s="1554" t="s">
        <v>157</v>
      </c>
      <c r="C22" s="1555"/>
      <c r="D22" s="1555"/>
      <c r="E22" s="1555"/>
      <c r="F22" s="1555"/>
      <c r="G22" s="1555"/>
      <c r="H22" s="1555"/>
      <c r="I22" s="1555"/>
      <c r="J22" s="1555"/>
      <c r="K22" s="1555"/>
      <c r="L22" s="1555"/>
      <c r="M22" s="1555"/>
      <c r="N22" s="1555"/>
      <c r="O22" s="1555"/>
      <c r="P22" s="1555"/>
      <c r="Q22" s="1555"/>
      <c r="R22" s="1555"/>
      <c r="S22" s="1555"/>
      <c r="T22" s="1555"/>
      <c r="U22" s="1555"/>
      <c r="V22" s="1555"/>
      <c r="W22" s="1555"/>
      <c r="X22" s="1555"/>
      <c r="Y22" s="1555"/>
      <c r="Z22" s="1555"/>
      <c r="AA22" s="1555"/>
      <c r="AB22" s="1555"/>
      <c r="AC22" s="1555"/>
      <c r="AD22" s="1555"/>
      <c r="AE22" s="1555"/>
      <c r="AF22" s="1555"/>
      <c r="AG22" s="1555"/>
      <c r="AH22" s="1555"/>
      <c r="AI22" s="1556"/>
      <c r="AJ22" s="152" t="s">
        <v>143</v>
      </c>
      <c r="AK22" s="30"/>
      <c r="AL22" s="30"/>
    </row>
    <row r="23" spans="1:58" s="173" customFormat="1" ht="39.75" customHeight="1">
      <c r="A23" s="153"/>
      <c r="B23" s="154" t="s">
        <v>158</v>
      </c>
      <c r="C23" s="155" t="s">
        <v>158</v>
      </c>
      <c r="D23" s="156">
        <v>656430011</v>
      </c>
      <c r="E23" s="157">
        <v>102</v>
      </c>
      <c r="F23" s="158">
        <v>656</v>
      </c>
      <c r="G23" s="159" t="s">
        <v>486</v>
      </c>
      <c r="H23" s="160" t="s">
        <v>159</v>
      </c>
      <c r="I23" s="160">
        <v>211</v>
      </c>
      <c r="J23" s="161">
        <v>0</v>
      </c>
      <c r="K23" s="162"/>
      <c r="L23" s="163">
        <v>470000</v>
      </c>
      <c r="M23" s="163">
        <v>150000</v>
      </c>
      <c r="N23" s="163">
        <v>267525.2</v>
      </c>
      <c r="O23" s="163">
        <v>75916.8</v>
      </c>
      <c r="P23" s="163">
        <v>963442</v>
      </c>
      <c r="Q23" s="164">
        <f>R23+S23+T23+U23</f>
        <v>963442</v>
      </c>
      <c r="R23" s="163">
        <f>470000+60000</f>
        <v>530000</v>
      </c>
      <c r="S23" s="163">
        <v>150000</v>
      </c>
      <c r="T23" s="163">
        <f>267525.2-60000</f>
        <v>207525.2</v>
      </c>
      <c r="U23" s="163">
        <v>75916.8</v>
      </c>
      <c r="V23" s="1006">
        <f>1042293+(1042293*3.8%)-0.134</f>
        <v>1081900</v>
      </c>
      <c r="W23" s="163" t="s">
        <v>571</v>
      </c>
      <c r="X23" s="166"/>
      <c r="Y23" s="167"/>
      <c r="Z23" s="1001">
        <f>1042293+(1042293*3.8%)-0.13</f>
        <v>1081900.0040000002</v>
      </c>
      <c r="AA23" s="1001">
        <f>1042293+(1042293*3.8%)-0.13</f>
        <v>1081900.0040000002</v>
      </c>
      <c r="AB23" s="168"/>
      <c r="AC23" s="168"/>
      <c r="AD23" s="168"/>
      <c r="AE23" s="168">
        <v>928511.2</v>
      </c>
      <c r="AF23" s="168">
        <v>0</v>
      </c>
      <c r="AG23" s="168"/>
      <c r="AH23" s="169"/>
      <c r="AI23" s="170">
        <v>0.963743743785303</v>
      </c>
      <c r="AJ23" s="152" t="s">
        <v>143</v>
      </c>
      <c r="AK23" s="171"/>
      <c r="AL23" s="171"/>
      <c r="AM23" s="172">
        <f>V23+V34+V160</f>
        <v>6060836.507680001</v>
      </c>
      <c r="AN23" s="38"/>
      <c r="AO23" s="38"/>
      <c r="AP23" s="38"/>
      <c r="AQ23" s="38"/>
      <c r="AR23" s="38"/>
      <c r="AS23" s="38"/>
      <c r="AT23" s="38"/>
      <c r="AU23" s="38"/>
      <c r="AV23" s="38"/>
      <c r="AW23" s="38"/>
      <c r="AX23" s="38"/>
      <c r="AY23" s="38"/>
      <c r="AZ23" s="38"/>
      <c r="BA23" s="38"/>
      <c r="BB23" s="38"/>
      <c r="BC23" s="38"/>
      <c r="BD23" s="38"/>
      <c r="BE23" s="38"/>
      <c r="BF23" s="38"/>
    </row>
    <row r="24" spans="1:58" s="173" customFormat="1" ht="39.75" customHeight="1">
      <c r="A24" s="153"/>
      <c r="B24" s="154" t="s">
        <v>158</v>
      </c>
      <c r="C24" s="155" t="s">
        <v>158</v>
      </c>
      <c r="D24" s="156">
        <v>656430011</v>
      </c>
      <c r="E24" s="157">
        <v>102</v>
      </c>
      <c r="F24" s="158">
        <v>656</v>
      </c>
      <c r="G24" s="159" t="s">
        <v>486</v>
      </c>
      <c r="H24" s="1003" t="s">
        <v>159</v>
      </c>
      <c r="I24" s="1003">
        <v>266</v>
      </c>
      <c r="J24" s="161">
        <v>0</v>
      </c>
      <c r="K24" s="162"/>
      <c r="L24" s="163">
        <v>470000</v>
      </c>
      <c r="M24" s="163">
        <v>150000</v>
      </c>
      <c r="N24" s="163">
        <v>267525.2</v>
      </c>
      <c r="O24" s="163">
        <v>75916.8</v>
      </c>
      <c r="P24" s="163">
        <v>963442</v>
      </c>
      <c r="Q24" s="164">
        <f>R24+S24+T24+U24</f>
        <v>963442</v>
      </c>
      <c r="R24" s="163">
        <f>470000+60000</f>
        <v>530000</v>
      </c>
      <c r="S24" s="163">
        <v>150000</v>
      </c>
      <c r="T24" s="163">
        <f>267525.2-60000</f>
        <v>207525.2</v>
      </c>
      <c r="U24" s="163">
        <v>75916.8</v>
      </c>
      <c r="V24" s="1006">
        <v>15000</v>
      </c>
      <c r="W24" s="163" t="s">
        <v>581</v>
      </c>
      <c r="X24" s="166"/>
      <c r="Y24" s="167"/>
      <c r="Z24" s="1001">
        <v>10000</v>
      </c>
      <c r="AA24" s="1001">
        <v>10000</v>
      </c>
      <c r="AB24" s="168"/>
      <c r="AC24" s="168"/>
      <c r="AD24" s="168"/>
      <c r="AE24" s="168">
        <v>928511.2</v>
      </c>
      <c r="AF24" s="168">
        <v>0</v>
      </c>
      <c r="AG24" s="168"/>
      <c r="AH24" s="169"/>
      <c r="AI24" s="170">
        <v>0.963743743785303</v>
      </c>
      <c r="AJ24" s="152" t="s">
        <v>143</v>
      </c>
      <c r="AK24" s="171"/>
      <c r="AL24" s="171"/>
      <c r="AM24" s="172">
        <f>V24+V39+V162</f>
        <v>97431.49432</v>
      </c>
      <c r="AN24" s="38"/>
      <c r="AO24" s="38"/>
      <c r="AP24" s="38"/>
      <c r="AQ24" s="38"/>
      <c r="AR24" s="38"/>
      <c r="AS24" s="38"/>
      <c r="AT24" s="38"/>
      <c r="AU24" s="38"/>
      <c r="AV24" s="38"/>
      <c r="AW24" s="38"/>
      <c r="AX24" s="38"/>
      <c r="AY24" s="38"/>
      <c r="AZ24" s="38"/>
      <c r="BA24" s="38"/>
      <c r="BB24" s="38"/>
      <c r="BC24" s="38"/>
      <c r="BD24" s="38"/>
      <c r="BE24" s="38"/>
      <c r="BF24" s="38"/>
    </row>
    <row r="25" spans="1:58" s="173" customFormat="1" ht="39.75" customHeight="1">
      <c r="A25" s="153"/>
      <c r="B25" s="154"/>
      <c r="C25" s="155"/>
      <c r="D25" s="156"/>
      <c r="E25" s="157"/>
      <c r="F25" s="158"/>
      <c r="G25" s="159"/>
      <c r="H25" s="1003">
        <v>122</v>
      </c>
      <c r="I25" s="1003">
        <v>226</v>
      </c>
      <c r="J25" s="161"/>
      <c r="K25" s="162"/>
      <c r="L25" s="163"/>
      <c r="M25" s="163"/>
      <c r="N25" s="163"/>
      <c r="O25" s="163"/>
      <c r="P25" s="163"/>
      <c r="Q25" s="164"/>
      <c r="R25" s="163"/>
      <c r="S25" s="163"/>
      <c r="T25" s="163"/>
      <c r="U25" s="163"/>
      <c r="V25" s="1006">
        <v>8000</v>
      </c>
      <c r="W25" s="163" t="s">
        <v>663</v>
      </c>
      <c r="X25" s="166"/>
      <c r="Y25" s="167"/>
      <c r="Z25" s="1001"/>
      <c r="AA25" s="1001"/>
      <c r="AB25" s="168"/>
      <c r="AC25" s="168"/>
      <c r="AD25" s="168"/>
      <c r="AE25" s="168"/>
      <c r="AF25" s="168"/>
      <c r="AG25" s="168"/>
      <c r="AH25" s="169"/>
      <c r="AI25" s="170"/>
      <c r="AJ25" s="152"/>
      <c r="AK25" s="171"/>
      <c r="AL25" s="171"/>
      <c r="AM25" s="172"/>
      <c r="AN25" s="38"/>
      <c r="AO25" s="38"/>
      <c r="AP25" s="38"/>
      <c r="AQ25" s="38"/>
      <c r="AR25" s="38"/>
      <c r="AS25" s="38"/>
      <c r="AT25" s="38"/>
      <c r="AU25" s="38"/>
      <c r="AV25" s="38"/>
      <c r="AW25" s="38"/>
      <c r="AX25" s="38"/>
      <c r="AY25" s="38"/>
      <c r="AZ25" s="38"/>
      <c r="BA25" s="38"/>
      <c r="BB25" s="38"/>
      <c r="BC25" s="38"/>
      <c r="BD25" s="38"/>
      <c r="BE25" s="38"/>
      <c r="BF25" s="38"/>
    </row>
    <row r="26" spans="1:58" s="173" customFormat="1" ht="15.75" customHeight="1">
      <c r="A26" s="153"/>
      <c r="B26" s="154"/>
      <c r="C26" s="155"/>
      <c r="D26" s="156">
        <v>656430011</v>
      </c>
      <c r="E26" s="157">
        <v>102</v>
      </c>
      <c r="F26" s="158">
        <v>656</v>
      </c>
      <c r="G26" s="159" t="s">
        <v>486</v>
      </c>
      <c r="H26" s="160">
        <v>122</v>
      </c>
      <c r="I26" s="160">
        <v>212</v>
      </c>
      <c r="J26" s="161" t="s">
        <v>160</v>
      </c>
      <c r="K26" s="162"/>
      <c r="L26" s="163"/>
      <c r="M26" s="163"/>
      <c r="N26" s="163"/>
      <c r="O26" s="163"/>
      <c r="P26" s="163"/>
      <c r="Q26" s="164"/>
      <c r="R26" s="163"/>
      <c r="S26" s="163"/>
      <c r="T26" s="163"/>
      <c r="U26" s="163"/>
      <c r="V26" s="1006">
        <v>5000</v>
      </c>
      <c r="W26" s="163">
        <v>0</v>
      </c>
      <c r="X26" s="166"/>
      <c r="Y26" s="167"/>
      <c r="Z26" s="1001">
        <v>0</v>
      </c>
      <c r="AA26" s="1001">
        <v>0</v>
      </c>
      <c r="AB26" s="168"/>
      <c r="AC26" s="168"/>
      <c r="AD26" s="168"/>
      <c r="AE26" s="168"/>
      <c r="AF26" s="168"/>
      <c r="AG26" s="168"/>
      <c r="AH26" s="169"/>
      <c r="AI26" s="170"/>
      <c r="AJ26" s="152"/>
      <c r="AK26" s="171"/>
      <c r="AL26" s="171"/>
      <c r="AM26" s="172"/>
      <c r="AN26" s="38"/>
      <c r="AO26" s="38"/>
      <c r="AP26" s="38"/>
      <c r="AQ26" s="38"/>
      <c r="AR26" s="38"/>
      <c r="AS26" s="38"/>
      <c r="AT26" s="38"/>
      <c r="AU26" s="38"/>
      <c r="AV26" s="38"/>
      <c r="AW26" s="38"/>
      <c r="AX26" s="38"/>
      <c r="AY26" s="38"/>
      <c r="AZ26" s="38"/>
      <c r="BA26" s="38"/>
      <c r="BB26" s="38"/>
      <c r="BC26" s="38"/>
      <c r="BD26" s="38"/>
      <c r="BE26" s="38"/>
      <c r="BF26" s="38"/>
    </row>
    <row r="27" spans="1:58" s="173" customFormat="1" ht="12.75" customHeight="1">
      <c r="A27" s="153"/>
      <c r="B27" s="154" t="s">
        <v>158</v>
      </c>
      <c r="C27" s="155" t="s">
        <v>158</v>
      </c>
      <c r="D27" s="156">
        <v>656430011</v>
      </c>
      <c r="E27" s="157"/>
      <c r="F27" s="158">
        <v>656</v>
      </c>
      <c r="G27" s="159" t="s">
        <v>486</v>
      </c>
      <c r="H27" s="160">
        <v>129</v>
      </c>
      <c r="I27" s="160">
        <v>213</v>
      </c>
      <c r="J27" s="161">
        <v>0</v>
      </c>
      <c r="K27" s="162"/>
      <c r="L27" s="163">
        <v>136000</v>
      </c>
      <c r="M27" s="163">
        <v>52000</v>
      </c>
      <c r="N27" s="163">
        <v>55000</v>
      </c>
      <c r="O27" s="163">
        <v>47959</v>
      </c>
      <c r="P27" s="163">
        <v>290959</v>
      </c>
      <c r="Q27" s="164">
        <f>R27+S27+T27+U27</f>
        <v>308734</v>
      </c>
      <c r="R27" s="163">
        <f>R23*30.2%</f>
        <v>160060</v>
      </c>
      <c r="S27" s="163">
        <f>S23*30.2%</f>
        <v>45300</v>
      </c>
      <c r="T27" s="163">
        <f>T23*30.2%</f>
        <v>62672.610400000005</v>
      </c>
      <c r="U27" s="163">
        <f>V27-R27-S27-T27</f>
        <v>40701.389599999995</v>
      </c>
      <c r="V27" s="1006">
        <f>V23*30.2%+0.2-V25-V26-5000</f>
        <v>308734</v>
      </c>
      <c r="W27" s="163">
        <v>326734.00120800006</v>
      </c>
      <c r="X27" s="166"/>
      <c r="Y27" s="167"/>
      <c r="Z27" s="1001">
        <f>Z23*30.2%+0.2</f>
        <v>326734.00120800006</v>
      </c>
      <c r="AA27" s="1001">
        <f>AA23*30.2%+0.2</f>
        <v>326734.00120800006</v>
      </c>
      <c r="AB27" s="168"/>
      <c r="AC27" s="168"/>
      <c r="AD27" s="168"/>
      <c r="AE27" s="168">
        <v>188854.59</v>
      </c>
      <c r="AF27" s="168">
        <v>0</v>
      </c>
      <c r="AG27" s="168"/>
      <c r="AH27" s="169"/>
      <c r="AI27" s="170">
        <v>0.6490762959729721</v>
      </c>
      <c r="AJ27" s="152" t="s">
        <v>143</v>
      </c>
      <c r="AK27" s="171"/>
      <c r="AL27" s="171"/>
      <c r="AM27" s="172">
        <f>V27+V40+V162</f>
        <v>1781386.4909240003</v>
      </c>
      <c r="AN27" s="38"/>
      <c r="AO27" s="38"/>
      <c r="AP27" s="38"/>
      <c r="AQ27" s="38"/>
      <c r="AR27" s="38"/>
      <c r="AS27" s="38"/>
      <c r="AT27" s="38"/>
      <c r="AU27" s="38"/>
      <c r="AV27" s="38"/>
      <c r="AW27" s="38"/>
      <c r="AX27" s="38"/>
      <c r="AY27" s="38"/>
      <c r="AZ27" s="38"/>
      <c r="BA27" s="38"/>
      <c r="BB27" s="38"/>
      <c r="BC27" s="38"/>
      <c r="BD27" s="38"/>
      <c r="BE27" s="38"/>
      <c r="BF27" s="38"/>
    </row>
    <row r="28" spans="1:58" s="173" customFormat="1" ht="13.5" customHeight="1">
      <c r="A28" s="153"/>
      <c r="B28" s="1413" t="s">
        <v>161</v>
      </c>
      <c r="C28" s="1414"/>
      <c r="D28" s="1414"/>
      <c r="E28" s="1414"/>
      <c r="F28" s="1414"/>
      <c r="G28" s="1414"/>
      <c r="H28" s="1414"/>
      <c r="I28" s="1414"/>
      <c r="J28" s="1414"/>
      <c r="K28" s="1415"/>
      <c r="L28" s="177">
        <v>606000</v>
      </c>
      <c r="M28" s="178">
        <v>202000</v>
      </c>
      <c r="N28" s="178">
        <v>322525.2</v>
      </c>
      <c r="O28" s="177">
        <v>123875.8</v>
      </c>
      <c r="P28" s="178">
        <v>1254401</v>
      </c>
      <c r="Q28" s="179">
        <f>R28+S28+T28+U28</f>
        <v>1254401</v>
      </c>
      <c r="R28" s="177">
        <v>606000</v>
      </c>
      <c r="S28" s="178">
        <v>202000</v>
      </c>
      <c r="T28" s="178">
        <v>322525.2</v>
      </c>
      <c r="U28" s="177">
        <v>123875.8</v>
      </c>
      <c r="V28" s="1087">
        <f>V23+V24+V25+V26+V27</f>
        <v>1418634</v>
      </c>
      <c r="W28" s="177">
        <v>1418634.005208</v>
      </c>
      <c r="X28" s="181">
        <f>X23+X27</f>
        <v>0</v>
      </c>
      <c r="Y28" s="182"/>
      <c r="Z28" s="1002">
        <f>SUM(Z23:Z27)</f>
        <v>1418634.0052080003</v>
      </c>
      <c r="AA28" s="1002">
        <f>SUM(AA23:AA27)</f>
        <v>1418634.0052080003</v>
      </c>
      <c r="AB28" s="1410"/>
      <c r="AC28" s="1411"/>
      <c r="AD28" s="1412"/>
      <c r="AE28" s="184">
        <v>1117365.79</v>
      </c>
      <c r="AF28" s="185">
        <v>0</v>
      </c>
      <c r="AG28" s="1410"/>
      <c r="AH28" s="1412"/>
      <c r="AI28" s="186">
        <v>0.8907564566673656</v>
      </c>
      <c r="AJ28" s="152" t="s">
        <v>143</v>
      </c>
      <c r="AK28" s="171"/>
      <c r="AL28" s="171"/>
      <c r="AM28" s="38"/>
      <c r="AN28" s="38"/>
      <c r="AO28" s="38"/>
      <c r="AP28" s="38"/>
      <c r="AQ28" s="38"/>
      <c r="AR28" s="38"/>
      <c r="AS28" s="38"/>
      <c r="AT28" s="38"/>
      <c r="AU28" s="38"/>
      <c r="AV28" s="38"/>
      <c r="AW28" s="38"/>
      <c r="AX28" s="38"/>
      <c r="AY28" s="38"/>
      <c r="AZ28" s="38"/>
      <c r="BA28" s="38"/>
      <c r="BB28" s="38"/>
      <c r="BC28" s="38"/>
      <c r="BD28" s="38"/>
      <c r="BE28" s="38"/>
      <c r="BF28" s="38"/>
    </row>
    <row r="29" spans="1:58" s="173" customFormat="1" ht="15" customHeight="1" hidden="1">
      <c r="A29" s="153"/>
      <c r="B29" s="1530" t="s">
        <v>162</v>
      </c>
      <c r="C29" s="1531"/>
      <c r="D29" s="1531"/>
      <c r="E29" s="1531"/>
      <c r="F29" s="1531"/>
      <c r="G29" s="1531"/>
      <c r="H29" s="1531"/>
      <c r="I29" s="1531"/>
      <c r="J29" s="1531"/>
      <c r="K29" s="1531"/>
      <c r="L29" s="1531"/>
      <c r="M29" s="1531"/>
      <c r="N29" s="1531"/>
      <c r="O29" s="1531"/>
      <c r="P29" s="1531"/>
      <c r="Q29" s="1531"/>
      <c r="R29" s="1531"/>
      <c r="S29" s="1531"/>
      <c r="T29" s="1531"/>
      <c r="U29" s="1531"/>
      <c r="V29" s="1531"/>
      <c r="W29" s="1531"/>
      <c r="X29" s="1531"/>
      <c r="Y29" s="1531"/>
      <c r="Z29" s="1531"/>
      <c r="AA29" s="1531"/>
      <c r="AB29" s="1531"/>
      <c r="AC29" s="1531"/>
      <c r="AD29" s="1531"/>
      <c r="AE29" s="1531"/>
      <c r="AF29" s="1531"/>
      <c r="AG29" s="1531"/>
      <c r="AH29" s="1531"/>
      <c r="AI29" s="1542"/>
      <c r="AJ29" s="152" t="s">
        <v>143</v>
      </c>
      <c r="AK29" s="171"/>
      <c r="AL29" s="171"/>
      <c r="AM29" s="38"/>
      <c r="AN29" s="38"/>
      <c r="AO29" s="38"/>
      <c r="AP29" s="38"/>
      <c r="AQ29" s="38"/>
      <c r="AR29" s="38"/>
      <c r="AS29" s="38"/>
      <c r="AT29" s="38"/>
      <c r="AU29" s="38"/>
      <c r="AV29" s="38"/>
      <c r="AW29" s="38"/>
      <c r="AX29" s="38"/>
      <c r="AY29" s="38"/>
      <c r="AZ29" s="38"/>
      <c r="BA29" s="38"/>
      <c r="BB29" s="38"/>
      <c r="BC29" s="38"/>
      <c r="BD29" s="38"/>
      <c r="BE29" s="38"/>
      <c r="BF29" s="38"/>
    </row>
    <row r="30" spans="1:58" s="173" customFormat="1" ht="25.5" customHeight="1" hidden="1">
      <c r="A30" s="153"/>
      <c r="B30" s="154" t="s">
        <v>158</v>
      </c>
      <c r="C30" s="155" t="s">
        <v>158</v>
      </c>
      <c r="D30" s="156">
        <v>656500021</v>
      </c>
      <c r="E30" s="157">
        <v>103</v>
      </c>
      <c r="F30" s="158">
        <v>656</v>
      </c>
      <c r="G30" s="159">
        <v>5000002030</v>
      </c>
      <c r="H30" s="160"/>
      <c r="I30" s="160">
        <v>226</v>
      </c>
      <c r="J30" s="161">
        <v>0</v>
      </c>
      <c r="K30" s="162"/>
      <c r="L30" s="163">
        <v>470000</v>
      </c>
      <c r="M30" s="163">
        <v>150000</v>
      </c>
      <c r="N30" s="163">
        <v>267525.2</v>
      </c>
      <c r="O30" s="163">
        <v>75916.8</v>
      </c>
      <c r="P30" s="163">
        <v>963442</v>
      </c>
      <c r="Q30" s="164">
        <f>R30+S30+T30+U30</f>
        <v>963442</v>
      </c>
      <c r="R30" s="163">
        <f>470000+60000</f>
        <v>530000</v>
      </c>
      <c r="S30" s="163">
        <v>150000</v>
      </c>
      <c r="T30" s="163">
        <f>267525.2-60000</f>
        <v>207525.2</v>
      </c>
      <c r="U30" s="163">
        <v>75916.8</v>
      </c>
      <c r="V30" s="163"/>
      <c r="W30" s="163" t="s">
        <v>163</v>
      </c>
      <c r="X30" s="167"/>
      <c r="Y30" s="167"/>
      <c r="Z30" s="163"/>
      <c r="AA30" s="163"/>
      <c r="AB30" s="168"/>
      <c r="AC30" s="168"/>
      <c r="AD30" s="168"/>
      <c r="AE30" s="168">
        <v>928511.2</v>
      </c>
      <c r="AF30" s="168">
        <v>0</v>
      </c>
      <c r="AG30" s="168"/>
      <c r="AH30" s="169"/>
      <c r="AI30" s="170">
        <v>0.963743743785303</v>
      </c>
      <c r="AJ30" s="152" t="s">
        <v>143</v>
      </c>
      <c r="AK30" s="171"/>
      <c r="AL30" s="171"/>
      <c r="AM30" s="172">
        <f>V30+V43+V166</f>
        <v>0</v>
      </c>
      <c r="AN30" s="38"/>
      <c r="AO30" s="38"/>
      <c r="AP30" s="38"/>
      <c r="AQ30" s="38"/>
      <c r="AR30" s="38"/>
      <c r="AS30" s="38"/>
      <c r="AT30" s="38"/>
      <c r="AU30" s="38"/>
      <c r="AV30" s="38"/>
      <c r="AW30" s="38"/>
      <c r="AX30" s="38"/>
      <c r="AY30" s="38"/>
      <c r="AZ30" s="38"/>
      <c r="BA30" s="38"/>
      <c r="BB30" s="38"/>
      <c r="BC30" s="38"/>
      <c r="BD30" s="38"/>
      <c r="BE30" s="38"/>
      <c r="BF30" s="38"/>
    </row>
    <row r="31" spans="1:58" s="173" customFormat="1" ht="12.75" customHeight="1" hidden="1">
      <c r="A31" s="153"/>
      <c r="B31" s="154" t="s">
        <v>158</v>
      </c>
      <c r="C31" s="155" t="s">
        <v>158</v>
      </c>
      <c r="D31" s="156">
        <v>656500021</v>
      </c>
      <c r="E31" s="157"/>
      <c r="F31" s="158">
        <v>656</v>
      </c>
      <c r="G31" s="159">
        <v>5000002030</v>
      </c>
      <c r="H31" s="160"/>
      <c r="I31" s="160"/>
      <c r="J31" s="161">
        <v>0</v>
      </c>
      <c r="K31" s="162"/>
      <c r="L31" s="163">
        <v>136000</v>
      </c>
      <c r="M31" s="163">
        <v>52000</v>
      </c>
      <c r="N31" s="163">
        <v>55000</v>
      </c>
      <c r="O31" s="163">
        <v>47959</v>
      </c>
      <c r="P31" s="163">
        <v>290959</v>
      </c>
      <c r="Q31" s="164">
        <f>R31+S31+T31+U31</f>
        <v>0</v>
      </c>
      <c r="R31" s="163">
        <f>R30*30.2%</f>
        <v>160060</v>
      </c>
      <c r="S31" s="163">
        <f>S30*30.2%</f>
        <v>45300</v>
      </c>
      <c r="T31" s="163">
        <f>T30*30.2%</f>
        <v>62672.610400000005</v>
      </c>
      <c r="U31" s="163">
        <f>V31-R31-S31-T31</f>
        <v>-268032.6104</v>
      </c>
      <c r="V31" s="163"/>
      <c r="W31" s="163"/>
      <c r="X31" s="167"/>
      <c r="Y31" s="167"/>
      <c r="Z31" s="163"/>
      <c r="AA31" s="163"/>
      <c r="AB31" s="168"/>
      <c r="AC31" s="168"/>
      <c r="AD31" s="168"/>
      <c r="AE31" s="168">
        <v>188854.59</v>
      </c>
      <c r="AF31" s="168">
        <v>0</v>
      </c>
      <c r="AG31" s="168"/>
      <c r="AH31" s="169"/>
      <c r="AI31" s="170">
        <v>0.6490762959729721</v>
      </c>
      <c r="AJ31" s="152" t="s">
        <v>143</v>
      </c>
      <c r="AK31" s="171"/>
      <c r="AL31" s="171"/>
      <c r="AM31" s="172">
        <f>V31+V44+V167</f>
        <v>0</v>
      </c>
      <c r="AN31" s="38"/>
      <c r="AO31" s="38"/>
      <c r="AP31" s="38"/>
      <c r="AQ31" s="38"/>
      <c r="AR31" s="38"/>
      <c r="AS31" s="38"/>
      <c r="AT31" s="38"/>
      <c r="AU31" s="38"/>
      <c r="AV31" s="38"/>
      <c r="AW31" s="38"/>
      <c r="AX31" s="38"/>
      <c r="AY31" s="38"/>
      <c r="AZ31" s="38"/>
      <c r="BA31" s="38"/>
      <c r="BB31" s="38"/>
      <c r="BC31" s="38"/>
      <c r="BD31" s="38"/>
      <c r="BE31" s="38"/>
      <c r="BF31" s="38"/>
    </row>
    <row r="32" spans="1:58" s="173" customFormat="1" ht="17.25" customHeight="1">
      <c r="A32" s="153"/>
      <c r="B32" s="1413" t="s">
        <v>161</v>
      </c>
      <c r="C32" s="1414"/>
      <c r="D32" s="1414"/>
      <c r="E32" s="1414"/>
      <c r="F32" s="1414"/>
      <c r="G32" s="1414"/>
      <c r="H32" s="1414"/>
      <c r="I32" s="1414"/>
      <c r="J32" s="1414"/>
      <c r="K32" s="1415"/>
      <c r="L32" s="177">
        <v>606000</v>
      </c>
      <c r="M32" s="178">
        <v>202000</v>
      </c>
      <c r="N32" s="178">
        <v>322525.2</v>
      </c>
      <c r="O32" s="177">
        <v>123875.8</v>
      </c>
      <c r="P32" s="178">
        <v>1254401</v>
      </c>
      <c r="Q32" s="179">
        <f>R32+S32+T32+U32</f>
        <v>1254401</v>
      </c>
      <c r="R32" s="177">
        <v>606000</v>
      </c>
      <c r="S32" s="178">
        <v>202000</v>
      </c>
      <c r="T32" s="178">
        <v>322525.2</v>
      </c>
      <c r="U32" s="177">
        <v>123875.8</v>
      </c>
      <c r="V32" s="178">
        <f>V30+V31</f>
        <v>0</v>
      </c>
      <c r="W32" s="177"/>
      <c r="X32" s="181"/>
      <c r="Y32" s="182"/>
      <c r="Z32" s="178">
        <f>Z30+Z31</f>
        <v>0</v>
      </c>
      <c r="AA32" s="178">
        <f>AA30+AA31</f>
        <v>0</v>
      </c>
      <c r="AB32" s="1410"/>
      <c r="AC32" s="1411"/>
      <c r="AD32" s="1412"/>
      <c r="AE32" s="184">
        <v>1117365.79</v>
      </c>
      <c r="AF32" s="185">
        <v>0</v>
      </c>
      <c r="AG32" s="1410"/>
      <c r="AH32" s="1412"/>
      <c r="AI32" s="186">
        <v>0.8907564566673656</v>
      </c>
      <c r="AJ32" s="152" t="s">
        <v>143</v>
      </c>
      <c r="AK32" s="171"/>
      <c r="AL32" s="171"/>
      <c r="AM32" s="38"/>
      <c r="AN32" s="38"/>
      <c r="AO32" s="38"/>
      <c r="AP32" s="38"/>
      <c r="AQ32" s="38"/>
      <c r="AR32" s="38"/>
      <c r="AS32" s="38"/>
      <c r="AT32" s="38"/>
      <c r="AU32" s="38"/>
      <c r="AV32" s="38"/>
      <c r="AW32" s="38"/>
      <c r="AX32" s="38"/>
      <c r="AY32" s="38"/>
      <c r="AZ32" s="38"/>
      <c r="BA32" s="38"/>
      <c r="BB32" s="38"/>
      <c r="BC32" s="38"/>
      <c r="BD32" s="38"/>
      <c r="BE32" s="38"/>
      <c r="BF32" s="38"/>
    </row>
    <row r="33" spans="1:58" s="173" customFormat="1" ht="12.75" customHeight="1">
      <c r="A33" s="153"/>
      <c r="B33" s="1543" t="s">
        <v>164</v>
      </c>
      <c r="C33" s="1544"/>
      <c r="D33" s="1544"/>
      <c r="E33" s="1544"/>
      <c r="F33" s="1544"/>
      <c r="G33" s="1544"/>
      <c r="H33" s="1544"/>
      <c r="I33" s="1544"/>
      <c r="J33" s="1544"/>
      <c r="K33" s="1544"/>
      <c r="L33" s="1544"/>
      <c r="M33" s="1544"/>
      <c r="N33" s="1544"/>
      <c r="O33" s="1544"/>
      <c r="P33" s="1544"/>
      <c r="Q33" s="1544"/>
      <c r="R33" s="1544"/>
      <c r="S33" s="1544"/>
      <c r="T33" s="1544"/>
      <c r="U33" s="1544"/>
      <c r="V33" s="1544"/>
      <c r="W33" s="1544"/>
      <c r="X33" s="1544"/>
      <c r="Y33" s="1544"/>
      <c r="Z33" s="1544"/>
      <c r="AA33" s="1544"/>
      <c r="AB33" s="1544"/>
      <c r="AC33" s="1544"/>
      <c r="AD33" s="1544"/>
      <c r="AE33" s="1544"/>
      <c r="AF33" s="1544"/>
      <c r="AG33" s="1544"/>
      <c r="AH33" s="1544"/>
      <c r="AI33" s="1545"/>
      <c r="AJ33" s="152" t="s">
        <v>143</v>
      </c>
      <c r="AK33" s="171"/>
      <c r="AL33" s="171"/>
      <c r="AM33" s="38"/>
      <c r="AN33" s="38"/>
      <c r="AO33" s="38"/>
      <c r="AP33" s="38"/>
      <c r="AQ33" s="38"/>
      <c r="AR33" s="38"/>
      <c r="AS33" s="38"/>
      <c r="AT33" s="38"/>
      <c r="AU33" s="38"/>
      <c r="AV33" s="38"/>
      <c r="AW33" s="38"/>
      <c r="AX33" s="38"/>
      <c r="AY33" s="38"/>
      <c r="AZ33" s="38"/>
      <c r="BA33" s="38"/>
      <c r="BB33" s="38"/>
      <c r="BC33" s="38"/>
      <c r="BD33" s="38"/>
      <c r="BE33" s="38"/>
      <c r="BF33" s="38"/>
    </row>
    <row r="34" spans="1:58" s="173" customFormat="1" ht="30" customHeight="1">
      <c r="A34" s="153"/>
      <c r="B34" s="154" t="s">
        <v>165</v>
      </c>
      <c r="C34" s="155" t="s">
        <v>165</v>
      </c>
      <c r="D34" s="156">
        <v>656430012</v>
      </c>
      <c r="E34" s="157">
        <v>104</v>
      </c>
      <c r="F34" s="158">
        <v>656</v>
      </c>
      <c r="G34" s="159" t="s">
        <v>546</v>
      </c>
      <c r="H34" s="160" t="s">
        <v>159</v>
      </c>
      <c r="I34" s="160">
        <v>211</v>
      </c>
      <c r="J34" s="163"/>
      <c r="K34" s="162"/>
      <c r="L34" s="163">
        <v>1115358</v>
      </c>
      <c r="M34" s="163">
        <v>979000</v>
      </c>
      <c r="N34" s="163">
        <v>860000</v>
      </c>
      <c r="O34" s="163">
        <v>772000</v>
      </c>
      <c r="P34" s="163">
        <v>3726358</v>
      </c>
      <c r="Q34" s="164">
        <f>R34+S34+T34+U34</f>
        <v>3353211</v>
      </c>
      <c r="R34" s="163">
        <f>1400000+173147</f>
        <v>1573147</v>
      </c>
      <c r="S34" s="163">
        <v>705853</v>
      </c>
      <c r="T34" s="163">
        <v>586853</v>
      </c>
      <c r="U34" s="163">
        <f>472000+15358</f>
        <v>487358</v>
      </c>
      <c r="V34" s="1001">
        <f>(926935+1230287+1822572+649655)+(926935+1230287+1822572+649655)*3.8%-0.06</f>
        <v>4805368.002</v>
      </c>
      <c r="W34" s="163" t="s">
        <v>572</v>
      </c>
      <c r="X34" s="166"/>
      <c r="Y34" s="167"/>
      <c r="Z34" s="1001">
        <f>(926935+1230287+1822572+649655)+(926935+1230287+1822572+649655)*3.8%-0.06</f>
        <v>4805368.002</v>
      </c>
      <c r="AA34" s="1001">
        <f>(926935+1230287+1822572+649655)+(926935+1230287+1822572+649655)*3.8%-0.06</f>
        <v>4805368.002</v>
      </c>
      <c r="AB34" s="168"/>
      <c r="AC34" s="168"/>
      <c r="AD34" s="168"/>
      <c r="AE34" s="168">
        <v>3047003.25</v>
      </c>
      <c r="AF34" s="168">
        <v>0</v>
      </c>
      <c r="AG34" s="168"/>
      <c r="AH34" s="169"/>
      <c r="AI34" s="170">
        <v>0.8176893497618855</v>
      </c>
      <c r="AJ34" s="152" t="s">
        <v>143</v>
      </c>
      <c r="AK34" s="171"/>
      <c r="AL34" s="171"/>
      <c r="AM34" s="38"/>
      <c r="AN34" s="38"/>
      <c r="AO34" s="38"/>
      <c r="AP34" s="38"/>
      <c r="AQ34" s="38"/>
      <c r="AR34" s="38"/>
      <c r="AS34" s="38"/>
      <c r="AT34" s="38"/>
      <c r="AU34" s="38"/>
      <c r="AV34" s="38"/>
      <c r="AW34" s="38"/>
      <c r="AX34" s="38"/>
      <c r="AY34" s="38"/>
      <c r="AZ34" s="38"/>
      <c r="BA34" s="38"/>
      <c r="BB34" s="38"/>
      <c r="BC34" s="38"/>
      <c r="BD34" s="38"/>
      <c r="BE34" s="38"/>
      <c r="BF34" s="38"/>
    </row>
    <row r="35" spans="1:58" s="173" customFormat="1" ht="22.5" customHeight="1">
      <c r="A35" s="153"/>
      <c r="B35" s="154" t="s">
        <v>165</v>
      </c>
      <c r="C35" s="155" t="s">
        <v>165</v>
      </c>
      <c r="D35" s="156">
        <v>656430012</v>
      </c>
      <c r="E35" s="157">
        <v>104</v>
      </c>
      <c r="F35" s="158">
        <v>656</v>
      </c>
      <c r="G35" s="159" t="s">
        <v>546</v>
      </c>
      <c r="H35" s="1003" t="s">
        <v>159</v>
      </c>
      <c r="I35" s="1003">
        <v>266</v>
      </c>
      <c r="J35" s="163"/>
      <c r="K35" s="162"/>
      <c r="L35" s="163">
        <v>1115358</v>
      </c>
      <c r="M35" s="163">
        <v>979000</v>
      </c>
      <c r="N35" s="163">
        <v>860000</v>
      </c>
      <c r="O35" s="163">
        <v>772000</v>
      </c>
      <c r="P35" s="163">
        <v>3726358</v>
      </c>
      <c r="Q35" s="164">
        <f>R35+S35+T35+U35</f>
        <v>3353211</v>
      </c>
      <c r="R35" s="163">
        <f>1400000+173147</f>
        <v>1573147</v>
      </c>
      <c r="S35" s="163">
        <v>705853</v>
      </c>
      <c r="T35" s="163">
        <v>586853</v>
      </c>
      <c r="U35" s="163">
        <f>472000+15358</f>
        <v>487358</v>
      </c>
      <c r="V35" s="1001">
        <v>30000</v>
      </c>
      <c r="W35" s="163" t="s">
        <v>581</v>
      </c>
      <c r="X35" s="166"/>
      <c r="Y35" s="167"/>
      <c r="Z35" s="1001">
        <v>15000</v>
      </c>
      <c r="AA35" s="1001">
        <v>15000</v>
      </c>
      <c r="AB35" s="168"/>
      <c r="AC35" s="168"/>
      <c r="AD35" s="168"/>
      <c r="AE35" s="168">
        <v>3047003.25</v>
      </c>
      <c r="AF35" s="168">
        <v>0</v>
      </c>
      <c r="AG35" s="168"/>
      <c r="AH35" s="169"/>
      <c r="AI35" s="170">
        <v>0.8176893497618855</v>
      </c>
      <c r="AJ35" s="152" t="s">
        <v>143</v>
      </c>
      <c r="AK35" s="171"/>
      <c r="AL35" s="171"/>
      <c r="AM35" s="38"/>
      <c r="AN35" s="38"/>
      <c r="AO35" s="38"/>
      <c r="AP35" s="38"/>
      <c r="AQ35" s="38"/>
      <c r="AR35" s="38"/>
      <c r="AS35" s="38"/>
      <c r="AT35" s="38"/>
      <c r="AU35" s="38"/>
      <c r="AV35" s="38"/>
      <c r="AW35" s="38"/>
      <c r="AX35" s="38"/>
      <c r="AY35" s="38"/>
      <c r="AZ35" s="38"/>
      <c r="BA35" s="38"/>
      <c r="BB35" s="38"/>
      <c r="BC35" s="38"/>
      <c r="BD35" s="38"/>
      <c r="BE35" s="38"/>
      <c r="BF35" s="38"/>
    </row>
    <row r="36" spans="1:58" s="173" customFormat="1" ht="22.5" customHeight="1">
      <c r="A36" s="153"/>
      <c r="B36" s="154"/>
      <c r="C36" s="155"/>
      <c r="D36" s="156"/>
      <c r="E36" s="157"/>
      <c r="F36" s="158"/>
      <c r="G36" s="159"/>
      <c r="H36" s="160">
        <v>122</v>
      </c>
      <c r="I36" s="160">
        <v>212</v>
      </c>
      <c r="J36" s="163"/>
      <c r="K36" s="162"/>
      <c r="L36" s="163"/>
      <c r="M36" s="163"/>
      <c r="N36" s="163"/>
      <c r="O36" s="163"/>
      <c r="P36" s="163"/>
      <c r="Q36" s="164"/>
      <c r="R36" s="163"/>
      <c r="S36" s="163"/>
      <c r="T36" s="163"/>
      <c r="U36" s="163"/>
      <c r="V36" s="1001">
        <v>3000</v>
      </c>
      <c r="W36" s="163" t="s">
        <v>356</v>
      </c>
      <c r="X36" s="166"/>
      <c r="Y36" s="167"/>
      <c r="Z36" s="1001"/>
      <c r="AA36" s="1001"/>
      <c r="AB36" s="168"/>
      <c r="AC36" s="168"/>
      <c r="AD36" s="168"/>
      <c r="AE36" s="168"/>
      <c r="AF36" s="168"/>
      <c r="AG36" s="168"/>
      <c r="AH36" s="169"/>
      <c r="AI36" s="170"/>
      <c r="AJ36" s="152"/>
      <c r="AK36" s="171"/>
      <c r="AL36" s="171"/>
      <c r="AM36" s="38"/>
      <c r="AN36" s="38"/>
      <c r="AO36" s="38"/>
      <c r="AP36" s="38"/>
      <c r="AQ36" s="38"/>
      <c r="AR36" s="38"/>
      <c r="AS36" s="38"/>
      <c r="AT36" s="38"/>
      <c r="AU36" s="38"/>
      <c r="AV36" s="38"/>
      <c r="AW36" s="38"/>
      <c r="AX36" s="38"/>
      <c r="AY36" s="38"/>
      <c r="AZ36" s="38"/>
      <c r="BA36" s="38"/>
      <c r="BB36" s="38"/>
      <c r="BC36" s="38"/>
      <c r="BD36" s="38"/>
      <c r="BE36" s="38"/>
      <c r="BF36" s="38"/>
    </row>
    <row r="37" spans="1:58" s="173" customFormat="1" ht="22.5" customHeight="1">
      <c r="A37" s="153"/>
      <c r="B37" s="154"/>
      <c r="C37" s="155"/>
      <c r="D37" s="156"/>
      <c r="E37" s="157"/>
      <c r="F37" s="158"/>
      <c r="G37" s="159"/>
      <c r="H37" s="160">
        <v>122</v>
      </c>
      <c r="I37" s="160">
        <v>214.267</v>
      </c>
      <c r="J37" s="163"/>
      <c r="K37" s="162"/>
      <c r="L37" s="163"/>
      <c r="M37" s="163"/>
      <c r="N37" s="163"/>
      <c r="O37" s="163"/>
      <c r="P37" s="163"/>
      <c r="Q37" s="164"/>
      <c r="R37" s="163"/>
      <c r="S37" s="163"/>
      <c r="T37" s="163"/>
      <c r="U37" s="163"/>
      <c r="V37" s="1001">
        <v>100000</v>
      </c>
      <c r="W37" s="163" t="s">
        <v>565</v>
      </c>
      <c r="X37" s="166">
        <v>100000</v>
      </c>
      <c r="Y37" s="167"/>
      <c r="Z37" s="1001">
        <v>136875.2</v>
      </c>
      <c r="AA37" s="1001">
        <v>150000</v>
      </c>
      <c r="AB37" s="168"/>
      <c r="AC37" s="168"/>
      <c r="AD37" s="168"/>
      <c r="AE37" s="168"/>
      <c r="AF37" s="168"/>
      <c r="AG37" s="168"/>
      <c r="AH37" s="169"/>
      <c r="AI37" s="170"/>
      <c r="AJ37" s="152"/>
      <c r="AK37" s="171"/>
      <c r="AL37" s="171"/>
      <c r="AM37" s="38" t="s">
        <v>681</v>
      </c>
      <c r="AN37" s="38"/>
      <c r="AO37" s="38"/>
      <c r="AP37" s="38"/>
      <c r="AQ37" s="38"/>
      <c r="AR37" s="38"/>
      <c r="AS37" s="38"/>
      <c r="AT37" s="38"/>
      <c r="AU37" s="38"/>
      <c r="AV37" s="38"/>
      <c r="AW37" s="38"/>
      <c r="AX37" s="38"/>
      <c r="AY37" s="38"/>
      <c r="AZ37" s="38"/>
      <c r="BA37" s="38"/>
      <c r="BB37" s="38"/>
      <c r="BC37" s="38"/>
      <c r="BD37" s="38"/>
      <c r="BE37" s="38"/>
      <c r="BF37" s="38"/>
    </row>
    <row r="38" spans="1:58" s="173" customFormat="1" ht="22.5" customHeight="1">
      <c r="A38" s="153"/>
      <c r="B38" s="154"/>
      <c r="C38" s="155"/>
      <c r="D38" s="156"/>
      <c r="E38" s="157"/>
      <c r="F38" s="158"/>
      <c r="G38" s="159"/>
      <c r="H38" s="160">
        <v>122</v>
      </c>
      <c r="I38" s="160">
        <v>226</v>
      </c>
      <c r="J38" s="163"/>
      <c r="K38" s="162"/>
      <c r="L38" s="163"/>
      <c r="M38" s="163"/>
      <c r="N38" s="163"/>
      <c r="O38" s="163"/>
      <c r="P38" s="163"/>
      <c r="Q38" s="164"/>
      <c r="R38" s="163"/>
      <c r="S38" s="163"/>
      <c r="T38" s="163"/>
      <c r="U38" s="163"/>
      <c r="V38" s="1001">
        <v>3000</v>
      </c>
      <c r="W38" s="163" t="s">
        <v>663</v>
      </c>
      <c r="X38" s="166"/>
      <c r="Y38" s="167"/>
      <c r="Z38" s="1001"/>
      <c r="AA38" s="1001"/>
      <c r="AB38" s="168"/>
      <c r="AC38" s="168"/>
      <c r="AD38" s="168"/>
      <c r="AE38" s="168"/>
      <c r="AF38" s="168"/>
      <c r="AG38" s="168"/>
      <c r="AH38" s="169"/>
      <c r="AI38" s="170"/>
      <c r="AJ38" s="152"/>
      <c r="AK38" s="171"/>
      <c r="AL38" s="171"/>
      <c r="AM38" s="38"/>
      <c r="AN38" s="38"/>
      <c r="AO38" s="38"/>
      <c r="AP38" s="38"/>
      <c r="AQ38" s="38"/>
      <c r="AR38" s="38"/>
      <c r="AS38" s="38"/>
      <c r="AT38" s="38"/>
      <c r="AU38" s="38"/>
      <c r="AV38" s="38"/>
      <c r="AW38" s="38"/>
      <c r="AX38" s="38"/>
      <c r="AY38" s="38"/>
      <c r="AZ38" s="38"/>
      <c r="BA38" s="38"/>
      <c r="BB38" s="38"/>
      <c r="BC38" s="38"/>
      <c r="BD38" s="38"/>
      <c r="BE38" s="38"/>
      <c r="BF38" s="38"/>
    </row>
    <row r="39" spans="1:58" s="173" customFormat="1" ht="12" customHeight="1">
      <c r="A39" s="153"/>
      <c r="B39" s="154"/>
      <c r="C39" s="155"/>
      <c r="D39" s="156"/>
      <c r="E39" s="157">
        <v>104</v>
      </c>
      <c r="F39" s="158"/>
      <c r="G39" s="159" t="s">
        <v>546</v>
      </c>
      <c r="H39" s="160">
        <v>122</v>
      </c>
      <c r="I39" s="160">
        <v>267</v>
      </c>
      <c r="J39" s="163"/>
      <c r="K39" s="162">
        <v>147889.72</v>
      </c>
      <c r="L39" s="163"/>
      <c r="M39" s="163"/>
      <c r="N39" s="163"/>
      <c r="O39" s="163"/>
      <c r="P39" s="163"/>
      <c r="Q39" s="164"/>
      <c r="R39" s="163"/>
      <c r="S39" s="163"/>
      <c r="T39" s="163"/>
      <c r="U39" s="163"/>
      <c r="V39" s="417">
        <v>40000</v>
      </c>
      <c r="W39" s="192" t="s">
        <v>620</v>
      </c>
      <c r="X39" s="166">
        <v>44000</v>
      </c>
      <c r="Y39" s="167"/>
      <c r="Z39" s="417">
        <v>40000</v>
      </c>
      <c r="AA39" s="417">
        <v>200000</v>
      </c>
      <c r="AB39" s="168"/>
      <c r="AC39" s="168"/>
      <c r="AD39" s="168"/>
      <c r="AE39" s="168"/>
      <c r="AF39" s="168"/>
      <c r="AG39" s="168"/>
      <c r="AH39" s="169"/>
      <c r="AI39" s="170"/>
      <c r="AJ39" s="152"/>
      <c r="AK39" s="171"/>
      <c r="AL39" s="171"/>
      <c r="AM39" s="38"/>
      <c r="AN39" s="38"/>
      <c r="AO39" s="38"/>
      <c r="AP39" s="38"/>
      <c r="AQ39" s="38"/>
      <c r="AR39" s="38"/>
      <c r="AS39" s="38"/>
      <c r="AT39" s="38"/>
      <c r="AU39" s="38"/>
      <c r="AV39" s="38"/>
      <c r="AW39" s="38"/>
      <c r="AX39" s="38"/>
      <c r="AY39" s="38"/>
      <c r="AZ39" s="38"/>
      <c r="BA39" s="38"/>
      <c r="BB39" s="38"/>
      <c r="BC39" s="38"/>
      <c r="BD39" s="38"/>
      <c r="BE39" s="38"/>
      <c r="BF39" s="38"/>
    </row>
    <row r="40" spans="1:58" s="173" customFormat="1" ht="12.75" customHeight="1">
      <c r="A40" s="153"/>
      <c r="B40" s="154" t="s">
        <v>165</v>
      </c>
      <c r="C40" s="155" t="s">
        <v>165</v>
      </c>
      <c r="D40" s="156">
        <v>656430012</v>
      </c>
      <c r="E40" s="157">
        <v>104</v>
      </c>
      <c r="F40" s="158">
        <v>656</v>
      </c>
      <c r="G40" s="159" t="s">
        <v>546</v>
      </c>
      <c r="H40" s="160">
        <v>129</v>
      </c>
      <c r="I40" s="160">
        <v>213</v>
      </c>
      <c r="J40" s="163"/>
      <c r="K40" s="162"/>
      <c r="L40" s="163">
        <v>340000</v>
      </c>
      <c r="M40" s="163">
        <v>296000</v>
      </c>
      <c r="N40" s="163">
        <v>294860</v>
      </c>
      <c r="O40" s="163">
        <v>194500</v>
      </c>
      <c r="P40" s="163">
        <v>1125360</v>
      </c>
      <c r="Q40" s="164">
        <f>R40+S40+T40+U40</f>
        <v>1430220.996604</v>
      </c>
      <c r="R40" s="163">
        <f>V40-S40-T40-U40</f>
        <v>892641.6686040002</v>
      </c>
      <c r="S40" s="163">
        <f>S34*30.2%</f>
        <v>213167.606</v>
      </c>
      <c r="T40" s="163">
        <f>T34*30.2%</f>
        <v>177229.606</v>
      </c>
      <c r="U40" s="163">
        <f>U34*30.2%</f>
        <v>147182.116</v>
      </c>
      <c r="V40" s="1001">
        <f>V34*30.2%-0.14-V36-V38-15000</f>
        <v>1430220.9966040002</v>
      </c>
      <c r="W40" s="163">
        <v>1451220.9966040002</v>
      </c>
      <c r="X40" s="166"/>
      <c r="Y40" s="167"/>
      <c r="Z40" s="1001">
        <f>Z34*30.2%-0.14</f>
        <v>1451220.9966040002</v>
      </c>
      <c r="AA40" s="1001">
        <f>AA34*30.2%-0.14</f>
        <v>1451220.9966040002</v>
      </c>
      <c r="AB40" s="168"/>
      <c r="AC40" s="168"/>
      <c r="AD40" s="168"/>
      <c r="AE40" s="168">
        <v>999356.66</v>
      </c>
      <c r="AF40" s="168">
        <v>0</v>
      </c>
      <c r="AG40" s="168"/>
      <c r="AH40" s="169"/>
      <c r="AI40" s="170">
        <v>0.8880328605957201</v>
      </c>
      <c r="AJ40" s="152" t="s">
        <v>143</v>
      </c>
      <c r="AK40" s="171"/>
      <c r="AL40" s="171"/>
      <c r="AM40" s="163" t="s">
        <v>166</v>
      </c>
      <c r="AN40" s="38">
        <f>22400+21700</f>
        <v>44100</v>
      </c>
      <c r="AO40" s="38"/>
      <c r="AP40" s="38"/>
      <c r="AQ40" s="38"/>
      <c r="AR40" s="38"/>
      <c r="AS40" s="38"/>
      <c r="AT40" s="38"/>
      <c r="AU40" s="38"/>
      <c r="AV40" s="38"/>
      <c r="AW40" s="38"/>
      <c r="AX40" s="38"/>
      <c r="AY40" s="38"/>
      <c r="AZ40" s="38"/>
      <c r="BA40" s="38"/>
      <c r="BB40" s="38"/>
      <c r="BC40" s="38"/>
      <c r="BD40" s="38"/>
      <c r="BE40" s="38"/>
      <c r="BF40" s="38"/>
    </row>
    <row r="41" spans="1:58" s="173" customFormat="1" ht="12.75" customHeight="1">
      <c r="A41" s="153"/>
      <c r="B41" s="1546">
        <f>J34+J40</f>
        <v>0</v>
      </c>
      <c r="C41" s="1547"/>
      <c r="D41" s="1547"/>
      <c r="E41" s="1547"/>
      <c r="F41" s="1547"/>
      <c r="G41" s="1547"/>
      <c r="H41" s="1547"/>
      <c r="I41" s="1547"/>
      <c r="J41" s="1547"/>
      <c r="K41" s="1548"/>
      <c r="L41" s="177">
        <v>1455358</v>
      </c>
      <c r="M41" s="178">
        <v>1275000</v>
      </c>
      <c r="N41" s="178">
        <v>1154860</v>
      </c>
      <c r="O41" s="177">
        <v>966500</v>
      </c>
      <c r="P41" s="178">
        <v>4851718</v>
      </c>
      <c r="Q41" s="179">
        <f>R41+S41+T41+U41</f>
        <v>4783431.996604001</v>
      </c>
      <c r="R41" s="177">
        <f>R34+R40</f>
        <v>2465788.6686040005</v>
      </c>
      <c r="S41" s="177">
        <f>S34+S40</f>
        <v>919020.606</v>
      </c>
      <c r="T41" s="177">
        <f>T34+T40</f>
        <v>764082.606</v>
      </c>
      <c r="U41" s="177">
        <f>U34+U40</f>
        <v>634540.116</v>
      </c>
      <c r="V41" s="1002">
        <f>SUM(V34:V40)</f>
        <v>6411588.998604001</v>
      </c>
      <c r="W41" s="177">
        <v>6411588.998604001</v>
      </c>
      <c r="X41" s="189">
        <f>SUM(X34:X40)</f>
        <v>144000</v>
      </c>
      <c r="Y41" s="182"/>
      <c r="Z41" s="1002">
        <f>SUM(Z34:Z40)</f>
        <v>6448464.198604001</v>
      </c>
      <c r="AA41" s="1002">
        <f>SUM(AA34:AA40)</f>
        <v>6621588.998604001</v>
      </c>
      <c r="AB41" s="1410"/>
      <c r="AC41" s="1411"/>
      <c r="AD41" s="1412"/>
      <c r="AE41" s="184">
        <v>4052111.45</v>
      </c>
      <c r="AF41" s="185">
        <v>0</v>
      </c>
      <c r="AG41" s="1410"/>
      <c r="AH41" s="1412"/>
      <c r="AI41" s="186">
        <v>0.8351910498507951</v>
      </c>
      <c r="AJ41" s="152" t="s">
        <v>143</v>
      </c>
      <c r="AK41" s="171"/>
      <c r="AL41" s="171"/>
      <c r="AM41" s="38"/>
      <c r="AN41" s="38"/>
      <c r="AO41" s="38"/>
      <c r="AP41" s="38"/>
      <c r="AQ41" s="38"/>
      <c r="AR41" s="38"/>
      <c r="AS41" s="38"/>
      <c r="AT41" s="38"/>
      <c r="AU41" s="38"/>
      <c r="AV41" s="38"/>
      <c r="AW41" s="38"/>
      <c r="AX41" s="38"/>
      <c r="AY41" s="38"/>
      <c r="AZ41" s="38"/>
      <c r="BA41" s="38"/>
      <c r="BB41" s="38"/>
      <c r="BC41" s="38"/>
      <c r="BD41" s="38"/>
      <c r="BE41" s="38"/>
      <c r="BF41" s="38"/>
    </row>
    <row r="42" spans="1:58" s="173" customFormat="1" ht="1.5" customHeight="1">
      <c r="A42" s="153"/>
      <c r="B42" s="1413" t="s">
        <v>167</v>
      </c>
      <c r="C42" s="1414"/>
      <c r="D42" s="1414"/>
      <c r="E42" s="1414"/>
      <c r="F42" s="1414"/>
      <c r="G42" s="1414"/>
      <c r="H42" s="1414"/>
      <c r="I42" s="1414"/>
      <c r="J42" s="1414"/>
      <c r="K42" s="1414"/>
      <c r="L42" s="1414"/>
      <c r="M42" s="1414"/>
      <c r="N42" s="1414"/>
      <c r="O42" s="1414"/>
      <c r="P42" s="1414"/>
      <c r="Q42" s="1414"/>
      <c r="R42" s="1414"/>
      <c r="S42" s="1414"/>
      <c r="T42" s="1414"/>
      <c r="U42" s="1414"/>
      <c r="V42" s="1414"/>
      <c r="W42" s="1414"/>
      <c r="X42" s="1414"/>
      <c r="Y42" s="1414"/>
      <c r="Z42" s="1414"/>
      <c r="AA42" s="1414"/>
      <c r="AB42" s="1414"/>
      <c r="AC42" s="1414"/>
      <c r="AD42" s="1414"/>
      <c r="AE42" s="1414"/>
      <c r="AF42" s="1414"/>
      <c r="AG42" s="1414"/>
      <c r="AH42" s="1414"/>
      <c r="AI42" s="1534"/>
      <c r="AJ42" s="152" t="s">
        <v>143</v>
      </c>
      <c r="AK42" s="171"/>
      <c r="AL42" s="171"/>
      <c r="AM42" s="38"/>
      <c r="AN42" s="38"/>
      <c r="AO42" s="38"/>
      <c r="AP42" s="38"/>
      <c r="AQ42" s="38"/>
      <c r="AR42" s="38"/>
      <c r="AS42" s="38"/>
      <c r="AT42" s="38"/>
      <c r="AU42" s="38"/>
      <c r="AV42" s="38"/>
      <c r="AW42" s="38"/>
      <c r="AX42" s="38"/>
      <c r="AY42" s="38"/>
      <c r="AZ42" s="38"/>
      <c r="BA42" s="38"/>
      <c r="BB42" s="38"/>
      <c r="BC42" s="38"/>
      <c r="BD42" s="38"/>
      <c r="BE42" s="38"/>
      <c r="BF42" s="38"/>
    </row>
    <row r="43" spans="1:58" s="173" customFormat="1" ht="12.75" customHeight="1" hidden="1">
      <c r="A43" s="153"/>
      <c r="B43" s="154" t="s">
        <v>168</v>
      </c>
      <c r="C43" s="155" t="s">
        <v>168</v>
      </c>
      <c r="D43" s="156">
        <v>656500032</v>
      </c>
      <c r="E43" s="157">
        <v>104</v>
      </c>
      <c r="F43" s="158">
        <v>656</v>
      </c>
      <c r="G43" s="159">
        <v>50000002040</v>
      </c>
      <c r="H43" s="160" t="s">
        <v>169</v>
      </c>
      <c r="I43" s="160">
        <v>212</v>
      </c>
      <c r="J43" s="161">
        <v>0</v>
      </c>
      <c r="K43" s="162"/>
      <c r="L43" s="163">
        <v>0</v>
      </c>
      <c r="M43" s="163">
        <v>3000</v>
      </c>
      <c r="N43" s="163">
        <v>33000</v>
      </c>
      <c r="O43" s="163">
        <v>0</v>
      </c>
      <c r="P43" s="163">
        <v>36000</v>
      </c>
      <c r="Q43" s="167">
        <f>R43+S43+T43+U43</f>
        <v>10000</v>
      </c>
      <c r="R43" s="162">
        <v>5000</v>
      </c>
      <c r="S43" s="162">
        <v>5000</v>
      </c>
      <c r="T43" s="162"/>
      <c r="U43" s="162"/>
      <c r="V43" s="191"/>
      <c r="W43" s="192" t="s">
        <v>170</v>
      </c>
      <c r="X43" s="193" t="s">
        <v>171</v>
      </c>
      <c r="Y43" s="194"/>
      <c r="Z43" s="195">
        <v>0</v>
      </c>
      <c r="AA43" s="195">
        <v>0</v>
      </c>
      <c r="AB43" s="168"/>
      <c r="AC43" s="168"/>
      <c r="AD43" s="168"/>
      <c r="AE43" s="168">
        <v>23500</v>
      </c>
      <c r="AF43" s="168">
        <v>0</v>
      </c>
      <c r="AG43" s="168"/>
      <c r="AH43" s="169"/>
      <c r="AI43" s="170">
        <v>0.6527777777777778</v>
      </c>
      <c r="AJ43" s="152" t="s">
        <v>143</v>
      </c>
      <c r="AK43" s="171"/>
      <c r="AL43" s="171"/>
      <c r="AM43" s="38"/>
      <c r="AN43" s="38"/>
      <c r="AO43" s="38"/>
      <c r="AP43" s="38"/>
      <c r="AQ43" s="38"/>
      <c r="AR43" s="38"/>
      <c r="AS43" s="38"/>
      <c r="AT43" s="38"/>
      <c r="AU43" s="38"/>
      <c r="AV43" s="38"/>
      <c r="AW43" s="38"/>
      <c r="AX43" s="38"/>
      <c r="AY43" s="38"/>
      <c r="AZ43" s="38"/>
      <c r="BA43" s="38"/>
      <c r="BB43" s="38"/>
      <c r="BC43" s="38"/>
      <c r="BD43" s="38"/>
      <c r="BE43" s="38"/>
      <c r="BF43" s="38"/>
    </row>
    <row r="44" spans="1:58" s="173" customFormat="1" ht="9" customHeight="1" hidden="1">
      <c r="A44" s="153"/>
      <c r="B44" s="154" t="s">
        <v>167</v>
      </c>
      <c r="C44" s="155" t="s">
        <v>167</v>
      </c>
      <c r="D44" s="156">
        <v>656500032</v>
      </c>
      <c r="E44" s="157">
        <v>104</v>
      </c>
      <c r="F44" s="158">
        <v>656</v>
      </c>
      <c r="G44" s="159">
        <v>50000002040</v>
      </c>
      <c r="H44" s="160" t="s">
        <v>91</v>
      </c>
      <c r="I44" s="160">
        <v>222</v>
      </c>
      <c r="J44" s="161">
        <v>0</v>
      </c>
      <c r="K44" s="162"/>
      <c r="L44" s="163">
        <v>0</v>
      </c>
      <c r="M44" s="163">
        <v>0</v>
      </c>
      <c r="N44" s="163">
        <v>5000</v>
      </c>
      <c r="O44" s="163">
        <v>0</v>
      </c>
      <c r="P44" s="163">
        <v>5000</v>
      </c>
      <c r="Q44" s="167">
        <f>R44+S44+T44+U44</f>
        <v>10000</v>
      </c>
      <c r="R44" s="163">
        <v>5000</v>
      </c>
      <c r="S44" s="163"/>
      <c r="T44" s="163">
        <v>5000</v>
      </c>
      <c r="U44" s="163"/>
      <c r="V44" s="163">
        <v>0</v>
      </c>
      <c r="W44" s="196" t="s">
        <v>172</v>
      </c>
      <c r="X44" s="197"/>
      <c r="Y44" s="198"/>
      <c r="Z44" s="163"/>
      <c r="AA44" s="163"/>
      <c r="AB44" s="168"/>
      <c r="AC44" s="168"/>
      <c r="AD44" s="168"/>
      <c r="AE44" s="168">
        <v>3000</v>
      </c>
      <c r="AF44" s="168">
        <v>0</v>
      </c>
      <c r="AG44" s="168"/>
      <c r="AH44" s="169"/>
      <c r="AI44" s="170">
        <v>0.6</v>
      </c>
      <c r="AJ44" s="152" t="s">
        <v>143</v>
      </c>
      <c r="AK44" s="171"/>
      <c r="AL44" s="171"/>
      <c r="AM44" s="38"/>
      <c r="AN44" s="38"/>
      <c r="AO44" s="38"/>
      <c r="AP44" s="38"/>
      <c r="AQ44" s="38"/>
      <c r="AR44" s="38"/>
      <c r="AS44" s="38"/>
      <c r="AT44" s="38"/>
      <c r="AU44" s="38"/>
      <c r="AV44" s="38"/>
      <c r="AW44" s="38"/>
      <c r="AX44" s="38"/>
      <c r="AY44" s="38"/>
      <c r="AZ44" s="38"/>
      <c r="BA44" s="38"/>
      <c r="BB44" s="38"/>
      <c r="BC44" s="38"/>
      <c r="BD44" s="38"/>
      <c r="BE44" s="38"/>
      <c r="BF44" s="38"/>
    </row>
    <row r="45" spans="1:58" s="173" customFormat="1" ht="10.5" customHeight="1" hidden="1" thickBot="1">
      <c r="A45" s="153"/>
      <c r="B45" s="154" t="s">
        <v>167</v>
      </c>
      <c r="C45" s="155" t="s">
        <v>167</v>
      </c>
      <c r="D45" s="156">
        <v>656500032</v>
      </c>
      <c r="E45" s="199">
        <v>104</v>
      </c>
      <c r="F45" s="200">
        <v>656</v>
      </c>
      <c r="G45" s="159">
        <v>50000002040</v>
      </c>
      <c r="H45" s="201" t="s">
        <v>91</v>
      </c>
      <c r="I45" s="201">
        <v>225</v>
      </c>
      <c r="J45" s="202">
        <v>0</v>
      </c>
      <c r="K45" s="203"/>
      <c r="L45" s="204">
        <v>0</v>
      </c>
      <c r="M45" s="204">
        <v>9000</v>
      </c>
      <c r="N45" s="204">
        <v>24750.03</v>
      </c>
      <c r="O45" s="204">
        <v>0</v>
      </c>
      <c r="P45" s="204"/>
      <c r="Q45" s="167">
        <f>R45+S45+T45+U45</f>
        <v>36000</v>
      </c>
      <c r="R45" s="204">
        <v>9000</v>
      </c>
      <c r="S45" s="204">
        <v>9000</v>
      </c>
      <c r="T45" s="204">
        <v>9000</v>
      </c>
      <c r="U45" s="204">
        <v>9000</v>
      </c>
      <c r="V45" s="204"/>
      <c r="W45" s="205" t="s">
        <v>173</v>
      </c>
      <c r="X45" s="206"/>
      <c r="Y45" s="207"/>
      <c r="Z45" s="204"/>
      <c r="AA45" s="204"/>
      <c r="AB45" s="168"/>
      <c r="AC45" s="168"/>
      <c r="AD45" s="168"/>
      <c r="AE45" s="168">
        <v>24750.03</v>
      </c>
      <c r="AF45" s="168">
        <v>0</v>
      </c>
      <c r="AG45" s="168"/>
      <c r="AH45" s="169"/>
      <c r="AI45" s="170">
        <v>0.7333335703701597</v>
      </c>
      <c r="AJ45" s="152" t="s">
        <v>143</v>
      </c>
      <c r="AK45" s="171"/>
      <c r="AL45" s="171"/>
      <c r="AM45" s="38"/>
      <c r="AN45" s="38"/>
      <c r="AO45" s="38"/>
      <c r="AP45" s="38"/>
      <c r="AQ45" s="38"/>
      <c r="AR45" s="38"/>
      <c r="AS45" s="38"/>
      <c r="AT45" s="38"/>
      <c r="AU45" s="38"/>
      <c r="AV45" s="38"/>
      <c r="AW45" s="38"/>
      <c r="AX45" s="38"/>
      <c r="AY45" s="38"/>
      <c r="AZ45" s="38"/>
      <c r="BA45" s="38"/>
      <c r="BB45" s="38"/>
      <c r="BC45" s="38"/>
      <c r="BD45" s="38"/>
      <c r="BE45" s="38"/>
      <c r="BF45" s="38"/>
    </row>
    <row r="46" spans="1:58" s="173" customFormat="1" ht="12" customHeight="1" hidden="1">
      <c r="A46" s="153"/>
      <c r="B46" s="154" t="s">
        <v>167</v>
      </c>
      <c r="C46" s="155" t="s">
        <v>167</v>
      </c>
      <c r="D46" s="156">
        <v>656500032</v>
      </c>
      <c r="E46" s="208">
        <v>104</v>
      </c>
      <c r="F46" s="209">
        <v>656</v>
      </c>
      <c r="G46" s="159">
        <v>50000002040</v>
      </c>
      <c r="H46" s="210" t="s">
        <v>91</v>
      </c>
      <c r="I46" s="210">
        <v>226</v>
      </c>
      <c r="J46" s="211">
        <v>0</v>
      </c>
      <c r="K46" s="212"/>
      <c r="L46" s="213">
        <v>20000</v>
      </c>
      <c r="M46" s="213">
        <v>11000</v>
      </c>
      <c r="N46" s="213">
        <v>16000</v>
      </c>
      <c r="O46" s="213">
        <v>13500</v>
      </c>
      <c r="P46" s="213"/>
      <c r="Q46" s="167">
        <f>R46+S46+T46+U46</f>
        <v>10000</v>
      </c>
      <c r="R46" s="213">
        <v>10000</v>
      </c>
      <c r="S46" s="213"/>
      <c r="T46" s="213"/>
      <c r="U46" s="213"/>
      <c r="V46" s="214"/>
      <c r="W46" s="215"/>
      <c r="X46" s="216"/>
      <c r="Y46" s="217"/>
      <c r="Z46" s="213"/>
      <c r="AA46" s="213"/>
      <c r="AB46" s="168"/>
      <c r="AC46" s="168"/>
      <c r="AD46" s="168"/>
      <c r="AE46" s="168">
        <v>21830</v>
      </c>
      <c r="AF46" s="168">
        <v>0</v>
      </c>
      <c r="AG46" s="168"/>
      <c r="AH46" s="169"/>
      <c r="AI46" s="170">
        <v>0.36082644628099175</v>
      </c>
      <c r="AJ46" s="152" t="s">
        <v>143</v>
      </c>
      <c r="AK46" s="171"/>
      <c r="AL46" s="171"/>
      <c r="AM46" s="38"/>
      <c r="AN46" s="38"/>
      <c r="AO46" s="38"/>
      <c r="AP46" s="38"/>
      <c r="AQ46" s="38"/>
      <c r="AR46" s="38"/>
      <c r="AS46" s="38"/>
      <c r="AT46" s="38"/>
      <c r="AU46" s="38"/>
      <c r="AV46" s="38"/>
      <c r="AW46" s="38"/>
      <c r="AX46" s="38"/>
      <c r="AY46" s="38"/>
      <c r="AZ46" s="38"/>
      <c r="BA46" s="38"/>
      <c r="BB46" s="38"/>
      <c r="BC46" s="38"/>
      <c r="BD46" s="38"/>
      <c r="BE46" s="38"/>
      <c r="BF46" s="38"/>
    </row>
    <row r="47" spans="1:58" s="173" customFormat="1" ht="12.75" customHeight="1" hidden="1">
      <c r="A47" s="153"/>
      <c r="B47" s="154"/>
      <c r="C47" s="155"/>
      <c r="D47" s="156">
        <v>656500033</v>
      </c>
      <c r="E47" s="157"/>
      <c r="F47" s="158"/>
      <c r="G47" s="159">
        <v>50000002040</v>
      </c>
      <c r="H47" s="160">
        <v>851</v>
      </c>
      <c r="I47" s="160">
        <v>290</v>
      </c>
      <c r="J47" s="161" t="s">
        <v>174</v>
      </c>
      <c r="K47" s="162"/>
      <c r="L47" s="163"/>
      <c r="M47" s="163"/>
      <c r="N47" s="163"/>
      <c r="O47" s="163"/>
      <c r="P47" s="163"/>
      <c r="Q47" s="167"/>
      <c r="R47" s="163">
        <v>10000</v>
      </c>
      <c r="S47" s="163">
        <v>10000</v>
      </c>
      <c r="T47" s="163">
        <v>5000</v>
      </c>
      <c r="U47" s="163"/>
      <c r="V47" s="163"/>
      <c r="W47" s="218" t="s">
        <v>175</v>
      </c>
      <c r="X47" s="219">
        <v>0</v>
      </c>
      <c r="Y47" s="220">
        <v>0</v>
      </c>
      <c r="Z47" s="163"/>
      <c r="AA47" s="163"/>
      <c r="AB47" s="168"/>
      <c r="AC47" s="168"/>
      <c r="AD47" s="168"/>
      <c r="AE47" s="168"/>
      <c r="AF47" s="168"/>
      <c r="AG47" s="168"/>
      <c r="AH47" s="169"/>
      <c r="AI47" s="170"/>
      <c r="AJ47" s="152"/>
      <c r="AK47" s="171"/>
      <c r="AL47" s="171"/>
      <c r="AM47" s="38"/>
      <c r="AN47" s="38"/>
      <c r="AO47" s="38"/>
      <c r="AP47" s="38"/>
      <c r="AQ47" s="38"/>
      <c r="AR47" s="38"/>
      <c r="AS47" s="38"/>
      <c r="AT47" s="38"/>
      <c r="AU47" s="38"/>
      <c r="AV47" s="38"/>
      <c r="AW47" s="38"/>
      <c r="AX47" s="38"/>
      <c r="AY47" s="38"/>
      <c r="AZ47" s="38"/>
      <c r="BA47" s="38"/>
      <c r="BB47" s="38"/>
      <c r="BC47" s="38"/>
      <c r="BD47" s="38"/>
      <c r="BE47" s="38"/>
      <c r="BF47" s="38"/>
    </row>
    <row r="48" spans="1:58" s="238" customFormat="1" ht="13.5" customHeight="1" hidden="1" thickBot="1">
      <c r="A48" s="221"/>
      <c r="B48" s="222"/>
      <c r="C48" s="155"/>
      <c r="D48" s="156">
        <v>656500032</v>
      </c>
      <c r="E48" s="223"/>
      <c r="F48" s="224"/>
      <c r="G48" s="159">
        <v>50000002040</v>
      </c>
      <c r="H48" s="160">
        <v>853</v>
      </c>
      <c r="I48" s="160">
        <v>290</v>
      </c>
      <c r="J48" s="161" t="s">
        <v>174</v>
      </c>
      <c r="K48" s="225"/>
      <c r="L48" s="226"/>
      <c r="M48" s="226"/>
      <c r="N48" s="226"/>
      <c r="O48" s="226"/>
      <c r="P48" s="226"/>
      <c r="Q48" s="227"/>
      <c r="R48" s="226">
        <f>R46+R47</f>
        <v>20000</v>
      </c>
      <c r="S48" s="226">
        <f>S46+S47</f>
        <v>10000</v>
      </c>
      <c r="T48" s="226">
        <f>T46+T47</f>
        <v>5000</v>
      </c>
      <c r="U48" s="226">
        <f>U46+U47</f>
        <v>0</v>
      </c>
      <c r="V48" s="228"/>
      <c r="W48" s="229" t="s">
        <v>176</v>
      </c>
      <c r="X48" s="230"/>
      <c r="Y48" s="231"/>
      <c r="Z48" s="226">
        <f>Z46+Z47</f>
        <v>0</v>
      </c>
      <c r="AA48" s="226">
        <f>AA46+AA47</f>
        <v>0</v>
      </c>
      <c r="AB48" s="232"/>
      <c r="AC48" s="232"/>
      <c r="AD48" s="232"/>
      <c r="AE48" s="232"/>
      <c r="AF48" s="232"/>
      <c r="AG48" s="232"/>
      <c r="AH48" s="233"/>
      <c r="AI48" s="234"/>
      <c r="AJ48" s="235"/>
      <c r="AK48" s="236"/>
      <c r="AL48" s="236"/>
      <c r="AM48" s="237"/>
      <c r="AN48" s="237"/>
      <c r="AO48" s="237"/>
      <c r="AP48" s="237"/>
      <c r="AQ48" s="237"/>
      <c r="AR48" s="237"/>
      <c r="AS48" s="237"/>
      <c r="AT48" s="237"/>
      <c r="AU48" s="237"/>
      <c r="AV48" s="237"/>
      <c r="AW48" s="237"/>
      <c r="AX48" s="237"/>
      <c r="AY48" s="237"/>
      <c r="AZ48" s="237"/>
      <c r="BA48" s="237"/>
      <c r="BB48" s="237"/>
      <c r="BC48" s="237"/>
      <c r="BD48" s="237"/>
      <c r="BE48" s="237"/>
      <c r="BF48" s="237"/>
    </row>
    <row r="49" spans="1:58" s="173" customFormat="1" ht="12.75" customHeight="1" hidden="1" thickBot="1">
      <c r="A49" s="153"/>
      <c r="B49" s="154" t="s">
        <v>167</v>
      </c>
      <c r="C49" s="155" t="s">
        <v>167</v>
      </c>
      <c r="D49" s="156">
        <v>656500032</v>
      </c>
      <c r="E49" s="239">
        <v>104</v>
      </c>
      <c r="F49" s="240">
        <v>656</v>
      </c>
      <c r="G49" s="159">
        <v>50000002040</v>
      </c>
      <c r="H49" s="241" t="s">
        <v>91</v>
      </c>
      <c r="I49" s="241">
        <v>290</v>
      </c>
      <c r="J49" s="242" t="s">
        <v>174</v>
      </c>
      <c r="K49" s="243"/>
      <c r="L49" s="244">
        <v>0</v>
      </c>
      <c r="M49" s="244">
        <v>0</v>
      </c>
      <c r="N49" s="244">
        <v>0</v>
      </c>
      <c r="O49" s="244">
        <v>0</v>
      </c>
      <c r="P49" s="244">
        <v>0</v>
      </c>
      <c r="Q49" s="245">
        <v>0</v>
      </c>
      <c r="R49" s="244"/>
      <c r="S49" s="244"/>
      <c r="T49" s="244"/>
      <c r="U49" s="244"/>
      <c r="V49" s="244"/>
      <c r="W49" s="229"/>
      <c r="X49" s="246"/>
      <c r="Y49" s="247"/>
      <c r="Z49" s="244"/>
      <c r="AA49" s="244"/>
      <c r="AB49" s="168"/>
      <c r="AC49" s="168"/>
      <c r="AD49" s="168"/>
      <c r="AE49" s="168">
        <v>2353.33</v>
      </c>
      <c r="AF49" s="168">
        <v>0</v>
      </c>
      <c r="AG49" s="168"/>
      <c r="AH49" s="169"/>
      <c r="AI49" s="170"/>
      <c r="AJ49" s="152" t="s">
        <v>143</v>
      </c>
      <c r="AK49" s="171"/>
      <c r="AL49" s="171"/>
      <c r="AM49" s="38"/>
      <c r="AN49" s="38"/>
      <c r="AO49" s="38"/>
      <c r="AP49" s="38"/>
      <c r="AQ49" s="38"/>
      <c r="AR49" s="38"/>
      <c r="AS49" s="38"/>
      <c r="AT49" s="38"/>
      <c r="AU49" s="38"/>
      <c r="AV49" s="38"/>
      <c r="AW49" s="38"/>
      <c r="AX49" s="38"/>
      <c r="AY49" s="38"/>
      <c r="AZ49" s="38"/>
      <c r="BA49" s="38"/>
      <c r="BB49" s="38"/>
      <c r="BC49" s="38"/>
      <c r="BD49" s="38"/>
      <c r="BE49" s="38"/>
      <c r="BF49" s="38"/>
    </row>
    <row r="50" spans="1:58" s="173" customFormat="1" ht="12.75" customHeight="1" hidden="1">
      <c r="A50" s="153"/>
      <c r="B50" s="1413" t="s">
        <v>161</v>
      </c>
      <c r="C50" s="1414"/>
      <c r="D50" s="1414"/>
      <c r="E50" s="1414"/>
      <c r="F50" s="1414"/>
      <c r="G50" s="1414"/>
      <c r="H50" s="1414"/>
      <c r="I50" s="1414"/>
      <c r="J50" s="1414"/>
      <c r="K50" s="1415"/>
      <c r="L50" s="177">
        <v>20200</v>
      </c>
      <c r="M50" s="178">
        <v>24000</v>
      </c>
      <c r="N50" s="178">
        <v>49750.03</v>
      </c>
      <c r="O50" s="177">
        <v>13500</v>
      </c>
      <c r="P50" s="178">
        <f>P43+P44</f>
        <v>41000</v>
      </c>
      <c r="Q50" s="179">
        <f>R50+S50+T50+U50</f>
        <v>30000</v>
      </c>
      <c r="R50" s="248">
        <f>R43+R44+R46</f>
        <v>20000</v>
      </c>
      <c r="S50" s="248">
        <f>S43+S44+S46</f>
        <v>5000</v>
      </c>
      <c r="T50" s="248">
        <f>T43+T44+T46</f>
        <v>5000</v>
      </c>
      <c r="U50" s="248">
        <f>U43+U44+U46</f>
        <v>0</v>
      </c>
      <c r="V50" s="178">
        <f>SUM(V43:V49)</f>
        <v>0</v>
      </c>
      <c r="W50" s="177">
        <f>V50+V41</f>
        <v>6411588.998604001</v>
      </c>
      <c r="X50" s="181">
        <f>SUM(X43:X49)</f>
        <v>0</v>
      </c>
      <c r="Y50" s="182"/>
      <c r="Z50" s="178">
        <f>Z43+Z44+Z45+Z48+Z49</f>
        <v>0</v>
      </c>
      <c r="AA50" s="178">
        <f>AA43+AA44+AA45+AA48+AA49</f>
        <v>0</v>
      </c>
      <c r="AB50" s="1410"/>
      <c r="AC50" s="1411"/>
      <c r="AD50" s="1412"/>
      <c r="AE50" s="184">
        <v>53829.29</v>
      </c>
      <c r="AF50" s="185">
        <v>0</v>
      </c>
      <c r="AG50" s="1410"/>
      <c r="AH50" s="1412"/>
      <c r="AI50" s="186">
        <v>0.500970451101782</v>
      </c>
      <c r="AJ50" s="152" t="s">
        <v>143</v>
      </c>
      <c r="AK50" s="171"/>
      <c r="AL50" s="171"/>
      <c r="AM50" s="172">
        <f>V28+V41+V50+X41+X50</f>
        <v>7974222.998604001</v>
      </c>
      <c r="AN50" s="38"/>
      <c r="AO50" s="38"/>
      <c r="AP50" s="38"/>
      <c r="AQ50" s="38"/>
      <c r="AR50" s="38"/>
      <c r="AS50" s="38"/>
      <c r="AT50" s="38"/>
      <c r="AU50" s="38"/>
      <c r="AV50" s="38"/>
      <c r="AW50" s="38"/>
      <c r="AX50" s="38"/>
      <c r="AY50" s="38"/>
      <c r="AZ50" s="38"/>
      <c r="BA50" s="38"/>
      <c r="BB50" s="38"/>
      <c r="BC50" s="38"/>
      <c r="BD50" s="38"/>
      <c r="BE50" s="38"/>
      <c r="BF50" s="38"/>
    </row>
    <row r="51" spans="1:58" s="173" customFormat="1" ht="32.25" customHeight="1">
      <c r="A51" s="153"/>
      <c r="B51" s="174"/>
      <c r="C51" s="175"/>
      <c r="D51" s="1416" t="s">
        <v>461</v>
      </c>
      <c r="E51" s="1416"/>
      <c r="F51" s="1416"/>
      <c r="G51" s="1416"/>
      <c r="H51" s="1416"/>
      <c r="I51" s="1416"/>
      <c r="J51" s="1416"/>
      <c r="K51" s="1416"/>
      <c r="L51" s="1416"/>
      <c r="M51" s="1416"/>
      <c r="N51" s="1416"/>
      <c r="O51" s="1416"/>
      <c r="P51" s="1416"/>
      <c r="Q51" s="1416"/>
      <c r="R51" s="1416"/>
      <c r="S51" s="1416"/>
      <c r="T51" s="1416"/>
      <c r="U51" s="1416"/>
      <c r="V51" s="1416"/>
      <c r="W51" s="1416"/>
      <c r="X51" s="1416"/>
      <c r="Y51" s="1416"/>
      <c r="Z51" s="1416"/>
      <c r="AA51" s="1416"/>
      <c r="AB51" s="183"/>
      <c r="AC51" s="183"/>
      <c r="AD51" s="183"/>
      <c r="AE51" s="249"/>
      <c r="AF51" s="249"/>
      <c r="AG51" s="183"/>
      <c r="AH51" s="183"/>
      <c r="AI51" s="186"/>
      <c r="AJ51" s="152"/>
      <c r="AK51" s="171"/>
      <c r="AL51" s="171"/>
      <c r="AM51" s="172"/>
      <c r="AN51" s="38"/>
      <c r="AO51" s="38"/>
      <c r="AP51" s="38"/>
      <c r="AQ51" s="38"/>
      <c r="AR51" s="38"/>
      <c r="AS51" s="38"/>
      <c r="AT51" s="38"/>
      <c r="AU51" s="38"/>
      <c r="AV51" s="38"/>
      <c r="AW51" s="38"/>
      <c r="AX51" s="38"/>
      <c r="AY51" s="38"/>
      <c r="AZ51" s="38"/>
      <c r="BA51" s="38"/>
      <c r="BB51" s="38"/>
      <c r="BC51" s="38"/>
      <c r="BD51" s="38"/>
      <c r="BE51" s="38"/>
      <c r="BF51" s="38"/>
    </row>
    <row r="52" spans="1:38" ht="25.5" customHeight="1">
      <c r="A52" s="151"/>
      <c r="B52" s="174"/>
      <c r="C52" s="175"/>
      <c r="D52" s="1538" t="s">
        <v>452</v>
      </c>
      <c r="E52" s="1538"/>
      <c r="F52" s="1538"/>
      <c r="G52" s="1538"/>
      <c r="H52" s="1538"/>
      <c r="I52" s="1538"/>
      <c r="J52" s="1538"/>
      <c r="K52" s="1538"/>
      <c r="L52" s="1538"/>
      <c r="M52" s="1538"/>
      <c r="N52" s="1538"/>
      <c r="O52" s="1538"/>
      <c r="P52" s="1538"/>
      <c r="Q52" s="1538"/>
      <c r="R52" s="1538"/>
      <c r="S52" s="1538"/>
      <c r="T52" s="1538"/>
      <c r="U52" s="1538"/>
      <c r="V52" s="1538"/>
      <c r="W52" s="1538"/>
      <c r="X52" s="1538"/>
      <c r="Y52" s="1538"/>
      <c r="Z52" s="1538"/>
      <c r="AA52" s="1538"/>
      <c r="AB52" s="183"/>
      <c r="AC52" s="183"/>
      <c r="AD52" s="183"/>
      <c r="AE52" s="249"/>
      <c r="AF52" s="249"/>
      <c r="AG52" s="183"/>
      <c r="AH52" s="183"/>
      <c r="AI52" s="186"/>
      <c r="AJ52" s="152"/>
      <c r="AK52" s="30"/>
      <c r="AL52" s="30"/>
    </row>
    <row r="53" spans="1:58" s="173" customFormat="1" ht="12.75" customHeight="1">
      <c r="A53" s="153"/>
      <c r="B53" s="1539" t="s">
        <v>178</v>
      </c>
      <c r="C53" s="1540"/>
      <c r="D53" s="1540"/>
      <c r="E53" s="1540"/>
      <c r="F53" s="1540"/>
      <c r="G53" s="1540"/>
      <c r="H53" s="1540"/>
      <c r="I53" s="1540"/>
      <c r="J53" s="1540"/>
      <c r="K53" s="1540"/>
      <c r="L53" s="1540"/>
      <c r="M53" s="1540"/>
      <c r="N53" s="1540"/>
      <c r="O53" s="1540"/>
      <c r="P53" s="1540"/>
      <c r="Q53" s="1540"/>
      <c r="R53" s="1540"/>
      <c r="S53" s="1540"/>
      <c r="T53" s="1540"/>
      <c r="U53" s="1540"/>
      <c r="V53" s="1540"/>
      <c r="W53" s="1540"/>
      <c r="X53" s="1540"/>
      <c r="Y53" s="1540"/>
      <c r="Z53" s="1540"/>
      <c r="AA53" s="1540"/>
      <c r="AB53" s="1540"/>
      <c r="AC53" s="1540"/>
      <c r="AD53" s="1540"/>
      <c r="AE53" s="1540"/>
      <c r="AF53" s="1540"/>
      <c r="AG53" s="1540"/>
      <c r="AH53" s="1540"/>
      <c r="AI53" s="1541"/>
      <c r="AJ53" s="152" t="s">
        <v>143</v>
      </c>
      <c r="AK53" s="171"/>
      <c r="AL53" s="171"/>
      <c r="AM53" s="38"/>
      <c r="AN53" s="38"/>
      <c r="AO53" s="38"/>
      <c r="AP53" s="38"/>
      <c r="AQ53" s="38"/>
      <c r="AR53" s="38"/>
      <c r="AS53" s="38"/>
      <c r="AT53" s="38"/>
      <c r="AU53" s="38"/>
      <c r="AV53" s="38"/>
      <c r="AW53" s="38"/>
      <c r="AX53" s="38"/>
      <c r="AY53" s="38"/>
      <c r="AZ53" s="38"/>
      <c r="BA53" s="38"/>
      <c r="BB53" s="38"/>
      <c r="BC53" s="38"/>
      <c r="BD53" s="38"/>
      <c r="BE53" s="38"/>
      <c r="BF53" s="38"/>
    </row>
    <row r="54" spans="1:58" s="173" customFormat="1" ht="12.75" customHeight="1">
      <c r="A54" s="153"/>
      <c r="B54" s="154" t="s">
        <v>178</v>
      </c>
      <c r="C54" s="155" t="s">
        <v>178</v>
      </c>
      <c r="D54" s="156">
        <v>656430013</v>
      </c>
      <c r="E54" s="157">
        <v>104</v>
      </c>
      <c r="F54" s="158">
        <v>656</v>
      </c>
      <c r="G54" s="250" t="s">
        <v>547</v>
      </c>
      <c r="H54" s="160" t="s">
        <v>44</v>
      </c>
      <c r="I54" s="160">
        <v>251</v>
      </c>
      <c r="J54" s="161">
        <v>0</v>
      </c>
      <c r="K54" s="162"/>
      <c r="L54" s="163">
        <v>203425</v>
      </c>
      <c r="M54" s="163">
        <v>203425</v>
      </c>
      <c r="N54" s="163">
        <v>203425</v>
      </c>
      <c r="O54" s="163">
        <v>203425</v>
      </c>
      <c r="P54" s="163">
        <v>906400</v>
      </c>
      <c r="Q54" s="164">
        <f aca="true" t="shared" si="0" ref="Q54:Q59">R54+S54+T54+U54</f>
        <v>906400</v>
      </c>
      <c r="R54" s="162">
        <v>226600</v>
      </c>
      <c r="S54" s="162">
        <v>226600</v>
      </c>
      <c r="T54" s="162">
        <v>226600</v>
      </c>
      <c r="U54" s="162">
        <v>226600</v>
      </c>
      <c r="V54" s="417">
        <f>211400</f>
        <v>211400</v>
      </c>
      <c r="W54" s="162">
        <v>211400</v>
      </c>
      <c r="X54" s="193"/>
      <c r="Y54" s="194"/>
      <c r="Z54" s="195"/>
      <c r="AA54" s="195"/>
      <c r="AB54" s="168"/>
      <c r="AC54" s="168"/>
      <c r="AD54" s="168"/>
      <c r="AE54" s="168">
        <v>610275</v>
      </c>
      <c r="AF54" s="168">
        <v>0</v>
      </c>
      <c r="AG54" s="168"/>
      <c r="AH54" s="169"/>
      <c r="AI54" s="170">
        <v>0.75</v>
      </c>
      <c r="AJ54" s="152" t="s">
        <v>143</v>
      </c>
      <c r="AK54" s="171"/>
      <c r="AL54" s="171"/>
      <c r="AM54" s="38"/>
      <c r="AN54" s="38"/>
      <c r="AO54" s="38"/>
      <c r="AP54" s="38"/>
      <c r="AQ54" s="38"/>
      <c r="AR54" s="38"/>
      <c r="AS54" s="38"/>
      <c r="AT54" s="38"/>
      <c r="AU54" s="38"/>
      <c r="AV54" s="38"/>
      <c r="AW54" s="38"/>
      <c r="AX54" s="38"/>
      <c r="AY54" s="38"/>
      <c r="AZ54" s="38"/>
      <c r="BA54" s="38"/>
      <c r="BB54" s="38"/>
      <c r="BC54" s="38"/>
      <c r="BD54" s="38"/>
      <c r="BE54" s="38"/>
      <c r="BF54" s="38"/>
    </row>
    <row r="55" spans="1:58" s="173" customFormat="1" ht="12.75" customHeight="1" hidden="1">
      <c r="A55" s="153"/>
      <c r="B55" s="154" t="s">
        <v>178</v>
      </c>
      <c r="C55" s="155" t="s">
        <v>178</v>
      </c>
      <c r="D55" s="156"/>
      <c r="E55" s="157"/>
      <c r="F55" s="158"/>
      <c r="G55" s="250"/>
      <c r="H55" s="160"/>
      <c r="I55" s="160"/>
      <c r="J55" s="161">
        <v>0</v>
      </c>
      <c r="K55" s="162"/>
      <c r="L55" s="163">
        <v>203425</v>
      </c>
      <c r="M55" s="163">
        <v>203425</v>
      </c>
      <c r="N55" s="163">
        <v>203425</v>
      </c>
      <c r="O55" s="163">
        <v>203425</v>
      </c>
      <c r="P55" s="163">
        <v>906400</v>
      </c>
      <c r="Q55" s="164">
        <f t="shared" si="0"/>
        <v>906400</v>
      </c>
      <c r="R55" s="162">
        <v>226600</v>
      </c>
      <c r="S55" s="162">
        <v>226600</v>
      </c>
      <c r="T55" s="162">
        <v>226600</v>
      </c>
      <c r="U55" s="162">
        <v>226600</v>
      </c>
      <c r="V55" s="195"/>
      <c r="W55" s="162"/>
      <c r="X55" s="193"/>
      <c r="Y55" s="194"/>
      <c r="Z55" s="195"/>
      <c r="AA55" s="195"/>
      <c r="AB55" s="168"/>
      <c r="AC55" s="168"/>
      <c r="AD55" s="168"/>
      <c r="AE55" s="168">
        <v>610275</v>
      </c>
      <c r="AF55" s="168">
        <v>0</v>
      </c>
      <c r="AG55" s="168"/>
      <c r="AH55" s="169"/>
      <c r="AI55" s="170">
        <v>0.75</v>
      </c>
      <c r="AJ55" s="152" t="s">
        <v>143</v>
      </c>
      <c r="AK55" s="171"/>
      <c r="AL55" s="171"/>
      <c r="AM55" s="38"/>
      <c r="AN55" s="38"/>
      <c r="AO55" s="38"/>
      <c r="AP55" s="38"/>
      <c r="AQ55" s="38"/>
      <c r="AR55" s="38"/>
      <c r="AS55" s="38"/>
      <c r="AT55" s="38"/>
      <c r="AU55" s="38"/>
      <c r="AV55" s="38"/>
      <c r="AW55" s="38"/>
      <c r="AX55" s="38"/>
      <c r="AY55" s="38"/>
      <c r="AZ55" s="38"/>
      <c r="BA55" s="38"/>
      <c r="BB55" s="38"/>
      <c r="BC55" s="38"/>
      <c r="BD55" s="38"/>
      <c r="BE55" s="38"/>
      <c r="BF55" s="38"/>
    </row>
    <row r="56" spans="1:58" s="173" customFormat="1" ht="12.75" customHeight="1" hidden="1">
      <c r="A56" s="153"/>
      <c r="B56" s="154" t="s">
        <v>178</v>
      </c>
      <c r="C56" s="155" t="s">
        <v>178</v>
      </c>
      <c r="D56" s="156"/>
      <c r="E56" s="157"/>
      <c r="F56" s="158"/>
      <c r="G56" s="250"/>
      <c r="H56" s="160"/>
      <c r="I56" s="160"/>
      <c r="J56" s="161">
        <v>0</v>
      </c>
      <c r="K56" s="162"/>
      <c r="L56" s="163">
        <v>203425</v>
      </c>
      <c r="M56" s="163">
        <v>203425</v>
      </c>
      <c r="N56" s="163">
        <v>203425</v>
      </c>
      <c r="O56" s="163">
        <v>203425</v>
      </c>
      <c r="P56" s="163">
        <v>906400</v>
      </c>
      <c r="Q56" s="164">
        <f t="shared" si="0"/>
        <v>906400</v>
      </c>
      <c r="R56" s="162">
        <v>226600</v>
      </c>
      <c r="S56" s="162">
        <v>226600</v>
      </c>
      <c r="T56" s="162">
        <v>226600</v>
      </c>
      <c r="U56" s="162">
        <v>226600</v>
      </c>
      <c r="V56" s="195"/>
      <c r="W56" s="162"/>
      <c r="X56" s="193"/>
      <c r="Y56" s="194"/>
      <c r="Z56" s="195"/>
      <c r="AA56" s="195"/>
      <c r="AB56" s="168"/>
      <c r="AC56" s="168"/>
      <c r="AD56" s="168"/>
      <c r="AE56" s="168">
        <v>610275</v>
      </c>
      <c r="AF56" s="168">
        <v>0</v>
      </c>
      <c r="AG56" s="168"/>
      <c r="AH56" s="169"/>
      <c r="AI56" s="170">
        <v>0.75</v>
      </c>
      <c r="AJ56" s="152" t="s">
        <v>143</v>
      </c>
      <c r="AK56" s="171"/>
      <c r="AL56" s="171"/>
      <c r="AM56" s="38"/>
      <c r="AN56" s="38"/>
      <c r="AO56" s="38"/>
      <c r="AP56" s="38"/>
      <c r="AQ56" s="38"/>
      <c r="AR56" s="38"/>
      <c r="AS56" s="38"/>
      <c r="AT56" s="38"/>
      <c r="AU56" s="38"/>
      <c r="AV56" s="38"/>
      <c r="AW56" s="38"/>
      <c r="AX56" s="38"/>
      <c r="AY56" s="38"/>
      <c r="AZ56" s="38"/>
      <c r="BA56" s="38"/>
      <c r="BB56" s="38"/>
      <c r="BC56" s="38"/>
      <c r="BD56" s="38"/>
      <c r="BE56" s="38"/>
      <c r="BF56" s="38"/>
    </row>
    <row r="57" spans="1:58" s="173" customFormat="1" ht="12.75" customHeight="1" hidden="1">
      <c r="A57" s="153"/>
      <c r="B57" s="154" t="s">
        <v>178</v>
      </c>
      <c r="C57" s="155" t="s">
        <v>178</v>
      </c>
      <c r="D57" s="156"/>
      <c r="E57" s="157"/>
      <c r="F57" s="158"/>
      <c r="G57" s="250"/>
      <c r="H57" s="160"/>
      <c r="I57" s="160"/>
      <c r="J57" s="161">
        <v>0</v>
      </c>
      <c r="K57" s="162"/>
      <c r="L57" s="163">
        <v>203425</v>
      </c>
      <c r="M57" s="163">
        <v>203425</v>
      </c>
      <c r="N57" s="163">
        <v>203425</v>
      </c>
      <c r="O57" s="163">
        <v>203425</v>
      </c>
      <c r="P57" s="163">
        <v>906400</v>
      </c>
      <c r="Q57" s="164">
        <f t="shared" si="0"/>
        <v>906400</v>
      </c>
      <c r="R57" s="162">
        <v>226600</v>
      </c>
      <c r="S57" s="162">
        <v>226600</v>
      </c>
      <c r="T57" s="162">
        <v>226600</v>
      </c>
      <c r="U57" s="162">
        <v>226600</v>
      </c>
      <c r="V57" s="195"/>
      <c r="W57" s="162"/>
      <c r="X57" s="193"/>
      <c r="Y57" s="194"/>
      <c r="Z57" s="195"/>
      <c r="AA57" s="195"/>
      <c r="AB57" s="168"/>
      <c r="AC57" s="168"/>
      <c r="AD57" s="168"/>
      <c r="AE57" s="168">
        <v>610275</v>
      </c>
      <c r="AF57" s="168">
        <v>0</v>
      </c>
      <c r="AG57" s="168"/>
      <c r="AH57" s="169"/>
      <c r="AI57" s="170">
        <v>0.75</v>
      </c>
      <c r="AJ57" s="152" t="s">
        <v>143</v>
      </c>
      <c r="AK57" s="171"/>
      <c r="AL57" s="171"/>
      <c r="AM57" s="38"/>
      <c r="AN57" s="38"/>
      <c r="AO57" s="38"/>
      <c r="AP57" s="38"/>
      <c r="AQ57" s="38"/>
      <c r="AR57" s="38"/>
      <c r="AS57" s="38"/>
      <c r="AT57" s="38"/>
      <c r="AU57" s="38"/>
      <c r="AV57" s="38"/>
      <c r="AW57" s="38"/>
      <c r="AX57" s="38"/>
      <c r="AY57" s="38"/>
      <c r="AZ57" s="38"/>
      <c r="BA57" s="38"/>
      <c r="BB57" s="38"/>
      <c r="BC57" s="38"/>
      <c r="BD57" s="38"/>
      <c r="BE57" s="38"/>
      <c r="BF57" s="38"/>
    </row>
    <row r="58" spans="1:58" s="173" customFormat="1" ht="12.75" customHeight="1" hidden="1">
      <c r="A58" s="153"/>
      <c r="B58" s="154" t="s">
        <v>178</v>
      </c>
      <c r="C58" s="155" t="s">
        <v>178</v>
      </c>
      <c r="D58" s="156"/>
      <c r="E58" s="157"/>
      <c r="F58" s="158"/>
      <c r="G58" s="250"/>
      <c r="H58" s="160"/>
      <c r="I58" s="160"/>
      <c r="J58" s="161">
        <v>0</v>
      </c>
      <c r="K58" s="162"/>
      <c r="L58" s="163">
        <v>203425</v>
      </c>
      <c r="M58" s="163">
        <v>203425</v>
      </c>
      <c r="N58" s="163">
        <v>203425</v>
      </c>
      <c r="O58" s="163">
        <v>203425</v>
      </c>
      <c r="P58" s="163">
        <v>906400</v>
      </c>
      <c r="Q58" s="164">
        <f t="shared" si="0"/>
        <v>906400</v>
      </c>
      <c r="R58" s="162">
        <v>226600</v>
      </c>
      <c r="S58" s="162">
        <v>226600</v>
      </c>
      <c r="T58" s="162">
        <v>226600</v>
      </c>
      <c r="U58" s="162">
        <v>226600</v>
      </c>
      <c r="V58" s="195"/>
      <c r="W58" s="162"/>
      <c r="X58" s="193"/>
      <c r="Y58" s="194"/>
      <c r="Z58" s="195"/>
      <c r="AA58" s="195"/>
      <c r="AB58" s="168"/>
      <c r="AC58" s="168"/>
      <c r="AD58" s="168"/>
      <c r="AE58" s="168">
        <v>610275</v>
      </c>
      <c r="AF58" s="168">
        <v>0</v>
      </c>
      <c r="AG58" s="168"/>
      <c r="AH58" s="169"/>
      <c r="AI58" s="170">
        <v>0.75</v>
      </c>
      <c r="AJ58" s="152" t="s">
        <v>143</v>
      </c>
      <c r="AK58" s="171"/>
      <c r="AL58" s="171"/>
      <c r="AM58" s="38"/>
      <c r="AN58" s="38"/>
      <c r="AO58" s="38"/>
      <c r="AP58" s="38"/>
      <c r="AQ58" s="38"/>
      <c r="AR58" s="38"/>
      <c r="AS58" s="38"/>
      <c r="AT58" s="38"/>
      <c r="AU58" s="38"/>
      <c r="AV58" s="38"/>
      <c r="AW58" s="38"/>
      <c r="AX58" s="38"/>
      <c r="AY58" s="38"/>
      <c r="AZ58" s="38"/>
      <c r="BA58" s="38"/>
      <c r="BB58" s="38"/>
      <c r="BC58" s="38"/>
      <c r="BD58" s="38"/>
      <c r="BE58" s="38"/>
      <c r="BF58" s="38"/>
    </row>
    <row r="59" spans="1:58" s="173" customFormat="1" ht="12.75" customHeight="1">
      <c r="A59" s="153"/>
      <c r="B59" s="1413" t="s">
        <v>161</v>
      </c>
      <c r="C59" s="1414"/>
      <c r="D59" s="1414"/>
      <c r="E59" s="1414"/>
      <c r="F59" s="1414"/>
      <c r="G59" s="1414"/>
      <c r="H59" s="1414"/>
      <c r="I59" s="1414"/>
      <c r="J59" s="1414"/>
      <c r="K59" s="1415"/>
      <c r="L59" s="177">
        <v>203425</v>
      </c>
      <c r="M59" s="178">
        <v>203425</v>
      </c>
      <c r="N59" s="178">
        <v>203425</v>
      </c>
      <c r="O59" s="177">
        <v>203425</v>
      </c>
      <c r="P59" s="178">
        <v>906400</v>
      </c>
      <c r="Q59" s="179">
        <f t="shared" si="0"/>
        <v>906400</v>
      </c>
      <c r="R59" s="251">
        <f>R54</f>
        <v>226600</v>
      </c>
      <c r="S59" s="183">
        <f>S54</f>
        <v>226600</v>
      </c>
      <c r="T59" s="251">
        <f>T54</f>
        <v>226600</v>
      </c>
      <c r="U59" s="183">
        <f>U54</f>
        <v>226600</v>
      </c>
      <c r="V59" s="252">
        <f>SUM(V54:V58)</f>
        <v>211400</v>
      </c>
      <c r="W59" s="253"/>
      <c r="X59" s="254"/>
      <c r="Y59" s="255"/>
      <c r="Z59" s="252"/>
      <c r="AA59" s="252"/>
      <c r="AB59" s="1410"/>
      <c r="AC59" s="1411"/>
      <c r="AD59" s="1412"/>
      <c r="AE59" s="184">
        <v>610275</v>
      </c>
      <c r="AF59" s="185">
        <v>0</v>
      </c>
      <c r="AG59" s="1410"/>
      <c r="AH59" s="1412"/>
      <c r="AI59" s="186">
        <v>0.75</v>
      </c>
      <c r="AJ59" s="152" t="s">
        <v>143</v>
      </c>
      <c r="AK59" s="171"/>
      <c r="AL59" s="171"/>
      <c r="AM59" s="38"/>
      <c r="AN59" s="38"/>
      <c r="AO59" s="38"/>
      <c r="AP59" s="38"/>
      <c r="AQ59" s="38"/>
      <c r="AR59" s="38"/>
      <c r="AS59" s="38"/>
      <c r="AT59" s="38"/>
      <c r="AU59" s="38"/>
      <c r="AV59" s="38"/>
      <c r="AW59" s="38"/>
      <c r="AX59" s="38"/>
      <c r="AY59" s="38"/>
      <c r="AZ59" s="38"/>
      <c r="BA59" s="38"/>
      <c r="BB59" s="38"/>
      <c r="BC59" s="38"/>
      <c r="BD59" s="38"/>
      <c r="BE59" s="38"/>
      <c r="BF59" s="38"/>
    </row>
    <row r="60" spans="1:58" s="173" customFormat="1" ht="12.75" customHeight="1" thickBot="1">
      <c r="A60" s="153"/>
      <c r="B60" s="174"/>
      <c r="C60" s="175"/>
      <c r="D60" s="1537" t="s">
        <v>462</v>
      </c>
      <c r="E60" s="1537"/>
      <c r="F60" s="1537"/>
      <c r="G60" s="1537"/>
      <c r="H60" s="1537"/>
      <c r="I60" s="1537"/>
      <c r="J60" s="1537"/>
      <c r="K60" s="1537"/>
      <c r="L60" s="1537"/>
      <c r="M60" s="1537"/>
      <c r="N60" s="1537"/>
      <c r="O60" s="1537"/>
      <c r="P60" s="1537"/>
      <c r="Q60" s="1537"/>
      <c r="R60" s="1537"/>
      <c r="S60" s="1537"/>
      <c r="T60" s="1537"/>
      <c r="U60" s="1537"/>
      <c r="V60" s="1537"/>
      <c r="W60" s="1537"/>
      <c r="X60" s="1537"/>
      <c r="Y60" s="1537"/>
      <c r="Z60" s="1537"/>
      <c r="AA60" s="1537"/>
      <c r="AB60" s="183"/>
      <c r="AC60" s="183"/>
      <c r="AD60" s="183"/>
      <c r="AE60" s="249"/>
      <c r="AF60" s="249"/>
      <c r="AG60" s="183"/>
      <c r="AH60" s="183"/>
      <c r="AI60" s="186"/>
      <c r="AJ60" s="152"/>
      <c r="AK60" s="171"/>
      <c r="AL60" s="171"/>
      <c r="AM60" s="38"/>
      <c r="AN60" s="38"/>
      <c r="AO60" s="38"/>
      <c r="AP60" s="38"/>
      <c r="AQ60" s="38"/>
      <c r="AR60" s="38"/>
      <c r="AS60" s="38"/>
      <c r="AT60" s="38"/>
      <c r="AU60" s="38"/>
      <c r="AV60" s="38"/>
      <c r="AW60" s="38"/>
      <c r="AX60" s="38"/>
      <c r="AY60" s="38"/>
      <c r="AZ60" s="38"/>
      <c r="BA60" s="38"/>
      <c r="BB60" s="38"/>
      <c r="BC60" s="38"/>
      <c r="BD60" s="38"/>
      <c r="BE60" s="38"/>
      <c r="BF60" s="38"/>
    </row>
    <row r="61" spans="1:58" s="173" customFormat="1" ht="12.75" customHeight="1" thickBot="1">
      <c r="A61" s="153"/>
      <c r="B61" s="174"/>
      <c r="C61" s="175"/>
      <c r="D61" s="1497" t="s">
        <v>179</v>
      </c>
      <c r="E61" s="1498"/>
      <c r="F61" s="1498"/>
      <c r="G61" s="1498"/>
      <c r="H61" s="1498"/>
      <c r="I61" s="1498"/>
      <c r="J61" s="1498"/>
      <c r="K61" s="1498"/>
      <c r="L61" s="1498"/>
      <c r="M61" s="1498"/>
      <c r="N61" s="1498"/>
      <c r="O61" s="1498"/>
      <c r="P61" s="1498"/>
      <c r="Q61" s="1498"/>
      <c r="R61" s="1498"/>
      <c r="S61" s="1498"/>
      <c r="T61" s="1498"/>
      <c r="U61" s="1498"/>
      <c r="V61" s="1498"/>
      <c r="W61" s="1498"/>
      <c r="X61" s="1498"/>
      <c r="Y61" s="1498"/>
      <c r="Z61" s="1498"/>
      <c r="AA61" s="1535"/>
      <c r="AB61" s="183"/>
      <c r="AC61" s="183"/>
      <c r="AD61" s="183"/>
      <c r="AE61" s="249"/>
      <c r="AF61" s="249"/>
      <c r="AG61" s="183"/>
      <c r="AH61" s="183"/>
      <c r="AI61" s="186"/>
      <c r="AJ61" s="152"/>
      <c r="AK61" s="171"/>
      <c r="AL61" s="171"/>
      <c r="AM61" s="38"/>
      <c r="AN61" s="38"/>
      <c r="AO61" s="38"/>
      <c r="AP61" s="38"/>
      <c r="AQ61" s="38"/>
      <c r="AR61" s="38"/>
      <c r="AS61" s="38"/>
      <c r="AT61" s="38"/>
      <c r="AU61" s="38"/>
      <c r="AV61" s="38"/>
      <c r="AW61" s="38"/>
      <c r="AX61" s="38"/>
      <c r="AY61" s="38"/>
      <c r="AZ61" s="38"/>
      <c r="BA61" s="38"/>
      <c r="BB61" s="38"/>
      <c r="BC61" s="38"/>
      <c r="BD61" s="38"/>
      <c r="BE61" s="38"/>
      <c r="BF61" s="38"/>
    </row>
    <row r="62" spans="1:58" s="173" customFormat="1" ht="12.75" customHeight="1">
      <c r="A62" s="153"/>
      <c r="B62" s="174"/>
      <c r="C62" s="175"/>
      <c r="D62" s="1536" t="s">
        <v>180</v>
      </c>
      <c r="E62" s="1536"/>
      <c r="F62" s="1536"/>
      <c r="G62" s="1536"/>
      <c r="H62" s="1536"/>
      <c r="I62" s="1536"/>
      <c r="J62" s="256"/>
      <c r="K62" s="256"/>
      <c r="L62" s="256"/>
      <c r="M62" s="256"/>
      <c r="N62" s="256"/>
      <c r="O62" s="256"/>
      <c r="P62" s="256"/>
      <c r="Q62" s="256"/>
      <c r="R62" s="256"/>
      <c r="S62" s="256"/>
      <c r="T62" s="256"/>
      <c r="U62" s="256"/>
      <c r="V62" s="256"/>
      <c r="W62" s="256"/>
      <c r="X62" s="257"/>
      <c r="Y62" s="258"/>
      <c r="Z62" s="256"/>
      <c r="AA62" s="256"/>
      <c r="AB62" s="183"/>
      <c r="AC62" s="183"/>
      <c r="AD62" s="183"/>
      <c r="AE62" s="249"/>
      <c r="AF62" s="249"/>
      <c r="AG62" s="183"/>
      <c r="AH62" s="183"/>
      <c r="AI62" s="186"/>
      <c r="AJ62" s="152"/>
      <c r="AK62" s="171"/>
      <c r="AL62" s="171"/>
      <c r="AM62" s="38"/>
      <c r="AN62" s="38"/>
      <c r="AO62" s="38"/>
      <c r="AP62" s="38"/>
      <c r="AQ62" s="38"/>
      <c r="AR62" s="38"/>
      <c r="AS62" s="38"/>
      <c r="AT62" s="38"/>
      <c r="AU62" s="38"/>
      <c r="AV62" s="38"/>
      <c r="AW62" s="38"/>
      <c r="AX62" s="38"/>
      <c r="AY62" s="38"/>
      <c r="AZ62" s="38"/>
      <c r="BA62" s="38"/>
      <c r="BB62" s="38"/>
      <c r="BC62" s="38"/>
      <c r="BD62" s="38"/>
      <c r="BE62" s="38"/>
      <c r="BF62" s="38"/>
    </row>
    <row r="63" spans="1:58" s="173" customFormat="1" ht="12.75" customHeight="1">
      <c r="A63" s="153"/>
      <c r="B63" s="1413" t="s">
        <v>13</v>
      </c>
      <c r="C63" s="1414"/>
      <c r="D63" s="1414"/>
      <c r="E63" s="1414"/>
      <c r="F63" s="1414"/>
      <c r="G63" s="1414"/>
      <c r="H63" s="1414"/>
      <c r="I63" s="1414"/>
      <c r="J63" s="1414"/>
      <c r="K63" s="1414"/>
      <c r="L63" s="1414"/>
      <c r="M63" s="1414"/>
      <c r="N63" s="1414"/>
      <c r="O63" s="1414"/>
      <c r="P63" s="1414"/>
      <c r="Q63" s="1414"/>
      <c r="R63" s="1414"/>
      <c r="S63" s="1414"/>
      <c r="T63" s="1414"/>
      <c r="U63" s="1414"/>
      <c r="V63" s="1414"/>
      <c r="W63" s="1414"/>
      <c r="X63" s="1414"/>
      <c r="Y63" s="1414"/>
      <c r="Z63" s="1414"/>
      <c r="AA63" s="1414"/>
      <c r="AB63" s="1414"/>
      <c r="AC63" s="1414"/>
      <c r="AD63" s="1414"/>
      <c r="AE63" s="1414"/>
      <c r="AF63" s="1414"/>
      <c r="AG63" s="1414"/>
      <c r="AH63" s="1414"/>
      <c r="AI63" s="1534"/>
      <c r="AJ63" s="152" t="s">
        <v>143</v>
      </c>
      <c r="AK63" s="171"/>
      <c r="AL63" s="171"/>
      <c r="AM63" s="38"/>
      <c r="AN63" s="38"/>
      <c r="AO63" s="38"/>
      <c r="AP63" s="38"/>
      <c r="AQ63" s="38"/>
      <c r="AR63" s="38"/>
      <c r="AS63" s="38"/>
      <c r="AT63" s="38"/>
      <c r="AU63" s="38"/>
      <c r="AV63" s="38"/>
      <c r="AW63" s="38"/>
      <c r="AX63" s="38"/>
      <c r="AY63" s="38"/>
      <c r="AZ63" s="38"/>
      <c r="BA63" s="38"/>
      <c r="BB63" s="38"/>
      <c r="BC63" s="38"/>
      <c r="BD63" s="38"/>
      <c r="BE63" s="38"/>
      <c r="BF63" s="38"/>
    </row>
    <row r="64" spans="1:58" s="173" customFormat="1" ht="12.75" customHeight="1">
      <c r="A64" s="153"/>
      <c r="B64" s="154" t="s">
        <v>13</v>
      </c>
      <c r="C64" s="155" t="s">
        <v>13</v>
      </c>
      <c r="D64" s="156">
        <v>656400011</v>
      </c>
      <c r="E64" s="157">
        <v>111</v>
      </c>
      <c r="F64" s="158">
        <v>656</v>
      </c>
      <c r="G64" s="968" t="s">
        <v>548</v>
      </c>
      <c r="H64" s="160" t="s">
        <v>90</v>
      </c>
      <c r="I64" s="160">
        <v>290</v>
      </c>
      <c r="J64" s="161">
        <v>292</v>
      </c>
      <c r="K64" s="162"/>
      <c r="L64" s="163">
        <v>74629.24</v>
      </c>
      <c r="M64" s="163">
        <v>0</v>
      </c>
      <c r="N64" s="163">
        <v>0</v>
      </c>
      <c r="O64" s="163">
        <v>0</v>
      </c>
      <c r="P64" s="163">
        <v>74629.24</v>
      </c>
      <c r="Q64" s="167">
        <f>R64+S64+T64+U64</f>
        <v>80000</v>
      </c>
      <c r="R64" s="162">
        <v>20000</v>
      </c>
      <c r="S64" s="162">
        <v>20000</v>
      </c>
      <c r="T64" s="162">
        <v>20000</v>
      </c>
      <c r="U64" s="162">
        <v>20000</v>
      </c>
      <c r="V64" s="417">
        <v>10000</v>
      </c>
      <c r="W64" s="162"/>
      <c r="X64" s="193"/>
      <c r="Y64" s="194"/>
      <c r="Z64" s="191">
        <v>10000</v>
      </c>
      <c r="AA64" s="191">
        <v>10000</v>
      </c>
      <c r="AB64" s="168"/>
      <c r="AC64" s="168"/>
      <c r="AD64" s="168"/>
      <c r="AE64" s="168">
        <v>0</v>
      </c>
      <c r="AF64" s="168">
        <v>0</v>
      </c>
      <c r="AG64" s="168"/>
      <c r="AH64" s="169"/>
      <c r="AI64" s="170">
        <v>0</v>
      </c>
      <c r="AJ64" s="152" t="s">
        <v>143</v>
      </c>
      <c r="AK64" s="171"/>
      <c r="AL64" s="171"/>
      <c r="AM64" s="38"/>
      <c r="AN64" s="38"/>
      <c r="AO64" s="38"/>
      <c r="AP64" s="38"/>
      <c r="AQ64" s="38"/>
      <c r="AR64" s="38"/>
      <c r="AS64" s="38"/>
      <c r="AT64" s="38"/>
      <c r="AU64" s="38"/>
      <c r="AV64" s="38"/>
      <c r="AW64" s="38"/>
      <c r="AX64" s="38"/>
      <c r="AY64" s="38"/>
      <c r="AZ64" s="38"/>
      <c r="BA64" s="38"/>
      <c r="BB64" s="38"/>
      <c r="BC64" s="38"/>
      <c r="BD64" s="38"/>
      <c r="BE64" s="38"/>
      <c r="BF64" s="38"/>
    </row>
    <row r="65" spans="1:58" s="173" customFormat="1" ht="12.75" customHeight="1">
      <c r="A65" s="153"/>
      <c r="B65" s="1413" t="s">
        <v>161</v>
      </c>
      <c r="C65" s="1414"/>
      <c r="D65" s="1414"/>
      <c r="E65" s="1414"/>
      <c r="F65" s="1414"/>
      <c r="G65" s="1414"/>
      <c r="H65" s="1414"/>
      <c r="I65" s="1414"/>
      <c r="J65" s="1414"/>
      <c r="K65" s="1415"/>
      <c r="L65" s="177">
        <v>74629.24</v>
      </c>
      <c r="M65" s="178">
        <v>0</v>
      </c>
      <c r="N65" s="178">
        <v>0</v>
      </c>
      <c r="O65" s="177">
        <v>0</v>
      </c>
      <c r="P65" s="178">
        <v>74629.24</v>
      </c>
      <c r="Q65" s="179">
        <f>R65+S65+T65+U65</f>
        <v>80000</v>
      </c>
      <c r="R65" s="251">
        <f>R64</f>
        <v>20000</v>
      </c>
      <c r="S65" s="259">
        <f>S64</f>
        <v>20000</v>
      </c>
      <c r="T65" s="251">
        <f>T64</f>
        <v>20000</v>
      </c>
      <c r="U65" s="259">
        <f>U64</f>
        <v>20000</v>
      </c>
      <c r="V65" s="418">
        <f>V64</f>
        <v>10000</v>
      </c>
      <c r="W65" s="253"/>
      <c r="X65" s="254"/>
      <c r="Y65" s="255"/>
      <c r="Z65" s="252">
        <f>Z64</f>
        <v>10000</v>
      </c>
      <c r="AA65" s="252">
        <f>AA64</f>
        <v>10000</v>
      </c>
      <c r="AB65" s="1410"/>
      <c r="AC65" s="1411"/>
      <c r="AD65" s="1412"/>
      <c r="AE65" s="184">
        <v>0</v>
      </c>
      <c r="AF65" s="185">
        <v>0</v>
      </c>
      <c r="AG65" s="1410"/>
      <c r="AH65" s="1412"/>
      <c r="AI65" s="186">
        <v>0</v>
      </c>
      <c r="AJ65" s="152" t="s">
        <v>143</v>
      </c>
      <c r="AK65" s="171"/>
      <c r="AL65" s="171"/>
      <c r="AM65" s="38"/>
      <c r="AN65" s="38"/>
      <c r="AO65" s="38"/>
      <c r="AP65" s="38"/>
      <c r="AQ65" s="38"/>
      <c r="AR65" s="38"/>
      <c r="AS65" s="38"/>
      <c r="AT65" s="38"/>
      <c r="AU65" s="38"/>
      <c r="AV65" s="38"/>
      <c r="AW65" s="38"/>
      <c r="AX65" s="38"/>
      <c r="AY65" s="38"/>
      <c r="AZ65" s="38"/>
      <c r="BA65" s="38"/>
      <c r="BB65" s="38"/>
      <c r="BC65" s="38"/>
      <c r="BD65" s="38"/>
      <c r="BE65" s="38"/>
      <c r="BF65" s="38"/>
    </row>
    <row r="66" spans="1:38" ht="30" customHeight="1">
      <c r="A66" s="30"/>
      <c r="B66" s="138"/>
      <c r="C66" s="138"/>
      <c r="D66" s="1416" t="s">
        <v>461</v>
      </c>
      <c r="E66" s="1416"/>
      <c r="F66" s="1416"/>
      <c r="G66" s="1416"/>
      <c r="H66" s="1416"/>
      <c r="I66" s="1416"/>
      <c r="J66" s="1416"/>
      <c r="K66" s="1416"/>
      <c r="L66" s="1416"/>
      <c r="M66" s="1416"/>
      <c r="N66" s="1416"/>
      <c r="O66" s="1416"/>
      <c r="P66" s="1416"/>
      <c r="Q66" s="1416"/>
      <c r="R66" s="1416"/>
      <c r="S66" s="1416"/>
      <c r="T66" s="1416"/>
      <c r="U66" s="1416"/>
      <c r="V66" s="1416"/>
      <c r="W66" s="1416"/>
      <c r="X66" s="1416"/>
      <c r="Y66" s="1416"/>
      <c r="Z66" s="1416"/>
      <c r="AA66" s="1416"/>
      <c r="AB66" s="149"/>
      <c r="AC66" s="149"/>
      <c r="AD66" s="149"/>
      <c r="AE66" s="149"/>
      <c r="AF66" s="149"/>
      <c r="AG66" s="149"/>
      <c r="AH66" s="149"/>
      <c r="AI66" s="150"/>
      <c r="AJ66" s="107"/>
      <c r="AK66" s="30"/>
      <c r="AL66" s="30"/>
    </row>
    <row r="67" spans="1:38" ht="13.5" customHeight="1">
      <c r="A67" s="30"/>
      <c r="B67" s="138"/>
      <c r="C67" s="138"/>
      <c r="D67" s="260" t="s">
        <v>181</v>
      </c>
      <c r="E67" s="261"/>
      <c r="F67" s="261"/>
      <c r="G67" s="261"/>
      <c r="H67" s="261"/>
      <c r="I67" s="261"/>
      <c r="J67" s="262"/>
      <c r="K67" s="263"/>
      <c r="L67" s="264"/>
      <c r="M67" s="264"/>
      <c r="N67" s="264"/>
      <c r="O67" s="264"/>
      <c r="P67" s="264"/>
      <c r="Q67" s="265"/>
      <c r="R67" s="263"/>
      <c r="S67" s="266"/>
      <c r="T67" s="261"/>
      <c r="U67" s="267"/>
      <c r="V67" s="261"/>
      <c r="W67" s="261"/>
      <c r="X67" s="268"/>
      <c r="Y67" s="269"/>
      <c r="Z67" s="261"/>
      <c r="AA67" s="261"/>
      <c r="AB67" s="149"/>
      <c r="AC67" s="149"/>
      <c r="AD67" s="149"/>
      <c r="AE67" s="149"/>
      <c r="AF67" s="149"/>
      <c r="AG67" s="149"/>
      <c r="AH67" s="149"/>
      <c r="AI67" s="150"/>
      <c r="AJ67" s="107"/>
      <c r="AK67" s="30"/>
      <c r="AL67" s="30"/>
    </row>
    <row r="68" spans="1:58" s="173" customFormat="1" ht="12.75" customHeight="1">
      <c r="A68" s="153"/>
      <c r="B68" s="1413" t="s">
        <v>182</v>
      </c>
      <c r="C68" s="1414"/>
      <c r="D68" s="1414"/>
      <c r="E68" s="1414"/>
      <c r="F68" s="1414"/>
      <c r="G68" s="1414"/>
      <c r="H68" s="1414"/>
      <c r="I68" s="1414"/>
      <c r="J68" s="1414"/>
      <c r="K68" s="1414"/>
      <c r="L68" s="1414"/>
      <c r="M68" s="1414"/>
      <c r="N68" s="1414"/>
      <c r="O68" s="1414"/>
      <c r="P68" s="1414"/>
      <c r="Q68" s="1414"/>
      <c r="R68" s="1414"/>
      <c r="S68" s="1414"/>
      <c r="T68" s="1414"/>
      <c r="U68" s="1414"/>
      <c r="V68" s="1414"/>
      <c r="W68" s="1414"/>
      <c r="X68" s="1414"/>
      <c r="Y68" s="1414"/>
      <c r="Z68" s="1414"/>
      <c r="AA68" s="1414"/>
      <c r="AB68" s="1414"/>
      <c r="AC68" s="1414"/>
      <c r="AD68" s="1414"/>
      <c r="AE68" s="1414"/>
      <c r="AF68" s="1414"/>
      <c r="AG68" s="1414"/>
      <c r="AH68" s="1414"/>
      <c r="AI68" s="1534"/>
      <c r="AJ68" s="152" t="s">
        <v>143</v>
      </c>
      <c r="AK68" s="171"/>
      <c r="AL68" s="171"/>
      <c r="AM68" s="38"/>
      <c r="AN68" s="38"/>
      <c r="AO68" s="38"/>
      <c r="AP68" s="38"/>
      <c r="AQ68" s="38"/>
      <c r="AR68" s="38"/>
      <c r="AS68" s="38"/>
      <c r="AT68" s="38"/>
      <c r="AU68" s="38"/>
      <c r="AV68" s="38"/>
      <c r="AW68" s="38"/>
      <c r="AX68" s="38"/>
      <c r="AY68" s="38"/>
      <c r="AZ68" s="38"/>
      <c r="BA68" s="38"/>
      <c r="BB68" s="38"/>
      <c r="BC68" s="38"/>
      <c r="BD68" s="38"/>
      <c r="BE68" s="38"/>
      <c r="BF68" s="38"/>
    </row>
    <row r="69" spans="1:58" s="173" customFormat="1" ht="12.75" customHeight="1">
      <c r="A69" s="153"/>
      <c r="B69" s="174"/>
      <c r="C69" s="175"/>
      <c r="D69" s="270"/>
      <c r="E69" s="271"/>
      <c r="F69" s="271"/>
      <c r="G69" s="159" t="s">
        <v>563</v>
      </c>
      <c r="H69" s="272">
        <v>244</v>
      </c>
      <c r="I69" s="272">
        <v>226</v>
      </c>
      <c r="J69" s="273"/>
      <c r="K69" s="273"/>
      <c r="L69" s="273"/>
      <c r="M69" s="273"/>
      <c r="N69" s="273"/>
      <c r="O69" s="273"/>
      <c r="P69" s="273"/>
      <c r="Q69" s="273"/>
      <c r="R69" s="273"/>
      <c r="S69" s="273"/>
      <c r="T69" s="273"/>
      <c r="U69" s="273"/>
      <c r="V69" s="1004">
        <v>60000</v>
      </c>
      <c r="W69" s="273" t="s">
        <v>682</v>
      </c>
      <c r="X69" s="166">
        <v>100000</v>
      </c>
      <c r="Y69" s="162"/>
      <c r="Z69" s="1004"/>
      <c r="AA69" s="1004">
        <v>135000</v>
      </c>
      <c r="AB69" s="175"/>
      <c r="AC69" s="175"/>
      <c r="AD69" s="175"/>
      <c r="AE69" s="175"/>
      <c r="AF69" s="175"/>
      <c r="AG69" s="175"/>
      <c r="AH69" s="175"/>
      <c r="AI69" s="190"/>
      <c r="AJ69" s="152"/>
      <c r="AK69" s="171"/>
      <c r="AL69" s="171"/>
      <c r="AM69" s="38"/>
      <c r="AN69" s="38"/>
      <c r="AO69" s="38"/>
      <c r="AP69" s="38"/>
      <c r="AQ69" s="38"/>
      <c r="AR69" s="38"/>
      <c r="AS69" s="38"/>
      <c r="AT69" s="38"/>
      <c r="AU69" s="38"/>
      <c r="AV69" s="38"/>
      <c r="AW69" s="38"/>
      <c r="AX69" s="38"/>
      <c r="AY69" s="38"/>
      <c r="AZ69" s="38"/>
      <c r="BA69" s="38"/>
      <c r="BB69" s="38"/>
      <c r="BC69" s="38"/>
      <c r="BD69" s="38"/>
      <c r="BE69" s="38"/>
      <c r="BF69" s="38"/>
    </row>
    <row r="70" spans="1:58" s="173" customFormat="1" ht="12.75" customHeight="1">
      <c r="A70" s="153"/>
      <c r="B70" s="174"/>
      <c r="C70" s="175"/>
      <c r="D70" s="176"/>
      <c r="E70" s="271"/>
      <c r="F70" s="271"/>
      <c r="G70" s="159"/>
      <c r="H70" s="272">
        <v>244</v>
      </c>
      <c r="I70" s="272">
        <v>226</v>
      </c>
      <c r="J70" s="273"/>
      <c r="K70" s="273"/>
      <c r="L70" s="273"/>
      <c r="M70" s="273"/>
      <c r="N70" s="273"/>
      <c r="O70" s="273"/>
      <c r="P70" s="273"/>
      <c r="Q70" s="275"/>
      <c r="R70" s="273"/>
      <c r="S70" s="273"/>
      <c r="T70" s="273"/>
      <c r="U70" s="273"/>
      <c r="V70" s="1004">
        <v>60000</v>
      </c>
      <c r="W70" s="273" t="s">
        <v>600</v>
      </c>
      <c r="X70" s="166"/>
      <c r="Y70" s="273" t="s">
        <v>600</v>
      </c>
      <c r="Z70" s="1004"/>
      <c r="AA70" s="1004"/>
      <c r="AB70" s="175"/>
      <c r="AC70" s="175"/>
      <c r="AD70" s="175"/>
      <c r="AE70" s="175"/>
      <c r="AF70" s="175"/>
      <c r="AG70" s="175"/>
      <c r="AH70" s="175"/>
      <c r="AI70" s="190"/>
      <c r="AJ70" s="152"/>
      <c r="AK70" s="171"/>
      <c r="AL70" s="171"/>
      <c r="AM70" s="38"/>
      <c r="AN70" s="38"/>
      <c r="AO70" s="38"/>
      <c r="AP70" s="38"/>
      <c r="AQ70" s="38"/>
      <c r="AR70" s="38"/>
      <c r="AS70" s="38"/>
      <c r="AT70" s="38"/>
      <c r="AU70" s="38"/>
      <c r="AV70" s="38"/>
      <c r="AW70" s="38"/>
      <c r="AX70" s="38"/>
      <c r="AY70" s="38"/>
      <c r="AZ70" s="38"/>
      <c r="BA70" s="38"/>
      <c r="BB70" s="38"/>
      <c r="BC70" s="38"/>
      <c r="BD70" s="38"/>
      <c r="BE70" s="38"/>
      <c r="BF70" s="38"/>
    </row>
    <row r="71" spans="1:58" s="173" customFormat="1" ht="12.75" customHeight="1">
      <c r="A71" s="153"/>
      <c r="B71" s="174"/>
      <c r="C71" s="175"/>
      <c r="D71" s="176"/>
      <c r="E71" s="271"/>
      <c r="F71" s="271"/>
      <c r="G71" s="159"/>
      <c r="H71" s="272">
        <v>244</v>
      </c>
      <c r="I71" s="272">
        <v>226</v>
      </c>
      <c r="J71" s="273"/>
      <c r="K71" s="273"/>
      <c r="L71" s="273"/>
      <c r="M71" s="273"/>
      <c r="N71" s="273"/>
      <c r="O71" s="273"/>
      <c r="P71" s="273"/>
      <c r="Q71" s="275"/>
      <c r="R71" s="273"/>
      <c r="S71" s="273"/>
      <c r="T71" s="273"/>
      <c r="U71" s="273"/>
      <c r="V71" s="1004">
        <v>70000</v>
      </c>
      <c r="W71" s="273" t="s">
        <v>183</v>
      </c>
      <c r="X71" s="166">
        <v>10000</v>
      </c>
      <c r="Y71" s="273"/>
      <c r="Z71" s="1004"/>
      <c r="AA71" s="1004">
        <v>70000</v>
      </c>
      <c r="AB71" s="175"/>
      <c r="AC71" s="175"/>
      <c r="AD71" s="175"/>
      <c r="AE71" s="175"/>
      <c r="AF71" s="175"/>
      <c r="AG71" s="175"/>
      <c r="AH71" s="175"/>
      <c r="AI71" s="190"/>
      <c r="AJ71" s="152"/>
      <c r="AK71" s="171"/>
      <c r="AL71" s="171"/>
      <c r="AM71" s="38"/>
      <c r="AN71" s="38"/>
      <c r="AO71" s="38"/>
      <c r="AP71" s="38"/>
      <c r="AQ71" s="38"/>
      <c r="AR71" s="38"/>
      <c r="AS71" s="38"/>
      <c r="AT71" s="38"/>
      <c r="AU71" s="38"/>
      <c r="AV71" s="38"/>
      <c r="AW71" s="38"/>
      <c r="AX71" s="38"/>
      <c r="AY71" s="38"/>
      <c r="AZ71" s="38"/>
      <c r="BA71" s="38"/>
      <c r="BB71" s="38"/>
      <c r="BC71" s="38"/>
      <c r="BD71" s="38"/>
      <c r="BE71" s="38"/>
      <c r="BF71" s="38"/>
    </row>
    <row r="72" spans="1:58" s="173" customFormat="1" ht="12.75" customHeight="1">
      <c r="A72" s="153"/>
      <c r="B72" s="154" t="s">
        <v>182</v>
      </c>
      <c r="C72" s="155" t="s">
        <v>182</v>
      </c>
      <c r="D72" s="156">
        <v>656430014</v>
      </c>
      <c r="E72" s="157">
        <v>113</v>
      </c>
      <c r="F72" s="158">
        <v>656</v>
      </c>
      <c r="G72" s="159"/>
      <c r="H72" s="160">
        <v>244</v>
      </c>
      <c r="I72" s="160">
        <v>346</v>
      </c>
      <c r="J72" s="161">
        <v>0</v>
      </c>
      <c r="K72" s="162"/>
      <c r="L72" s="163">
        <v>50000</v>
      </c>
      <c r="M72" s="163">
        <v>47000</v>
      </c>
      <c r="N72" s="163">
        <v>40831.16</v>
      </c>
      <c r="O72" s="163">
        <v>0</v>
      </c>
      <c r="P72" s="163">
        <v>137831.16</v>
      </c>
      <c r="Q72" s="164">
        <f>R72+S72+T72+U72</f>
        <v>79807</v>
      </c>
      <c r="R72" s="162">
        <v>40000</v>
      </c>
      <c r="S72" s="162">
        <v>39807</v>
      </c>
      <c r="T72" s="162"/>
      <c r="U72" s="162">
        <v>0</v>
      </c>
      <c r="V72" s="417">
        <v>8704.59</v>
      </c>
      <c r="W72" s="173" t="s">
        <v>233</v>
      </c>
      <c r="X72" s="193">
        <v>0</v>
      </c>
      <c r="Y72" s="162"/>
      <c r="Z72" s="417"/>
      <c r="AA72" s="417">
        <v>0</v>
      </c>
      <c r="AB72" s="168"/>
      <c r="AC72" s="168"/>
      <c r="AD72" s="168"/>
      <c r="AE72" s="168">
        <v>137831.16</v>
      </c>
      <c r="AF72" s="168">
        <v>0</v>
      </c>
      <c r="AG72" s="168"/>
      <c r="AH72" s="169"/>
      <c r="AI72" s="170">
        <v>1</v>
      </c>
      <c r="AJ72" s="152" t="s">
        <v>143</v>
      </c>
      <c r="AK72" s="171"/>
      <c r="AL72" s="171"/>
      <c r="AM72" s="38"/>
      <c r="AN72" s="38"/>
      <c r="AO72" s="38"/>
      <c r="AP72" s="38"/>
      <c r="AQ72" s="38"/>
      <c r="AR72" s="38"/>
      <c r="AS72" s="38"/>
      <c r="AT72" s="38"/>
      <c r="AU72" s="38"/>
      <c r="AV72" s="38"/>
      <c r="AW72" s="38"/>
      <c r="AX72" s="38"/>
      <c r="AY72" s="38"/>
      <c r="AZ72" s="38"/>
      <c r="BA72" s="38"/>
      <c r="BB72" s="38"/>
      <c r="BC72" s="38"/>
      <c r="BD72" s="38"/>
      <c r="BE72" s="38"/>
      <c r="BF72" s="38"/>
    </row>
    <row r="73" spans="1:58" s="173" customFormat="1" ht="12.75" customHeight="1">
      <c r="A73" s="153"/>
      <c r="B73" s="174"/>
      <c r="C73" s="175"/>
      <c r="D73" s="270"/>
      <c r="E73" s="271"/>
      <c r="F73" s="271"/>
      <c r="G73" s="159"/>
      <c r="H73" s="272">
        <v>851</v>
      </c>
      <c r="I73" s="272">
        <v>290</v>
      </c>
      <c r="J73" s="273"/>
      <c r="K73" s="273"/>
      <c r="L73" s="273"/>
      <c r="M73" s="273"/>
      <c r="N73" s="273"/>
      <c r="O73" s="273"/>
      <c r="P73" s="273"/>
      <c r="Q73" s="273"/>
      <c r="R73" s="273"/>
      <c r="S73" s="273"/>
      <c r="T73" s="273"/>
      <c r="U73" s="273"/>
      <c r="V73" s="1004"/>
      <c r="W73" s="218" t="s">
        <v>175</v>
      </c>
      <c r="X73" s="166"/>
      <c r="Y73" s="273"/>
      <c r="Z73" s="1004"/>
      <c r="AA73" s="1004"/>
      <c r="AB73" s="175"/>
      <c r="AC73" s="175"/>
      <c r="AD73" s="175"/>
      <c r="AE73" s="175"/>
      <c r="AF73" s="175"/>
      <c r="AG73" s="175"/>
      <c r="AH73" s="175"/>
      <c r="AI73" s="190"/>
      <c r="AJ73" s="152"/>
      <c r="AK73" s="171"/>
      <c r="AL73" s="171"/>
      <c r="AM73" s="38"/>
      <c r="AN73" s="38"/>
      <c r="AO73" s="38"/>
      <c r="AP73" s="38"/>
      <c r="AQ73" s="38"/>
      <c r="AR73" s="38"/>
      <c r="AS73" s="38"/>
      <c r="AT73" s="38"/>
      <c r="AU73" s="38"/>
      <c r="AV73" s="38"/>
      <c r="AW73" s="38"/>
      <c r="AX73" s="38"/>
      <c r="AY73" s="38"/>
      <c r="AZ73" s="38"/>
      <c r="BA73" s="38"/>
      <c r="BB73" s="38"/>
      <c r="BC73" s="38"/>
      <c r="BD73" s="38"/>
      <c r="BE73" s="38"/>
      <c r="BF73" s="38"/>
    </row>
    <row r="74" spans="1:58" s="173" customFormat="1" ht="12.75" customHeight="1" thickBot="1">
      <c r="A74" s="153"/>
      <c r="B74" s="174"/>
      <c r="C74" s="175"/>
      <c r="D74" s="270"/>
      <c r="E74" s="271"/>
      <c r="F74" s="271"/>
      <c r="G74" s="159" t="s">
        <v>564</v>
      </c>
      <c r="H74" s="272">
        <v>853</v>
      </c>
      <c r="I74" s="272">
        <v>296</v>
      </c>
      <c r="J74" s="273"/>
      <c r="K74" s="273"/>
      <c r="L74" s="273"/>
      <c r="M74" s="273"/>
      <c r="N74" s="273"/>
      <c r="O74" s="273"/>
      <c r="P74" s="273"/>
      <c r="Q74" s="273"/>
      <c r="R74" s="273"/>
      <c r="S74" s="273"/>
      <c r="T74" s="273"/>
      <c r="U74" s="273"/>
      <c r="V74" s="1004">
        <v>15000</v>
      </c>
      <c r="W74" s="1067" t="s">
        <v>176</v>
      </c>
      <c r="X74" s="166">
        <v>0</v>
      </c>
      <c r="Y74" s="273"/>
      <c r="Z74" s="1004"/>
      <c r="AA74" s="1004">
        <v>15000</v>
      </c>
      <c r="AB74" s="175"/>
      <c r="AC74" s="175"/>
      <c r="AD74" s="175"/>
      <c r="AE74" s="175"/>
      <c r="AF74" s="175"/>
      <c r="AG74" s="175"/>
      <c r="AH74" s="175"/>
      <c r="AI74" s="190"/>
      <c r="AJ74" s="152"/>
      <c r="AK74" s="171"/>
      <c r="AL74" s="171"/>
      <c r="AM74" s="38"/>
      <c r="AN74" s="38"/>
      <c r="AO74" s="38"/>
      <c r="AP74" s="38"/>
      <c r="AQ74" s="38"/>
      <c r="AR74" s="38"/>
      <c r="AS74" s="38"/>
      <c r="AT74" s="38"/>
      <c r="AU74" s="38"/>
      <c r="AV74" s="38"/>
      <c r="AW74" s="38"/>
      <c r="AX74" s="38"/>
      <c r="AY74" s="38"/>
      <c r="AZ74" s="38"/>
      <c r="BA74" s="38"/>
      <c r="BB74" s="38"/>
      <c r="BC74" s="38"/>
      <c r="BD74" s="38"/>
      <c r="BE74" s="38"/>
      <c r="BF74" s="38"/>
    </row>
    <row r="75" spans="1:58" s="173" customFormat="1" ht="12.75" customHeight="1">
      <c r="A75" s="153"/>
      <c r="B75" s="1413" t="s">
        <v>161</v>
      </c>
      <c r="C75" s="1414"/>
      <c r="D75" s="1414"/>
      <c r="E75" s="1414"/>
      <c r="F75" s="1414"/>
      <c r="G75" s="1414"/>
      <c r="H75" s="1414"/>
      <c r="I75" s="1414"/>
      <c r="J75" s="1414"/>
      <c r="K75" s="1415"/>
      <c r="L75" s="177">
        <v>50000</v>
      </c>
      <c r="M75" s="178">
        <v>47000</v>
      </c>
      <c r="N75" s="178">
        <v>40831.16</v>
      </c>
      <c r="O75" s="177">
        <v>0</v>
      </c>
      <c r="P75" s="178">
        <v>137831.16</v>
      </c>
      <c r="Q75" s="179">
        <f>R75+S75+T75+U75</f>
        <v>79807</v>
      </c>
      <c r="R75" s="251">
        <f>R72</f>
        <v>40000</v>
      </c>
      <c r="S75" s="251">
        <f>S72</f>
        <v>39807</v>
      </c>
      <c r="T75" s="251">
        <f>T72</f>
        <v>0</v>
      </c>
      <c r="U75" s="251">
        <f>U72</f>
        <v>0</v>
      </c>
      <c r="V75" s="251">
        <f>SUM(V69:V74)</f>
        <v>213704.59</v>
      </c>
      <c r="W75" s="253"/>
      <c r="X75" s="254">
        <f>SUM(X69:X74)</f>
        <v>110000</v>
      </c>
      <c r="Y75" s="255"/>
      <c r="Z75" s="251">
        <f>SUM(Z69:Z74)</f>
        <v>0</v>
      </c>
      <c r="AA75" s="251">
        <f>SUM(AA69:AA74)</f>
        <v>220000</v>
      </c>
      <c r="AB75" s="1410"/>
      <c r="AC75" s="1411"/>
      <c r="AD75" s="1412"/>
      <c r="AE75" s="184">
        <v>137831.16</v>
      </c>
      <c r="AF75" s="185">
        <v>0</v>
      </c>
      <c r="AG75" s="1410"/>
      <c r="AH75" s="1412"/>
      <c r="AI75" s="186">
        <v>1</v>
      </c>
      <c r="AJ75" s="152" t="s">
        <v>143</v>
      </c>
      <c r="AK75" s="171"/>
      <c r="AL75" s="171"/>
      <c r="AM75" s="83">
        <f>X75+V75</f>
        <v>323704.58999999997</v>
      </c>
      <c r="AN75" s="38"/>
      <c r="AO75" s="38"/>
      <c r="AP75" s="38"/>
      <c r="AQ75" s="38"/>
      <c r="AR75" s="38"/>
      <c r="AS75" s="38"/>
      <c r="AT75" s="38"/>
      <c r="AU75" s="38"/>
      <c r="AV75" s="38"/>
      <c r="AW75" s="38"/>
      <c r="AX75" s="38"/>
      <c r="AY75" s="38"/>
      <c r="AZ75" s="38"/>
      <c r="BA75" s="38"/>
      <c r="BB75" s="38"/>
      <c r="BC75" s="38"/>
      <c r="BD75" s="38"/>
      <c r="BE75" s="38"/>
      <c r="BF75" s="38"/>
    </row>
    <row r="76" spans="1:58" s="173" customFormat="1" ht="12.75" customHeight="1" hidden="1">
      <c r="A76" s="863"/>
      <c r="B76" s="862"/>
      <c r="C76" s="862"/>
      <c r="D76" s="175"/>
      <c r="E76" s="175"/>
      <c r="F76" s="175"/>
      <c r="G76" s="175"/>
      <c r="H76" s="175"/>
      <c r="I76" s="175"/>
      <c r="J76" s="175"/>
      <c r="K76" s="176"/>
      <c r="L76" s="177"/>
      <c r="M76" s="178"/>
      <c r="N76" s="178"/>
      <c r="O76" s="177"/>
      <c r="P76" s="178"/>
      <c r="Q76" s="179"/>
      <c r="R76" s="251"/>
      <c r="S76" s="251"/>
      <c r="T76" s="251"/>
      <c r="U76" s="251"/>
      <c r="V76" s="251"/>
      <c r="W76" s="253"/>
      <c r="X76" s="254"/>
      <c r="Y76" s="255"/>
      <c r="Z76" s="251"/>
      <c r="AA76" s="251"/>
      <c r="AB76" s="183"/>
      <c r="AC76" s="183"/>
      <c r="AD76" s="183"/>
      <c r="AE76" s="249"/>
      <c r="AF76" s="249"/>
      <c r="AG76" s="183"/>
      <c r="AH76" s="183"/>
      <c r="AI76" s="813"/>
      <c r="AJ76" s="814"/>
      <c r="AK76" s="171"/>
      <c r="AL76" s="171"/>
      <c r="AM76" s="83"/>
      <c r="AN76" s="38"/>
      <c r="AO76" s="38"/>
      <c r="AP76" s="38"/>
      <c r="AQ76" s="38"/>
      <c r="AR76" s="38"/>
      <c r="AS76" s="38"/>
      <c r="AT76" s="38"/>
      <c r="AU76" s="38"/>
      <c r="AV76" s="38"/>
      <c r="AW76" s="38"/>
      <c r="AX76" s="38"/>
      <c r="AY76" s="38"/>
      <c r="AZ76" s="38"/>
      <c r="BA76" s="38"/>
      <c r="BB76" s="38"/>
      <c r="BC76" s="38"/>
      <c r="BD76" s="38"/>
      <c r="BE76" s="38"/>
      <c r="BF76" s="38"/>
    </row>
    <row r="77" spans="1:72" s="291" customFormat="1" ht="26.25" customHeight="1" hidden="1">
      <c r="A77" s="1416" t="s">
        <v>461</v>
      </c>
      <c r="B77" s="1416"/>
      <c r="C77" s="1416"/>
      <c r="D77" s="1416"/>
      <c r="E77" s="1416"/>
      <c r="F77" s="1416"/>
      <c r="G77" s="1416"/>
      <c r="H77" s="1416"/>
      <c r="I77" s="1416"/>
      <c r="J77" s="1416"/>
      <c r="K77" s="1416"/>
      <c r="L77" s="1416"/>
      <c r="M77" s="1416"/>
      <c r="N77" s="1416"/>
      <c r="O77" s="1416"/>
      <c r="P77" s="1416"/>
      <c r="Q77" s="1416"/>
      <c r="R77" s="1416"/>
      <c r="S77" s="1416"/>
      <c r="T77" s="1416"/>
      <c r="U77" s="1416"/>
      <c r="V77" s="1416"/>
      <c r="W77" s="1416"/>
      <c r="X77" s="1416"/>
      <c r="Y77" s="1416"/>
      <c r="Z77" s="1416"/>
      <c r="AA77" s="1417"/>
      <c r="AB77" s="286"/>
      <c r="AC77" s="286"/>
      <c r="AD77" s="286"/>
      <c r="AE77" s="286"/>
      <c r="AF77" s="286"/>
      <c r="AG77" s="286"/>
      <c r="AH77" s="279"/>
      <c r="AI77" s="279"/>
      <c r="AJ77" s="279"/>
      <c r="AK77" s="279"/>
      <c r="AL77" s="279"/>
      <c r="AM77" s="287"/>
      <c r="AN77" s="287"/>
      <c r="AO77" s="287"/>
      <c r="AP77" s="287"/>
      <c r="AQ77" s="287"/>
      <c r="AR77" s="287"/>
      <c r="AS77" s="287"/>
      <c r="AT77" s="288"/>
      <c r="AU77" s="279"/>
      <c r="AV77" s="279"/>
      <c r="AW77" s="279"/>
      <c r="AX77" s="289"/>
      <c r="AY77" s="276"/>
      <c r="AZ77" s="276"/>
      <c r="BA77" s="290"/>
      <c r="BB77" s="290"/>
      <c r="BC77" s="290"/>
      <c r="BD77" s="290"/>
      <c r="BE77" s="290"/>
      <c r="BF77" s="290"/>
      <c r="BG77" s="290"/>
      <c r="BH77" s="290"/>
      <c r="BI77" s="290"/>
      <c r="BJ77" s="290"/>
      <c r="BK77" s="290"/>
      <c r="BL77" s="290"/>
      <c r="BM77" s="290"/>
      <c r="BN77" s="290"/>
      <c r="BO77" s="290"/>
      <c r="BP77" s="290"/>
      <c r="BQ77" s="290"/>
      <c r="BR77" s="290"/>
      <c r="BS77" s="290"/>
      <c r="BT77" s="290"/>
    </row>
    <row r="78" spans="1:72" s="291" customFormat="1" ht="12.75" customHeight="1" hidden="1">
      <c r="A78" s="276"/>
      <c r="B78" s="277"/>
      <c r="C78" s="277"/>
      <c r="D78" s="278" t="s">
        <v>463</v>
      </c>
      <c r="E78" s="279"/>
      <c r="F78" s="279"/>
      <c r="G78" s="279"/>
      <c r="H78" s="279"/>
      <c r="I78" s="279"/>
      <c r="J78" s="280"/>
      <c r="K78" s="281"/>
      <c r="L78" s="282"/>
      <c r="M78" s="282"/>
      <c r="N78" s="282"/>
      <c r="O78" s="282"/>
      <c r="P78" s="282"/>
      <c r="Q78" s="283"/>
      <c r="R78" s="281"/>
      <c r="S78" s="284"/>
      <c r="T78" s="279"/>
      <c r="U78" s="285"/>
      <c r="V78" s="285"/>
      <c r="W78" s="285"/>
      <c r="X78" s="279"/>
      <c r="Y78" s="293"/>
      <c r="Z78" s="300"/>
      <c r="AA78" s="300"/>
      <c r="AB78" s="300"/>
      <c r="AC78" s="300"/>
      <c r="AD78" s="300"/>
      <c r="AE78" s="300"/>
      <c r="AF78" s="300"/>
      <c r="AG78" s="300"/>
      <c r="AH78" s="293"/>
      <c r="AI78" s="293"/>
      <c r="AJ78" s="293"/>
      <c r="AK78" s="293"/>
      <c r="AL78" s="293"/>
      <c r="AM78" s="287"/>
      <c r="AN78" s="287"/>
      <c r="AO78" s="287"/>
      <c r="AP78" s="287"/>
      <c r="AQ78" s="287"/>
      <c r="AR78" s="287"/>
      <c r="AS78" s="287"/>
      <c r="AT78" s="288"/>
      <c r="AU78" s="293"/>
      <c r="AV78" s="293"/>
      <c r="AW78" s="293"/>
      <c r="AX78" s="289"/>
      <c r="AY78" s="276"/>
      <c r="AZ78" s="276"/>
      <c r="BA78" s="290"/>
      <c r="BB78" s="290"/>
      <c r="BC78" s="290"/>
      <c r="BD78" s="290"/>
      <c r="BE78" s="290"/>
      <c r="BF78" s="290"/>
      <c r="BG78" s="290"/>
      <c r="BH78" s="290"/>
      <c r="BI78" s="290"/>
      <c r="BJ78" s="290"/>
      <c r="BK78" s="290"/>
      <c r="BL78" s="290"/>
      <c r="BM78" s="290"/>
      <c r="BN78" s="290"/>
      <c r="BO78" s="290"/>
      <c r="BP78" s="290"/>
      <c r="BQ78" s="290"/>
      <c r="BR78" s="290"/>
      <c r="BS78" s="290"/>
      <c r="BT78" s="290"/>
    </row>
    <row r="79" spans="1:72" s="291" customFormat="1" ht="33" customHeight="1" hidden="1">
      <c r="A79" s="276"/>
      <c r="B79" s="277"/>
      <c r="C79" s="277"/>
      <c r="D79" s="292" t="s">
        <v>181</v>
      </c>
      <c r="E79" s="293"/>
      <c r="F79" s="293"/>
      <c r="G79" s="293"/>
      <c r="H79" s="293"/>
      <c r="I79" s="293"/>
      <c r="J79" s="294"/>
      <c r="K79" s="295"/>
      <c r="L79" s="296"/>
      <c r="M79" s="296"/>
      <c r="N79" s="296"/>
      <c r="O79" s="296"/>
      <c r="P79" s="296"/>
      <c r="Q79" s="297"/>
      <c r="R79" s="295"/>
      <c r="S79" s="298"/>
      <c r="T79" s="293"/>
      <c r="U79" s="299"/>
      <c r="V79" s="299"/>
      <c r="W79" s="299"/>
      <c r="X79" s="293"/>
      <c r="Y79" s="315"/>
      <c r="Z79" s="315"/>
      <c r="AA79" s="315"/>
      <c r="AB79" s="315"/>
      <c r="AC79" s="315"/>
      <c r="AD79" s="315"/>
      <c r="AE79" s="315"/>
      <c r="AF79" s="315"/>
      <c r="AG79" s="316"/>
      <c r="AH79" s="314"/>
      <c r="AI79" s="314"/>
      <c r="AJ79" s="314"/>
      <c r="AK79" s="314"/>
      <c r="AL79" s="314"/>
      <c r="AM79" s="317"/>
      <c r="AN79" s="317"/>
      <c r="AO79" s="317"/>
      <c r="AP79" s="317"/>
      <c r="AQ79" s="317"/>
      <c r="AR79" s="317"/>
      <c r="AS79" s="318"/>
      <c r="AT79" s="319"/>
      <c r="AU79" s="314"/>
      <c r="AV79" s="314"/>
      <c r="AW79" s="314"/>
      <c r="AX79" s="320"/>
      <c r="AY79" s="276"/>
      <c r="AZ79" s="276"/>
      <c r="BA79" s="290"/>
      <c r="BB79" s="290"/>
      <c r="BC79" s="290"/>
      <c r="BD79" s="290"/>
      <c r="BE79" s="290"/>
      <c r="BF79" s="290"/>
      <c r="BG79" s="290"/>
      <c r="BH79" s="290"/>
      <c r="BI79" s="290"/>
      <c r="BJ79" s="290"/>
      <c r="BK79" s="290"/>
      <c r="BL79" s="290"/>
      <c r="BM79" s="290"/>
      <c r="BN79" s="290"/>
      <c r="BO79" s="290"/>
      <c r="BP79" s="290"/>
      <c r="BQ79" s="290"/>
      <c r="BR79" s="290"/>
      <c r="BS79" s="290"/>
      <c r="BT79" s="290"/>
    </row>
    <row r="80" spans="1:38" ht="28.5" customHeight="1" hidden="1">
      <c r="A80" s="301"/>
      <c r="B80" s="302"/>
      <c r="C80" s="303"/>
      <c r="D80" s="304">
        <v>656420011</v>
      </c>
      <c r="E80" s="305">
        <v>113</v>
      </c>
      <c r="F80" s="306"/>
      <c r="G80" s="307">
        <v>42001002400</v>
      </c>
      <c r="H80" s="308">
        <v>244</v>
      </c>
      <c r="I80" s="309">
        <v>226</v>
      </c>
      <c r="J80" s="310"/>
      <c r="K80" s="311"/>
      <c r="L80" s="312"/>
      <c r="M80" s="312"/>
      <c r="N80" s="312"/>
      <c r="O80" s="312"/>
      <c r="P80" s="312"/>
      <c r="Q80" s="313">
        <f>R80+S80+T80+U80</f>
        <v>30000</v>
      </c>
      <c r="R80" s="311">
        <v>30000</v>
      </c>
      <c r="S80" s="311">
        <v>0</v>
      </c>
      <c r="T80" s="311"/>
      <c r="U80" s="311"/>
      <c r="V80" s="314"/>
      <c r="W80" s="314" t="s">
        <v>184</v>
      </c>
      <c r="X80" s="312"/>
      <c r="Y80" s="811"/>
      <c r="Z80" s="811"/>
      <c r="AA80" s="811"/>
      <c r="AB80" s="183"/>
      <c r="AC80" s="183"/>
      <c r="AD80" s="183"/>
      <c r="AE80" s="249"/>
      <c r="AF80" s="249"/>
      <c r="AG80" s="183"/>
      <c r="AH80" s="183"/>
      <c r="AI80" s="186"/>
      <c r="AJ80" s="152"/>
      <c r="AK80" s="30"/>
      <c r="AL80" s="30"/>
    </row>
    <row r="81" spans="1:38" ht="28.5" customHeight="1" hidden="1">
      <c r="A81" s="301"/>
      <c r="B81" s="864"/>
      <c r="C81" s="790"/>
      <c r="D81" s="865"/>
      <c r="E81" s="866"/>
      <c r="F81" s="867"/>
      <c r="G81" s="868"/>
      <c r="H81" s="869"/>
      <c r="I81" s="870"/>
      <c r="J81" s="871"/>
      <c r="K81" s="872"/>
      <c r="L81" s="873"/>
      <c r="M81" s="873"/>
      <c r="N81" s="873"/>
      <c r="O81" s="873"/>
      <c r="P81" s="873"/>
      <c r="Q81" s="874"/>
      <c r="R81" s="872"/>
      <c r="S81" s="872"/>
      <c r="T81" s="872"/>
      <c r="U81" s="872"/>
      <c r="V81" s="875"/>
      <c r="W81" s="875"/>
      <c r="X81" s="873"/>
      <c r="Y81" s="811"/>
      <c r="Z81" s="811"/>
      <c r="AA81" s="811"/>
      <c r="AB81" s="183"/>
      <c r="AC81" s="183"/>
      <c r="AD81" s="183"/>
      <c r="AE81" s="249"/>
      <c r="AF81" s="249"/>
      <c r="AG81" s="183"/>
      <c r="AH81" s="183"/>
      <c r="AI81" s="186"/>
      <c r="AJ81" s="152"/>
      <c r="AK81" s="30"/>
      <c r="AL81" s="30"/>
    </row>
    <row r="82" spans="1:38" ht="30" customHeight="1">
      <c r="A82" s="151"/>
      <c r="B82" s="174"/>
      <c r="C82" s="175"/>
      <c r="D82" s="1416" t="s">
        <v>461</v>
      </c>
      <c r="E82" s="1416"/>
      <c r="F82" s="1416"/>
      <c r="G82" s="1416"/>
      <c r="H82" s="1416"/>
      <c r="I82" s="1416"/>
      <c r="J82" s="1416"/>
      <c r="K82" s="1416"/>
      <c r="L82" s="1416"/>
      <c r="M82" s="1416"/>
      <c r="N82" s="1416"/>
      <c r="O82" s="1416"/>
      <c r="P82" s="1416"/>
      <c r="Q82" s="1416"/>
      <c r="R82" s="1416"/>
      <c r="S82" s="1416"/>
      <c r="T82" s="1416"/>
      <c r="U82" s="1416"/>
      <c r="V82" s="1416"/>
      <c r="W82" s="1416"/>
      <c r="X82" s="1416"/>
      <c r="Y82" s="1416"/>
      <c r="Z82" s="1416"/>
      <c r="AA82" s="1416"/>
      <c r="AB82" s="1416"/>
      <c r="AC82" s="1416"/>
      <c r="AD82" s="1417"/>
      <c r="AE82" s="175"/>
      <c r="AF82" s="175"/>
      <c r="AG82" s="175"/>
      <c r="AH82" s="175"/>
      <c r="AI82" s="190"/>
      <c r="AJ82" s="152" t="s">
        <v>143</v>
      </c>
      <c r="AK82" s="30"/>
      <c r="AL82" s="30"/>
    </row>
    <row r="83" spans="1:58" s="173" customFormat="1" ht="12.75" customHeight="1">
      <c r="A83" s="151"/>
      <c r="B83" s="174" t="s">
        <v>186</v>
      </c>
      <c r="C83" s="175"/>
      <c r="D83" s="175"/>
      <c r="E83" s="175"/>
      <c r="F83" s="175"/>
      <c r="G83" s="175"/>
      <c r="H83" s="175"/>
      <c r="I83" s="175"/>
      <c r="J83" s="175"/>
      <c r="K83" s="175"/>
      <c r="L83" s="175"/>
      <c r="M83" s="175"/>
      <c r="N83" s="175"/>
      <c r="O83" s="175"/>
      <c r="P83" s="175"/>
      <c r="Q83" s="175"/>
      <c r="R83" s="175"/>
      <c r="S83" s="175"/>
      <c r="T83" s="175"/>
      <c r="U83" s="175"/>
      <c r="V83" s="175"/>
      <c r="W83" s="175"/>
      <c r="X83" s="175"/>
      <c r="Y83" s="194"/>
      <c r="Z83" s="417"/>
      <c r="AA83" s="417">
        <v>100000</v>
      </c>
      <c r="AB83" s="168"/>
      <c r="AC83" s="168"/>
      <c r="AD83" s="168"/>
      <c r="AE83" s="168">
        <v>1000</v>
      </c>
      <c r="AF83" s="168">
        <v>0</v>
      </c>
      <c r="AG83" s="168"/>
      <c r="AH83" s="169"/>
      <c r="AI83" s="170">
        <v>1</v>
      </c>
      <c r="AJ83" s="152" t="s">
        <v>143</v>
      </c>
      <c r="AK83" s="171"/>
      <c r="AL83" s="171"/>
      <c r="AM83" s="38" t="s">
        <v>683</v>
      </c>
      <c r="AN83" s="38"/>
      <c r="AO83" s="38"/>
      <c r="AP83" s="38"/>
      <c r="AQ83" s="38"/>
      <c r="AR83" s="38" t="s">
        <v>188</v>
      </c>
      <c r="AS83" s="38"/>
      <c r="AT83" s="38"/>
      <c r="AU83" s="38"/>
      <c r="AV83" s="38"/>
      <c r="AW83" s="38"/>
      <c r="AX83" s="38"/>
      <c r="AY83" s="38"/>
      <c r="AZ83" s="38"/>
      <c r="BA83" s="38"/>
      <c r="BB83" s="38"/>
      <c r="BC83" s="38"/>
      <c r="BD83" s="38"/>
      <c r="BE83" s="38"/>
      <c r="BF83" s="38"/>
    </row>
    <row r="84" spans="1:58" s="173" customFormat="1" ht="12.75" customHeight="1">
      <c r="A84" s="153"/>
      <c r="B84" s="154" t="s">
        <v>186</v>
      </c>
      <c r="C84" s="155" t="s">
        <v>186</v>
      </c>
      <c r="D84" s="156">
        <v>656490012</v>
      </c>
      <c r="E84" s="157">
        <v>113</v>
      </c>
      <c r="F84" s="158">
        <v>656</v>
      </c>
      <c r="G84" s="250" t="s">
        <v>517</v>
      </c>
      <c r="H84" s="160" t="s">
        <v>187</v>
      </c>
      <c r="I84" s="160">
        <v>214</v>
      </c>
      <c r="J84" s="321"/>
      <c r="K84" s="162"/>
      <c r="L84" s="163">
        <v>50000</v>
      </c>
      <c r="M84" s="163">
        <v>50000</v>
      </c>
      <c r="N84" s="163">
        <v>-99000</v>
      </c>
      <c r="O84" s="163">
        <v>0</v>
      </c>
      <c r="P84" s="163">
        <v>1000</v>
      </c>
      <c r="Q84" s="164">
        <f>R84+S84+T84+U84</f>
        <v>100000</v>
      </c>
      <c r="R84" s="162">
        <v>50000</v>
      </c>
      <c r="S84" s="162">
        <v>50000</v>
      </c>
      <c r="T84" s="162"/>
      <c r="U84" s="162"/>
      <c r="V84" s="417">
        <v>100000</v>
      </c>
      <c r="W84" s="162" t="s">
        <v>626</v>
      </c>
      <c r="X84" s="193">
        <v>0</v>
      </c>
      <c r="Y84" s="255"/>
      <c r="Z84" s="252">
        <f>Z83</f>
        <v>0</v>
      </c>
      <c r="AA84" s="252">
        <f>AA83</f>
        <v>100000</v>
      </c>
      <c r="AB84" s="1410"/>
      <c r="AC84" s="1411"/>
      <c r="AD84" s="1412"/>
      <c r="AE84" s="184">
        <v>1000</v>
      </c>
      <c r="AF84" s="185">
        <v>0</v>
      </c>
      <c r="AG84" s="1410"/>
      <c r="AH84" s="1412"/>
      <c r="AI84" s="186">
        <v>1</v>
      </c>
      <c r="AJ84" s="152" t="s">
        <v>143</v>
      </c>
      <c r="AK84" s="171"/>
      <c r="AL84" s="171"/>
      <c r="AM84" s="38"/>
      <c r="AN84" s="38"/>
      <c r="AO84" s="38"/>
      <c r="AP84" s="38"/>
      <c r="AQ84" s="38"/>
      <c r="AR84" s="38"/>
      <c r="AS84" s="38"/>
      <c r="AT84" s="38"/>
      <c r="AU84" s="38"/>
      <c r="AV84" s="38"/>
      <c r="AW84" s="38"/>
      <c r="AX84" s="38"/>
      <c r="AY84" s="38"/>
      <c r="AZ84" s="38"/>
      <c r="BA84" s="38"/>
      <c r="BB84" s="38"/>
      <c r="BC84" s="38"/>
      <c r="BD84" s="38"/>
      <c r="BE84" s="38"/>
      <c r="BF84" s="38"/>
    </row>
    <row r="85" spans="1:58" s="173" customFormat="1" ht="12.75" customHeight="1">
      <c r="A85" s="153"/>
      <c r="B85" s="1413" t="s">
        <v>161</v>
      </c>
      <c r="C85" s="1414"/>
      <c r="D85" s="1414"/>
      <c r="E85" s="1414"/>
      <c r="F85" s="1414"/>
      <c r="G85" s="1414"/>
      <c r="H85" s="1414"/>
      <c r="I85" s="1414"/>
      <c r="J85" s="1414"/>
      <c r="K85" s="1415"/>
      <c r="L85" s="177">
        <v>50000</v>
      </c>
      <c r="M85" s="178">
        <v>50000</v>
      </c>
      <c r="N85" s="178">
        <v>-99000</v>
      </c>
      <c r="O85" s="177">
        <v>0</v>
      </c>
      <c r="P85" s="178">
        <v>1000</v>
      </c>
      <c r="Q85" s="322">
        <f>R85+S85+T85+U85</f>
        <v>100000</v>
      </c>
      <c r="R85" s="252">
        <f>R84</f>
        <v>50000</v>
      </c>
      <c r="S85" s="252">
        <f>S84</f>
        <v>50000</v>
      </c>
      <c r="T85" s="252">
        <f>T84</f>
        <v>0</v>
      </c>
      <c r="U85" s="252"/>
      <c r="V85" s="418">
        <f>V84</f>
        <v>100000</v>
      </c>
      <c r="W85" s="253"/>
      <c r="X85" s="254">
        <f>X84</f>
        <v>0</v>
      </c>
      <c r="Y85" s="175"/>
      <c r="Z85" s="175"/>
      <c r="AA85" s="175"/>
      <c r="AB85" s="175"/>
      <c r="AC85" s="175"/>
      <c r="AD85" s="175"/>
      <c r="AE85" s="175"/>
      <c r="AF85" s="175"/>
      <c r="AG85" s="175"/>
      <c r="AH85" s="175"/>
      <c r="AI85" s="190"/>
      <c r="AJ85" s="152" t="s">
        <v>143</v>
      </c>
      <c r="AK85" s="171"/>
      <c r="AL85" s="171"/>
      <c r="AM85" s="38"/>
      <c r="AN85" s="38"/>
      <c r="AO85" s="38"/>
      <c r="AP85" s="38"/>
      <c r="AQ85" s="38"/>
      <c r="AR85" s="38"/>
      <c r="AS85" s="38"/>
      <c r="AT85" s="38"/>
      <c r="AU85" s="38"/>
      <c r="AV85" s="38"/>
      <c r="AW85" s="38"/>
      <c r="AX85" s="38"/>
      <c r="AY85" s="38"/>
      <c r="AZ85" s="38"/>
      <c r="BA85" s="38"/>
      <c r="BB85" s="38"/>
      <c r="BC85" s="38"/>
      <c r="BD85" s="38"/>
      <c r="BE85" s="38"/>
      <c r="BF85" s="38"/>
    </row>
    <row r="86" spans="1:58" s="173" customFormat="1" ht="20.25" customHeight="1">
      <c r="A86" s="153"/>
      <c r="B86" s="174" t="s">
        <v>189</v>
      </c>
      <c r="C86" s="175"/>
      <c r="D86" s="175"/>
      <c r="E86" s="175"/>
      <c r="F86" s="175"/>
      <c r="G86" s="175"/>
      <c r="H86" s="175"/>
      <c r="I86" s="175"/>
      <c r="J86" s="175"/>
      <c r="K86" s="175"/>
      <c r="L86" s="175"/>
      <c r="M86" s="175"/>
      <c r="N86" s="175"/>
      <c r="O86" s="175"/>
      <c r="P86" s="175"/>
      <c r="Q86" s="175"/>
      <c r="R86" s="175"/>
      <c r="S86" s="175"/>
      <c r="T86" s="175"/>
      <c r="U86" s="175"/>
      <c r="V86" s="175"/>
      <c r="W86" s="175"/>
      <c r="X86" s="175"/>
      <c r="Y86" s="194"/>
      <c r="Z86" s="193">
        <f>360312.37*12+(360312.37*12)*3.8%+0.12</f>
        <v>4488051.00072</v>
      </c>
      <c r="AA86" s="193">
        <f>360312.37*12+(360312.37*12)*3.8%+0.12</f>
        <v>4488051.00072</v>
      </c>
      <c r="AB86" s="168"/>
      <c r="AC86" s="168"/>
      <c r="AD86" s="168"/>
      <c r="AE86" s="168">
        <v>1508967.67</v>
      </c>
      <c r="AF86" s="168">
        <v>20700</v>
      </c>
      <c r="AG86" s="168"/>
      <c r="AH86" s="169"/>
      <c r="AI86" s="170">
        <v>0.6809637555424735</v>
      </c>
      <c r="AJ86" s="152" t="s">
        <v>143</v>
      </c>
      <c r="AK86" s="171"/>
      <c r="AL86" s="171"/>
      <c r="AM86" s="324">
        <v>51596.16</v>
      </c>
      <c r="AN86" s="38" t="s">
        <v>191</v>
      </c>
      <c r="AO86" s="38"/>
      <c r="AP86" s="38"/>
      <c r="AQ86" s="38"/>
      <c r="AR86" s="38"/>
      <c r="AS86" s="38"/>
      <c r="AT86" s="38"/>
      <c r="AU86" s="38"/>
      <c r="AV86" s="38"/>
      <c r="AW86" s="38"/>
      <c r="AX86" s="38"/>
      <c r="AY86" s="38"/>
      <c r="AZ86" s="38"/>
      <c r="BA86" s="38"/>
      <c r="BB86" s="38"/>
      <c r="BC86" s="38"/>
      <c r="BD86" s="38"/>
      <c r="BE86" s="38"/>
      <c r="BF86" s="38"/>
    </row>
    <row r="87" spans="1:58" s="173" customFormat="1" ht="41.25" customHeight="1">
      <c r="A87" s="153"/>
      <c r="B87" s="154" t="s">
        <v>189</v>
      </c>
      <c r="C87" s="155" t="s">
        <v>189</v>
      </c>
      <c r="D87" s="156">
        <v>656490011</v>
      </c>
      <c r="E87" s="157">
        <v>113</v>
      </c>
      <c r="F87" s="158">
        <v>656</v>
      </c>
      <c r="G87" s="250" t="s">
        <v>517</v>
      </c>
      <c r="H87" s="160" t="s">
        <v>190</v>
      </c>
      <c r="I87" s="160">
        <v>211</v>
      </c>
      <c r="J87" s="321"/>
      <c r="K87" s="162"/>
      <c r="L87" s="163">
        <v>647000</v>
      </c>
      <c r="M87" s="163">
        <v>550000</v>
      </c>
      <c r="N87" s="163">
        <v>408195.4</v>
      </c>
      <c r="O87" s="163">
        <v>580336</v>
      </c>
      <c r="P87" s="163">
        <v>2185531.4</v>
      </c>
      <c r="Q87" s="167">
        <f>R87+S87+T87+U87</f>
        <v>2778065</v>
      </c>
      <c r="R87" s="163">
        <f>668804.6+50000+150000+120729+200000</f>
        <v>1189533.6</v>
      </c>
      <c r="S87" s="163">
        <f>550000+100000-100000</f>
        <v>550000</v>
      </c>
      <c r="T87" s="163">
        <f>408195.4+130000</f>
        <v>538195.4</v>
      </c>
      <c r="U87" s="163">
        <f>580336-50000+100000-130000</f>
        <v>500336</v>
      </c>
      <c r="V87" s="193">
        <f>360312.37*12+(360312.37*12)*3.8%+0.12</f>
        <v>4488051.00072</v>
      </c>
      <c r="W87" s="163" t="s">
        <v>593</v>
      </c>
      <c r="X87" s="193"/>
      <c r="Y87" s="194">
        <v>19043.6</v>
      </c>
      <c r="Z87" s="193"/>
      <c r="AA87" s="193">
        <v>15000</v>
      </c>
      <c r="AB87" s="168"/>
      <c r="AC87" s="168"/>
      <c r="AD87" s="168"/>
      <c r="AE87" s="168">
        <v>459201.6</v>
      </c>
      <c r="AF87" s="168">
        <v>8362.8</v>
      </c>
      <c r="AG87" s="168"/>
      <c r="AH87" s="169"/>
      <c r="AI87" s="170">
        <v>0.6763106140725907</v>
      </c>
      <c r="AJ87" s="152" t="s">
        <v>143</v>
      </c>
      <c r="AK87" s="171"/>
      <c r="AL87" s="171"/>
      <c r="AM87" s="38">
        <f>AM86*21</f>
        <v>1083519.36</v>
      </c>
      <c r="AN87" s="38" t="s">
        <v>192</v>
      </c>
      <c r="AO87" s="38"/>
      <c r="AP87" s="38"/>
      <c r="AQ87" s="38"/>
      <c r="AR87" s="38"/>
      <c r="AS87" s="38"/>
      <c r="AT87" s="38"/>
      <c r="AU87" s="38"/>
      <c r="AV87" s="38"/>
      <c r="AW87" s="38"/>
      <c r="AX87" s="38"/>
      <c r="AY87" s="38"/>
      <c r="AZ87" s="38"/>
      <c r="BA87" s="38"/>
      <c r="BB87" s="38"/>
      <c r="BC87" s="38"/>
      <c r="BD87" s="38"/>
      <c r="BE87" s="38"/>
      <c r="BF87" s="38"/>
    </row>
    <row r="88" spans="1:58" s="173" customFormat="1" ht="41.25" customHeight="1">
      <c r="A88" s="153"/>
      <c r="B88" s="154" t="s">
        <v>189</v>
      </c>
      <c r="C88" s="155" t="s">
        <v>189</v>
      </c>
      <c r="D88" s="156">
        <v>656490011</v>
      </c>
      <c r="E88" s="157">
        <v>113</v>
      </c>
      <c r="F88" s="158">
        <v>656</v>
      </c>
      <c r="G88" s="250" t="s">
        <v>517</v>
      </c>
      <c r="H88" s="309" t="s">
        <v>190</v>
      </c>
      <c r="I88" s="309">
        <v>266</v>
      </c>
      <c r="J88" s="321"/>
      <c r="K88" s="162"/>
      <c r="L88" s="163">
        <v>647000</v>
      </c>
      <c r="M88" s="163">
        <v>550000</v>
      </c>
      <c r="N88" s="163">
        <v>408195.4</v>
      </c>
      <c r="O88" s="163">
        <v>580336</v>
      </c>
      <c r="P88" s="163">
        <v>2185531.4</v>
      </c>
      <c r="Q88" s="167">
        <f>R88+S88+T88+U88</f>
        <v>2778065</v>
      </c>
      <c r="R88" s="163">
        <f>668804.6+50000+150000+120729+200000</f>
        <v>1189533.6</v>
      </c>
      <c r="S88" s="163">
        <f>550000+100000-100000</f>
        <v>550000</v>
      </c>
      <c r="T88" s="163">
        <f>408195.4+130000</f>
        <v>538195.4</v>
      </c>
      <c r="U88" s="163">
        <f>580336-50000+100000-130000</f>
        <v>500336</v>
      </c>
      <c r="V88" s="193">
        <v>15000</v>
      </c>
      <c r="W88" s="163"/>
      <c r="X88" s="193">
        <v>5000</v>
      </c>
      <c r="Y88" s="194">
        <v>19043.6</v>
      </c>
      <c r="Z88" s="1001">
        <f>Z86*30.2%-0.4</f>
        <v>1355391.00221744</v>
      </c>
      <c r="AA88" s="1001">
        <f>AA86*30.2%-0.4</f>
        <v>1355391.00221744</v>
      </c>
      <c r="AB88" s="168"/>
      <c r="AC88" s="168"/>
      <c r="AD88" s="168"/>
      <c r="AE88" s="168">
        <v>459201.6</v>
      </c>
      <c r="AF88" s="168">
        <v>8362.8</v>
      </c>
      <c r="AG88" s="168"/>
      <c r="AH88" s="169"/>
      <c r="AI88" s="170">
        <v>0.6763106140725907</v>
      </c>
      <c r="AJ88" s="152" t="s">
        <v>143</v>
      </c>
      <c r="AK88" s="171"/>
      <c r="AL88" s="171"/>
      <c r="AM88" s="38">
        <f>AM87*21</f>
        <v>22753906.560000002</v>
      </c>
      <c r="AN88" s="38" t="s">
        <v>192</v>
      </c>
      <c r="AO88" s="38"/>
      <c r="AP88" s="38"/>
      <c r="AQ88" s="38"/>
      <c r="AR88" s="38"/>
      <c r="AS88" s="38"/>
      <c r="AT88" s="38"/>
      <c r="AU88" s="38"/>
      <c r="AV88" s="38"/>
      <c r="AW88" s="38"/>
      <c r="AX88" s="38"/>
      <c r="AY88" s="38"/>
      <c r="AZ88" s="38"/>
      <c r="BA88" s="38"/>
      <c r="BB88" s="38"/>
      <c r="BC88" s="38"/>
      <c r="BD88" s="38"/>
      <c r="BE88" s="38"/>
      <c r="BF88" s="38"/>
    </row>
    <row r="89" spans="1:58" s="173" customFormat="1" ht="12.75" customHeight="1">
      <c r="A89" s="153"/>
      <c r="B89" s="154" t="s">
        <v>189</v>
      </c>
      <c r="C89" s="155" t="s">
        <v>189</v>
      </c>
      <c r="D89" s="156">
        <v>656490011</v>
      </c>
      <c r="E89" s="157">
        <v>113</v>
      </c>
      <c r="F89" s="158">
        <v>656</v>
      </c>
      <c r="G89" s="250" t="s">
        <v>517</v>
      </c>
      <c r="H89" s="160">
        <v>119</v>
      </c>
      <c r="I89" s="160">
        <v>213</v>
      </c>
      <c r="J89" s="321"/>
      <c r="K89" s="162"/>
      <c r="L89" s="163">
        <v>196000</v>
      </c>
      <c r="M89" s="163">
        <v>167000</v>
      </c>
      <c r="N89" s="163">
        <v>130000</v>
      </c>
      <c r="O89" s="163">
        <v>173615</v>
      </c>
      <c r="P89" s="163">
        <v>666615</v>
      </c>
      <c r="Q89" s="167">
        <f>R89+S89+T89+U89</f>
        <v>838975.6300000001</v>
      </c>
      <c r="R89" s="163">
        <f>R87*30.2%</f>
        <v>359239.1472</v>
      </c>
      <c r="S89" s="163">
        <f>S87*30.2%</f>
        <v>166100</v>
      </c>
      <c r="T89" s="163">
        <f>T87*30.2%</f>
        <v>162535.0108</v>
      </c>
      <c r="U89" s="163">
        <f>U87*30.2%</f>
        <v>151101.472</v>
      </c>
      <c r="V89" s="1001">
        <f>V87*30.2%-0.4</f>
        <v>1355391.00221744</v>
      </c>
      <c r="W89" s="162"/>
      <c r="X89" s="193"/>
      <c r="Y89" s="255">
        <f>V90+V85+Z89+AA89</f>
        <v>17660326.00881232</v>
      </c>
      <c r="Z89" s="178">
        <f>SUM(Z86:Z88)</f>
        <v>5843442.00293744</v>
      </c>
      <c r="AA89" s="178">
        <f>SUM(AA86:AA88)</f>
        <v>5858442.00293744</v>
      </c>
      <c r="AB89" s="1410"/>
      <c r="AC89" s="1411"/>
      <c r="AD89" s="1412"/>
      <c r="AE89" s="184">
        <v>1968169.27</v>
      </c>
      <c r="AF89" s="185">
        <v>29062.8</v>
      </c>
      <c r="AG89" s="1410"/>
      <c r="AH89" s="1412"/>
      <c r="AI89" s="186">
        <v>0.6798762048119268</v>
      </c>
      <c r="AJ89" s="152" t="s">
        <v>143</v>
      </c>
      <c r="AK89" s="171"/>
      <c r="AL89" s="171"/>
      <c r="AM89" s="38"/>
      <c r="AN89" s="38"/>
      <c r="AO89" s="38"/>
      <c r="AP89" s="38"/>
      <c r="AQ89" s="38"/>
      <c r="AR89" s="38"/>
      <c r="AS89" s="38"/>
      <c r="AT89" s="38"/>
      <c r="AU89" s="38"/>
      <c r="AV89" s="38"/>
      <c r="AW89" s="38"/>
      <c r="AX89" s="38"/>
      <c r="AY89" s="38"/>
      <c r="AZ89" s="38"/>
      <c r="BA89" s="38"/>
      <c r="BB89" s="38"/>
      <c r="BC89" s="38"/>
      <c r="BD89" s="38"/>
      <c r="BE89" s="38"/>
      <c r="BF89" s="38"/>
    </row>
    <row r="90" spans="1:58" s="173" customFormat="1" ht="12.75" customHeight="1">
      <c r="A90" s="153"/>
      <c r="B90" s="1413" t="s">
        <v>161</v>
      </c>
      <c r="C90" s="1414"/>
      <c r="D90" s="1414"/>
      <c r="E90" s="1414"/>
      <c r="F90" s="1414"/>
      <c r="G90" s="1414"/>
      <c r="H90" s="1414"/>
      <c r="I90" s="1414"/>
      <c r="J90" s="1414"/>
      <c r="K90" s="1415"/>
      <c r="L90" s="177">
        <v>843000</v>
      </c>
      <c r="M90" s="178">
        <v>717000</v>
      </c>
      <c r="N90" s="178">
        <v>538195.4</v>
      </c>
      <c r="O90" s="177">
        <v>753951</v>
      </c>
      <c r="P90" s="178">
        <v>2852146.4</v>
      </c>
      <c r="Q90" s="179">
        <f>R90+S90+T90+U90</f>
        <v>3617040.63</v>
      </c>
      <c r="R90" s="177">
        <f>R87+R89</f>
        <v>1548772.7472</v>
      </c>
      <c r="S90" s="177">
        <f>S87+S89</f>
        <v>716100</v>
      </c>
      <c r="T90" s="177">
        <f>T87+T89</f>
        <v>700730.4108</v>
      </c>
      <c r="U90" s="177">
        <f>U87+U89</f>
        <v>651437.4720000001</v>
      </c>
      <c r="V90" s="1002">
        <f>V87+V88+V89</f>
        <v>5858442.00293744</v>
      </c>
      <c r="W90" s="253">
        <v>5858442.00293744</v>
      </c>
      <c r="X90" s="254">
        <f>SUM(X87:X89)</f>
        <v>5000</v>
      </c>
      <c r="Y90" s="175"/>
      <c r="Z90" s="175"/>
      <c r="AA90" s="175"/>
      <c r="AB90" s="175"/>
      <c r="AC90" s="175"/>
      <c r="AD90" s="175"/>
      <c r="AE90" s="175"/>
      <c r="AF90" s="175"/>
      <c r="AG90" s="175"/>
      <c r="AH90" s="175"/>
      <c r="AI90" s="190"/>
      <c r="AJ90" s="152" t="s">
        <v>143</v>
      </c>
      <c r="AK90" s="171"/>
      <c r="AL90" s="171"/>
      <c r="AM90" s="38">
        <v>530000</v>
      </c>
      <c r="AN90" s="325">
        <v>1.302</v>
      </c>
      <c r="AO90" s="38"/>
      <c r="AP90" s="38"/>
      <c r="AQ90" s="38"/>
      <c r="AR90" s="38"/>
      <c r="AS90" s="38"/>
      <c r="AT90" s="38"/>
      <c r="AU90" s="38"/>
      <c r="AV90" s="38"/>
      <c r="AW90" s="38"/>
      <c r="AX90" s="38"/>
      <c r="AY90" s="38"/>
      <c r="AZ90" s="38"/>
      <c r="BA90" s="38"/>
      <c r="BB90" s="38"/>
      <c r="BC90" s="38"/>
      <c r="BD90" s="38"/>
      <c r="BE90" s="38"/>
      <c r="BF90" s="38"/>
    </row>
    <row r="91" spans="1:58" s="173" customFormat="1" ht="24" customHeight="1">
      <c r="A91" s="153"/>
      <c r="B91" s="174" t="s">
        <v>193</v>
      </c>
      <c r="C91" s="175"/>
      <c r="D91" s="175"/>
      <c r="E91" s="175"/>
      <c r="F91" s="175"/>
      <c r="G91" s="175"/>
      <c r="H91" s="175"/>
      <c r="I91" s="175"/>
      <c r="J91" s="175"/>
      <c r="K91" s="175"/>
      <c r="L91" s="175"/>
      <c r="M91" s="175"/>
      <c r="N91" s="175"/>
      <c r="O91" s="175"/>
      <c r="P91" s="175"/>
      <c r="Q91" s="175"/>
      <c r="R91" s="175"/>
      <c r="S91" s="175"/>
      <c r="T91" s="175"/>
      <c r="U91" s="175"/>
      <c r="V91" s="175"/>
      <c r="W91" s="175"/>
      <c r="X91" s="175"/>
      <c r="Y91" s="194"/>
      <c r="Z91" s="327">
        <f>130000+130000*7%</f>
        <v>139100</v>
      </c>
      <c r="AA91" s="327">
        <f>130000+130000*7%</f>
        <v>139100</v>
      </c>
      <c r="AB91" s="168"/>
      <c r="AC91" s="168"/>
      <c r="AD91" s="168"/>
      <c r="AE91" s="168">
        <v>68135.81</v>
      </c>
      <c r="AF91" s="168">
        <v>945.6</v>
      </c>
      <c r="AG91" s="168"/>
      <c r="AH91" s="169"/>
      <c r="AI91" s="170">
        <v>0.83466099378882</v>
      </c>
      <c r="AJ91" s="152" t="s">
        <v>143</v>
      </c>
      <c r="AK91" s="171"/>
      <c r="AL91" s="171"/>
      <c r="AM91" s="83">
        <f>AM90*AN91/AN90</f>
        <v>407066.05222734256</v>
      </c>
      <c r="AN91" s="328">
        <v>1</v>
      </c>
      <c r="AO91" s="38"/>
      <c r="AP91" s="38"/>
      <c r="AQ91" s="38"/>
      <c r="AR91" s="38"/>
      <c r="AS91" s="38"/>
      <c r="AT91" s="38"/>
      <c r="AU91" s="38"/>
      <c r="AV91" s="38"/>
      <c r="AW91" s="38"/>
      <c r="AX91" s="38"/>
      <c r="AY91" s="38"/>
      <c r="AZ91" s="38"/>
      <c r="BA91" s="38"/>
      <c r="BB91" s="38"/>
      <c r="BC91" s="38"/>
      <c r="BD91" s="38"/>
      <c r="BE91" s="38"/>
      <c r="BF91" s="38"/>
    </row>
    <row r="92" spans="1:58" s="173" customFormat="1" ht="42" customHeight="1">
      <c r="A92" s="153"/>
      <c r="B92" s="154" t="s">
        <v>193</v>
      </c>
      <c r="C92" s="155" t="s">
        <v>193</v>
      </c>
      <c r="D92" s="156">
        <v>656490013</v>
      </c>
      <c r="E92" s="157">
        <v>113</v>
      </c>
      <c r="F92" s="158">
        <v>656</v>
      </c>
      <c r="G92" s="250" t="s">
        <v>517</v>
      </c>
      <c r="H92" s="160" t="s">
        <v>194</v>
      </c>
      <c r="I92" s="160">
        <v>221</v>
      </c>
      <c r="J92" s="321">
        <v>28</v>
      </c>
      <c r="K92" s="162"/>
      <c r="L92" s="163">
        <v>30400</v>
      </c>
      <c r="M92" s="163">
        <v>16700</v>
      </c>
      <c r="N92" s="163">
        <v>16700</v>
      </c>
      <c r="O92" s="163">
        <v>16700</v>
      </c>
      <c r="P92" s="163">
        <v>80500</v>
      </c>
      <c r="Q92" s="167">
        <f aca="true" t="shared" si="1" ref="Q92:Q98">R92+S92+T92+U92</f>
        <v>37000</v>
      </c>
      <c r="R92" s="326">
        <v>37000</v>
      </c>
      <c r="S92" s="162"/>
      <c r="T92" s="162"/>
      <c r="U92" s="162"/>
      <c r="V92" s="327">
        <f>130000+130000*7%</f>
        <v>139100</v>
      </c>
      <c r="W92" s="163" t="s">
        <v>195</v>
      </c>
      <c r="X92" s="193"/>
      <c r="Y92" s="338"/>
      <c r="Z92" s="336">
        <f>20000+20000*7%</f>
        <v>21400</v>
      </c>
      <c r="AA92" s="336">
        <f>20000+20000*7%</f>
        <v>21400</v>
      </c>
      <c r="AB92" s="168"/>
      <c r="AC92" s="168"/>
      <c r="AD92" s="168"/>
      <c r="AE92" s="184"/>
      <c r="AF92" s="185"/>
      <c r="AG92" s="168"/>
      <c r="AH92" s="169"/>
      <c r="AI92" s="186"/>
      <c r="AJ92" s="152"/>
      <c r="AK92" s="171"/>
      <c r="AL92" s="171"/>
      <c r="AM92" s="38"/>
      <c r="AN92" s="38"/>
      <c r="AO92" s="38"/>
      <c r="AP92" s="38"/>
      <c r="AQ92" s="38"/>
      <c r="AR92" s="38"/>
      <c r="AS92" s="38"/>
      <c r="AT92" s="38"/>
      <c r="AU92" s="38"/>
      <c r="AV92" s="38"/>
      <c r="AW92" s="38"/>
      <c r="AX92" s="38"/>
      <c r="AY92" s="38"/>
      <c r="AZ92" s="38"/>
      <c r="BA92" s="38"/>
      <c r="BB92" s="38"/>
      <c r="BC92" s="38"/>
      <c r="BD92" s="38"/>
      <c r="BE92" s="38"/>
      <c r="BF92" s="38"/>
    </row>
    <row r="93" spans="1:58" s="173" customFormat="1" ht="24" customHeight="1">
      <c r="A93" s="153"/>
      <c r="B93" s="329"/>
      <c r="C93" s="174"/>
      <c r="D93" s="156"/>
      <c r="E93" s="330"/>
      <c r="F93" s="331"/>
      <c r="G93" s="250" t="s">
        <v>517</v>
      </c>
      <c r="H93" s="332"/>
      <c r="I93" s="160">
        <v>221</v>
      </c>
      <c r="J93" s="333"/>
      <c r="K93" s="249"/>
      <c r="L93" s="334"/>
      <c r="M93" s="163"/>
      <c r="N93" s="163"/>
      <c r="O93" s="334"/>
      <c r="P93" s="163"/>
      <c r="Q93" s="167">
        <f t="shared" si="1"/>
        <v>12000</v>
      </c>
      <c r="R93" s="335">
        <v>12000</v>
      </c>
      <c r="S93" s="162"/>
      <c r="T93" s="162"/>
      <c r="U93" s="162"/>
      <c r="V93" s="336">
        <f>20000+20000*7%</f>
        <v>21400</v>
      </c>
      <c r="W93" s="334" t="s">
        <v>196</v>
      </c>
      <c r="X93" s="337"/>
      <c r="Y93" s="338"/>
      <c r="Z93" s="336">
        <f>40000+40000*7%</f>
        <v>42800</v>
      </c>
      <c r="AA93" s="336">
        <f>40000+40000*7%</f>
        <v>42800</v>
      </c>
      <c r="AB93" s="168"/>
      <c r="AC93" s="168"/>
      <c r="AD93" s="168"/>
      <c r="AE93" s="184"/>
      <c r="AF93" s="185"/>
      <c r="AG93" s="168"/>
      <c r="AH93" s="169"/>
      <c r="AI93" s="186"/>
      <c r="AJ93" s="152"/>
      <c r="AK93" s="171"/>
      <c r="AL93" s="171"/>
      <c r="AM93" s="172">
        <f>V85+V90+V98+V105+V116+V130+V137+V482</f>
        <v>7696724.550937439</v>
      </c>
      <c r="AN93" s="38"/>
      <c r="AO93" s="38"/>
      <c r="AP93" s="38"/>
      <c r="AQ93" s="38"/>
      <c r="AR93" s="38"/>
      <c r="AS93" s="38"/>
      <c r="AT93" s="38"/>
      <c r="AU93" s="38"/>
      <c r="AV93" s="38"/>
      <c r="AW93" s="38"/>
      <c r="AX93" s="38"/>
      <c r="AY93" s="38"/>
      <c r="AZ93" s="38"/>
      <c r="BA93" s="38"/>
      <c r="BB93" s="38"/>
      <c r="BC93" s="38"/>
      <c r="BD93" s="38"/>
      <c r="BE93" s="38"/>
      <c r="BF93" s="38"/>
    </row>
    <row r="94" spans="1:58" s="173" customFormat="1" ht="24" customHeight="1">
      <c r="A94" s="153"/>
      <c r="B94" s="329"/>
      <c r="C94" s="174"/>
      <c r="D94" s="156"/>
      <c r="E94" s="330"/>
      <c r="F94" s="331"/>
      <c r="G94" s="250" t="s">
        <v>517</v>
      </c>
      <c r="H94" s="332"/>
      <c r="I94" s="160">
        <v>221</v>
      </c>
      <c r="J94" s="333"/>
      <c r="K94" s="249"/>
      <c r="L94" s="334"/>
      <c r="M94" s="163"/>
      <c r="N94" s="163"/>
      <c r="O94" s="334"/>
      <c r="P94" s="163"/>
      <c r="Q94" s="167">
        <f t="shared" si="1"/>
        <v>5000</v>
      </c>
      <c r="R94" s="335">
        <v>5000</v>
      </c>
      <c r="S94" s="249"/>
      <c r="T94" s="162"/>
      <c r="U94" s="249"/>
      <c r="V94" s="336">
        <f>40000+40000*7%</f>
        <v>42800</v>
      </c>
      <c r="W94" s="334" t="s">
        <v>197</v>
      </c>
      <c r="X94" s="337"/>
      <c r="Y94" s="338"/>
      <c r="Z94" s="336">
        <f>(12*12000+10000)+(12*12000+10000)*7%</f>
        <v>164780</v>
      </c>
      <c r="AA94" s="336">
        <f>(12*12000+10000)+(12*12000+10000)*7%</f>
        <v>164780</v>
      </c>
      <c r="AB94" s="168"/>
      <c r="AC94" s="168"/>
      <c r="AD94" s="168"/>
      <c r="AE94" s="184"/>
      <c r="AF94" s="185"/>
      <c r="AG94" s="168"/>
      <c r="AH94" s="169"/>
      <c r="AI94" s="186"/>
      <c r="AJ94" s="152"/>
      <c r="AK94" s="171"/>
      <c r="AL94" s="171"/>
      <c r="AM94" s="172">
        <f>AM93-V90-V482-V85</f>
        <v>1390809.9979999994</v>
      </c>
      <c r="AN94" s="38"/>
      <c r="AO94" s="38"/>
      <c r="AP94" s="38"/>
      <c r="AQ94" s="38"/>
      <c r="AR94" s="38"/>
      <c r="AS94" s="38"/>
      <c r="AT94" s="38"/>
      <c r="AU94" s="38"/>
      <c r="AV94" s="38"/>
      <c r="AW94" s="38"/>
      <c r="AX94" s="38"/>
      <c r="AY94" s="38"/>
      <c r="AZ94" s="38"/>
      <c r="BA94" s="38"/>
      <c r="BB94" s="38"/>
      <c r="BC94" s="38"/>
      <c r="BD94" s="38"/>
      <c r="BE94" s="38"/>
      <c r="BF94" s="38"/>
    </row>
    <row r="95" spans="1:58" s="173" customFormat="1" ht="24" customHeight="1">
      <c r="A95" s="153"/>
      <c r="B95" s="329"/>
      <c r="C95" s="174"/>
      <c r="D95" s="156"/>
      <c r="E95" s="330"/>
      <c r="F95" s="331"/>
      <c r="G95" s="250" t="s">
        <v>517</v>
      </c>
      <c r="H95" s="332"/>
      <c r="I95" s="160">
        <v>221</v>
      </c>
      <c r="J95" s="333"/>
      <c r="K95" s="249"/>
      <c r="L95" s="334"/>
      <c r="M95" s="163"/>
      <c r="N95" s="163"/>
      <c r="O95" s="334"/>
      <c r="P95" s="163"/>
      <c r="Q95" s="167">
        <f t="shared" si="1"/>
        <v>6000</v>
      </c>
      <c r="R95" s="335">
        <v>6000</v>
      </c>
      <c r="S95" s="249"/>
      <c r="T95" s="162"/>
      <c r="U95" s="249"/>
      <c r="V95" s="336">
        <f>(12*12000+10000)+(12*12000+10000)*7%</f>
        <v>164780</v>
      </c>
      <c r="W95" s="334" t="s">
        <v>198</v>
      </c>
      <c r="X95" s="337"/>
      <c r="Y95" s="338"/>
      <c r="Z95" s="336">
        <v>70000</v>
      </c>
      <c r="AA95" s="336">
        <v>70000</v>
      </c>
      <c r="AB95" s="168"/>
      <c r="AC95" s="168"/>
      <c r="AD95" s="168"/>
      <c r="AE95" s="184"/>
      <c r="AF95" s="185"/>
      <c r="AG95" s="168"/>
      <c r="AH95" s="169"/>
      <c r="AI95" s="186"/>
      <c r="AJ95" s="152"/>
      <c r="AK95" s="171"/>
      <c r="AL95" s="171"/>
      <c r="AM95" s="38"/>
      <c r="AN95" s="38"/>
      <c r="AO95" s="38"/>
      <c r="AP95" s="38"/>
      <c r="AQ95" s="38"/>
      <c r="AR95" s="38"/>
      <c r="AS95" s="38"/>
      <c r="AT95" s="38"/>
      <c r="AU95" s="38"/>
      <c r="AV95" s="38"/>
      <c r="AW95" s="38"/>
      <c r="AX95" s="38"/>
      <c r="AY95" s="38"/>
      <c r="AZ95" s="38"/>
      <c r="BA95" s="38"/>
      <c r="BB95" s="38"/>
      <c r="BC95" s="38"/>
      <c r="BD95" s="38"/>
      <c r="BE95" s="38"/>
      <c r="BF95" s="38"/>
    </row>
    <row r="96" spans="1:58" s="173" customFormat="1" ht="12.75" customHeight="1">
      <c r="A96" s="153"/>
      <c r="B96" s="329"/>
      <c r="C96" s="174"/>
      <c r="D96" s="156"/>
      <c r="E96" s="330"/>
      <c r="F96" s="331"/>
      <c r="G96" s="250" t="s">
        <v>517</v>
      </c>
      <c r="H96" s="332"/>
      <c r="I96" s="160">
        <v>221</v>
      </c>
      <c r="J96" s="333"/>
      <c r="K96" s="249"/>
      <c r="L96" s="334"/>
      <c r="M96" s="163"/>
      <c r="N96" s="163"/>
      <c r="O96" s="334"/>
      <c r="P96" s="163"/>
      <c r="Q96" s="167"/>
      <c r="R96" s="335"/>
      <c r="S96" s="249"/>
      <c r="T96" s="162"/>
      <c r="U96" s="249"/>
      <c r="V96" s="336">
        <v>70000</v>
      </c>
      <c r="W96" s="339" t="s">
        <v>199</v>
      </c>
      <c r="X96" s="337"/>
      <c r="Y96" s="338"/>
      <c r="Z96" s="336">
        <v>10000</v>
      </c>
      <c r="AA96" s="336">
        <v>10000</v>
      </c>
      <c r="AB96" s="168"/>
      <c r="AC96" s="168"/>
      <c r="AD96" s="168"/>
      <c r="AE96" s="184"/>
      <c r="AF96" s="185"/>
      <c r="AG96" s="168"/>
      <c r="AH96" s="169"/>
      <c r="AI96" s="186"/>
      <c r="AJ96" s="152"/>
      <c r="AK96" s="171"/>
      <c r="AL96" s="171"/>
      <c r="AM96" s="38"/>
      <c r="AN96" s="38"/>
      <c r="AO96" s="38"/>
      <c r="AP96" s="38"/>
      <c r="AQ96" s="38"/>
      <c r="AR96" s="38"/>
      <c r="AS96" s="38"/>
      <c r="AT96" s="38"/>
      <c r="AU96" s="38"/>
      <c r="AV96" s="38"/>
      <c r="AW96" s="38"/>
      <c r="AX96" s="38"/>
      <c r="AY96" s="38"/>
      <c r="AZ96" s="38"/>
      <c r="BA96" s="38"/>
      <c r="BB96" s="38"/>
      <c r="BC96" s="38"/>
      <c r="BD96" s="38"/>
      <c r="BE96" s="38"/>
      <c r="BF96" s="38"/>
    </row>
    <row r="97" spans="1:58" s="173" customFormat="1" ht="12.75" customHeight="1">
      <c r="A97" s="153"/>
      <c r="B97" s="329"/>
      <c r="C97" s="174"/>
      <c r="D97" s="156"/>
      <c r="E97" s="330"/>
      <c r="F97" s="331"/>
      <c r="G97" s="250" t="s">
        <v>517</v>
      </c>
      <c r="H97" s="332"/>
      <c r="I97" s="160">
        <v>221</v>
      </c>
      <c r="J97" s="333"/>
      <c r="K97" s="249"/>
      <c r="L97" s="334"/>
      <c r="M97" s="163"/>
      <c r="N97" s="163"/>
      <c r="O97" s="334"/>
      <c r="P97" s="163"/>
      <c r="Q97" s="167">
        <f t="shared" si="1"/>
        <v>0</v>
      </c>
      <c r="R97" s="162"/>
      <c r="S97" s="249"/>
      <c r="T97" s="162"/>
      <c r="U97" s="249"/>
      <c r="V97" s="336">
        <v>10000</v>
      </c>
      <c r="W97" s="340" t="s">
        <v>200</v>
      </c>
      <c r="X97" s="337">
        <v>0</v>
      </c>
      <c r="Y97" s="255"/>
      <c r="Z97" s="323">
        <f>SUM(Z91:Z96)/4*3</f>
        <v>336060</v>
      </c>
      <c r="AA97" s="323">
        <f>SUM(AA91:AA96)/4*3</f>
        <v>336060</v>
      </c>
      <c r="AB97" s="1410"/>
      <c r="AC97" s="1411"/>
      <c r="AD97" s="1412"/>
      <c r="AE97" s="184">
        <v>68135.81</v>
      </c>
      <c r="AF97" s="185">
        <v>945.6</v>
      </c>
      <c r="AG97" s="1410"/>
      <c r="AH97" s="1412"/>
      <c r="AI97" s="186">
        <v>0.83466099378882</v>
      </c>
      <c r="AJ97" s="152" t="s">
        <v>143</v>
      </c>
      <c r="AK97" s="171"/>
      <c r="AL97" s="171"/>
      <c r="AM97" s="38"/>
      <c r="AN97" s="38"/>
      <c r="AO97" s="38"/>
      <c r="AP97" s="38"/>
      <c r="AQ97" s="38"/>
      <c r="AR97" s="38"/>
      <c r="AS97" s="38"/>
      <c r="AT97" s="38"/>
      <c r="AU97" s="38"/>
      <c r="AV97" s="38"/>
      <c r="AW97" s="38"/>
      <c r="AX97" s="38"/>
      <c r="AY97" s="38"/>
      <c r="AZ97" s="38"/>
      <c r="BA97" s="38"/>
      <c r="BB97" s="38"/>
      <c r="BC97" s="38"/>
      <c r="BD97" s="38"/>
      <c r="BE97" s="38"/>
      <c r="BF97" s="38"/>
    </row>
    <row r="98" spans="1:58" s="173" customFormat="1" ht="12.75" customHeight="1">
      <c r="A98" s="153"/>
      <c r="B98" s="1413" t="s">
        <v>161</v>
      </c>
      <c r="C98" s="1414"/>
      <c r="D98" s="1414"/>
      <c r="E98" s="1414"/>
      <c r="F98" s="1414"/>
      <c r="G98" s="1414"/>
      <c r="H98" s="1414"/>
      <c r="I98" s="1414"/>
      <c r="J98" s="1414"/>
      <c r="K98" s="1415"/>
      <c r="L98" s="177">
        <v>30400</v>
      </c>
      <c r="M98" s="178">
        <v>16700</v>
      </c>
      <c r="N98" s="178">
        <v>16700</v>
      </c>
      <c r="O98" s="177">
        <v>16700</v>
      </c>
      <c r="P98" s="178">
        <v>80500</v>
      </c>
      <c r="Q98" s="179">
        <f t="shared" si="1"/>
        <v>60000</v>
      </c>
      <c r="R98" s="251">
        <f>SUM(R92:R97)</f>
        <v>60000</v>
      </c>
      <c r="S98" s="259">
        <f>SUM(S92:S97)</f>
        <v>0</v>
      </c>
      <c r="T98" s="251">
        <f>SUM(T92:T97)</f>
        <v>0</v>
      </c>
      <c r="U98" s="259">
        <f>SUM(U92:U97)</f>
        <v>0</v>
      </c>
      <c r="V98" s="323">
        <f>SUM(V92:V97)/4*3</f>
        <v>336060</v>
      </c>
      <c r="W98" s="253"/>
      <c r="X98" s="323"/>
      <c r="Y98" s="175"/>
      <c r="Z98" s="175"/>
      <c r="AA98" s="175"/>
      <c r="AB98" s="175"/>
      <c r="AC98" s="175"/>
      <c r="AD98" s="175"/>
      <c r="AE98" s="175"/>
      <c r="AF98" s="175"/>
      <c r="AG98" s="175"/>
      <c r="AH98" s="175"/>
      <c r="AI98" s="190"/>
      <c r="AJ98" s="152" t="s">
        <v>143</v>
      </c>
      <c r="AK98" s="171"/>
      <c r="AL98" s="171"/>
      <c r="AM98" s="38"/>
      <c r="AN98" s="38"/>
      <c r="AO98" s="38"/>
      <c r="AP98" s="38"/>
      <c r="AQ98" s="38"/>
      <c r="AR98" s="38"/>
      <c r="AS98" s="38"/>
      <c r="AT98" s="38"/>
      <c r="AU98" s="38"/>
      <c r="AV98" s="38"/>
      <c r="AW98" s="38"/>
      <c r="AX98" s="38"/>
      <c r="AY98" s="38"/>
      <c r="AZ98" s="38"/>
      <c r="BA98" s="38"/>
      <c r="BB98" s="38"/>
      <c r="BC98" s="38"/>
      <c r="BD98" s="38"/>
      <c r="BE98" s="38"/>
      <c r="BF98" s="38"/>
    </row>
    <row r="99" spans="1:58" s="355" customFormat="1" ht="12.75" customHeight="1">
      <c r="A99" s="153"/>
      <c r="B99" s="174" t="s">
        <v>201</v>
      </c>
      <c r="C99" s="175"/>
      <c r="D99" s="175"/>
      <c r="E99" s="175"/>
      <c r="F99" s="175"/>
      <c r="G99" s="175"/>
      <c r="H99" s="175"/>
      <c r="I99" s="175"/>
      <c r="J99" s="175"/>
      <c r="K99" s="175"/>
      <c r="L99" s="175"/>
      <c r="M99" s="175"/>
      <c r="N99" s="175"/>
      <c r="O99" s="175"/>
      <c r="P99" s="175"/>
      <c r="Q99" s="175"/>
      <c r="R99" s="175"/>
      <c r="S99" s="175"/>
      <c r="T99" s="175"/>
      <c r="U99" s="175"/>
      <c r="V99" s="175"/>
      <c r="W99" s="175"/>
      <c r="X99" s="175"/>
      <c r="Y99" s="348"/>
      <c r="Z99" s="346"/>
      <c r="AA99" s="346"/>
      <c r="AB99" s="349"/>
      <c r="AC99" s="349"/>
      <c r="AD99" s="349"/>
      <c r="AE99" s="349">
        <v>4200</v>
      </c>
      <c r="AF99" s="349">
        <v>1000</v>
      </c>
      <c r="AG99" s="349"/>
      <c r="AH99" s="350"/>
      <c r="AI99" s="351">
        <v>0.20198092795087824</v>
      </c>
      <c r="AJ99" s="352" t="s">
        <v>143</v>
      </c>
      <c r="AK99" s="353"/>
      <c r="AL99" s="353"/>
      <c r="AM99" s="354"/>
      <c r="AN99" s="354"/>
      <c r="AO99" s="354"/>
      <c r="AP99" s="354"/>
      <c r="AQ99" s="354"/>
      <c r="AR99" s="354"/>
      <c r="AS99" s="354"/>
      <c r="AT99" s="354"/>
      <c r="AU99" s="354"/>
      <c r="AV99" s="354"/>
      <c r="AW99" s="354"/>
      <c r="AX99" s="354"/>
      <c r="AY99" s="354"/>
      <c r="AZ99" s="354"/>
      <c r="BA99" s="354"/>
      <c r="BB99" s="354"/>
      <c r="BC99" s="354"/>
      <c r="BD99" s="354"/>
      <c r="BE99" s="354"/>
      <c r="BF99" s="354"/>
    </row>
    <row r="100" spans="1:58" s="173" customFormat="1" ht="12.75" customHeight="1">
      <c r="A100" s="341"/>
      <c r="B100" s="155" t="s">
        <v>201</v>
      </c>
      <c r="C100" s="155" t="s">
        <v>201</v>
      </c>
      <c r="D100" s="156">
        <v>656490014</v>
      </c>
      <c r="E100" s="342">
        <v>113</v>
      </c>
      <c r="F100" s="343">
        <v>656</v>
      </c>
      <c r="G100" s="250" t="s">
        <v>517</v>
      </c>
      <c r="H100" s="344" t="s">
        <v>187</v>
      </c>
      <c r="I100" s="344">
        <v>212</v>
      </c>
      <c r="J100" s="345"/>
      <c r="K100" s="251"/>
      <c r="L100" s="178">
        <v>10000</v>
      </c>
      <c r="M100" s="178">
        <v>10000</v>
      </c>
      <c r="N100" s="178">
        <v>-4156.92</v>
      </c>
      <c r="O100" s="178">
        <v>0</v>
      </c>
      <c r="P100" s="178">
        <v>15843.08</v>
      </c>
      <c r="Q100" s="167">
        <f aca="true" t="shared" si="2" ref="Q100:Q146">R100+S100+T100+U100</f>
        <v>10000</v>
      </c>
      <c r="R100" s="251">
        <v>2500</v>
      </c>
      <c r="S100" s="251">
        <v>2500</v>
      </c>
      <c r="T100" s="251">
        <v>2500</v>
      </c>
      <c r="U100" s="251">
        <v>2500</v>
      </c>
      <c r="V100" s="346">
        <v>0</v>
      </c>
      <c r="W100" s="251" t="s">
        <v>202</v>
      </c>
      <c r="X100" s="347"/>
      <c r="Y100" s="194"/>
      <c r="Z100" s="191">
        <f>185000*3.8%+185000</f>
        <v>192030</v>
      </c>
      <c r="AA100" s="191">
        <f>185000*3.8%+185000</f>
        <v>192030</v>
      </c>
      <c r="AB100" s="168"/>
      <c r="AC100" s="168"/>
      <c r="AD100" s="168"/>
      <c r="AE100" s="168">
        <v>87425.13</v>
      </c>
      <c r="AF100" s="168">
        <v>0</v>
      </c>
      <c r="AG100" s="168"/>
      <c r="AH100" s="169"/>
      <c r="AI100" s="170">
        <v>0.372354096400064</v>
      </c>
      <c r="AJ100" s="152" t="s">
        <v>143</v>
      </c>
      <c r="AK100" s="171"/>
      <c r="AL100" s="171"/>
      <c r="AM100" s="38"/>
      <c r="AN100" s="38"/>
      <c r="AO100" s="38"/>
      <c r="AP100" s="38"/>
      <c r="AQ100" s="38"/>
      <c r="AR100" s="38"/>
      <c r="AS100" s="38"/>
      <c r="AT100" s="38"/>
      <c r="AU100" s="38"/>
      <c r="AV100" s="38"/>
      <c r="AW100" s="38"/>
      <c r="AX100" s="38"/>
      <c r="AY100" s="38"/>
      <c r="AZ100" s="38"/>
      <c r="BA100" s="38"/>
      <c r="BB100" s="38"/>
      <c r="BC100" s="38"/>
      <c r="BD100" s="38"/>
      <c r="BE100" s="38"/>
      <c r="BF100" s="38"/>
    </row>
    <row r="101" spans="1:58" s="173" customFormat="1" ht="12.75" customHeight="1">
      <c r="A101" s="153"/>
      <c r="B101" s="154" t="s">
        <v>201</v>
      </c>
      <c r="C101" s="155" t="s">
        <v>201</v>
      </c>
      <c r="D101" s="156"/>
      <c r="E101" s="157">
        <v>113</v>
      </c>
      <c r="F101" s="158">
        <v>656</v>
      </c>
      <c r="G101" s="250" t="s">
        <v>517</v>
      </c>
      <c r="H101" s="160" t="s">
        <v>91</v>
      </c>
      <c r="I101" s="160">
        <v>223</v>
      </c>
      <c r="J101" s="321"/>
      <c r="K101" s="162"/>
      <c r="L101" s="163">
        <v>138000</v>
      </c>
      <c r="M101" s="163">
        <v>50600</v>
      </c>
      <c r="N101" s="163">
        <v>-4409.7</v>
      </c>
      <c r="O101" s="163">
        <v>50600</v>
      </c>
      <c r="P101" s="163">
        <v>234790.3</v>
      </c>
      <c r="Q101" s="167">
        <f t="shared" si="2"/>
        <v>60000</v>
      </c>
      <c r="R101" s="162">
        <v>60000</v>
      </c>
      <c r="S101" s="162">
        <v>0</v>
      </c>
      <c r="T101" s="162">
        <v>0</v>
      </c>
      <c r="U101" s="162">
        <v>0</v>
      </c>
      <c r="V101" s="191">
        <f>185000*3.8%+185000</f>
        <v>192030</v>
      </c>
      <c r="W101" s="162" t="s">
        <v>203</v>
      </c>
      <c r="X101" s="193"/>
      <c r="Y101" s="194"/>
      <c r="Z101" s="191">
        <f>12000+(12000*3.8%)</f>
        <v>12456</v>
      </c>
      <c r="AA101" s="191">
        <f>12000+(12000*3.8%)</f>
        <v>12456</v>
      </c>
      <c r="AB101" s="168"/>
      <c r="AC101" s="168"/>
      <c r="AD101" s="168"/>
      <c r="AE101" s="168"/>
      <c r="AF101" s="168"/>
      <c r="AG101" s="168"/>
      <c r="AH101" s="169"/>
      <c r="AI101" s="170"/>
      <c r="AJ101" s="152"/>
      <c r="AK101" s="171"/>
      <c r="AL101" s="171"/>
      <c r="AM101" s="38"/>
      <c r="AN101" s="38"/>
      <c r="AO101" s="38"/>
      <c r="AP101" s="38"/>
      <c r="AQ101" s="38"/>
      <c r="AR101" s="38"/>
      <c r="AS101" s="38"/>
      <c r="AT101" s="38"/>
      <c r="AU101" s="38"/>
      <c r="AV101" s="38"/>
      <c r="AW101" s="38"/>
      <c r="AX101" s="38"/>
      <c r="AY101" s="38"/>
      <c r="AZ101" s="38"/>
      <c r="BA101" s="38"/>
      <c r="BB101" s="38"/>
      <c r="BC101" s="38"/>
      <c r="BD101" s="38"/>
      <c r="BE101" s="38"/>
      <c r="BF101" s="38"/>
    </row>
    <row r="102" spans="1:58" s="173" customFormat="1" ht="12.75" customHeight="1">
      <c r="A102" s="153"/>
      <c r="B102" s="154"/>
      <c r="C102" s="155"/>
      <c r="D102" s="156"/>
      <c r="E102" s="157"/>
      <c r="F102" s="158"/>
      <c r="G102" s="250" t="s">
        <v>517</v>
      </c>
      <c r="H102" s="160"/>
      <c r="I102" s="160">
        <v>223</v>
      </c>
      <c r="J102" s="321"/>
      <c r="K102" s="162"/>
      <c r="L102" s="163"/>
      <c r="M102" s="163"/>
      <c r="N102" s="163"/>
      <c r="O102" s="163"/>
      <c r="P102" s="163"/>
      <c r="Q102" s="167">
        <f t="shared" si="2"/>
        <v>5000</v>
      </c>
      <c r="R102" s="162">
        <v>5000</v>
      </c>
      <c r="S102" s="162">
        <v>0</v>
      </c>
      <c r="T102" s="162">
        <v>0</v>
      </c>
      <c r="U102" s="162">
        <v>0</v>
      </c>
      <c r="V102" s="191">
        <f>12000+(12000*3.8%)</f>
        <v>12456</v>
      </c>
      <c r="W102" s="162" t="s">
        <v>204</v>
      </c>
      <c r="X102" s="193"/>
      <c r="Y102" s="194"/>
      <c r="Z102" s="191">
        <f>1500*12+(1500*12)*3.8%</f>
        <v>18684</v>
      </c>
      <c r="AA102" s="191">
        <f>1500*12+(1500*12)*3.8%</f>
        <v>18684</v>
      </c>
      <c r="AB102" s="168"/>
      <c r="AC102" s="168"/>
      <c r="AD102" s="168"/>
      <c r="AE102" s="168"/>
      <c r="AF102" s="168"/>
      <c r="AG102" s="168"/>
      <c r="AH102" s="169"/>
      <c r="AI102" s="170"/>
      <c r="AJ102" s="152"/>
      <c r="AK102" s="171"/>
      <c r="AL102" s="171"/>
      <c r="AM102" s="38"/>
      <c r="AN102" s="38"/>
      <c r="AO102" s="38"/>
      <c r="AP102" s="38"/>
      <c r="AQ102" s="38"/>
      <c r="AR102" s="38"/>
      <c r="AS102" s="38"/>
      <c r="AT102" s="38"/>
      <c r="AU102" s="38"/>
      <c r="AV102" s="38"/>
      <c r="AW102" s="38"/>
      <c r="AX102" s="38"/>
      <c r="AY102" s="38"/>
      <c r="AZ102" s="38"/>
      <c r="BA102" s="38"/>
      <c r="BB102" s="38"/>
      <c r="BC102" s="38"/>
      <c r="BD102" s="38"/>
      <c r="BE102" s="38"/>
      <c r="BF102" s="38"/>
    </row>
    <row r="103" spans="1:58" s="173" customFormat="1" ht="12.75" customHeight="1">
      <c r="A103" s="153"/>
      <c r="B103" s="154"/>
      <c r="C103" s="155"/>
      <c r="D103" s="156"/>
      <c r="E103" s="157"/>
      <c r="F103" s="158"/>
      <c r="G103" s="250" t="s">
        <v>517</v>
      </c>
      <c r="H103" s="160"/>
      <c r="I103" s="160">
        <v>223</v>
      </c>
      <c r="J103" s="321"/>
      <c r="K103" s="162"/>
      <c r="L103" s="163"/>
      <c r="M103" s="163"/>
      <c r="N103" s="163"/>
      <c r="O103" s="163"/>
      <c r="P103" s="163"/>
      <c r="Q103" s="167">
        <f t="shared" si="2"/>
        <v>10000</v>
      </c>
      <c r="R103" s="162">
        <v>10000</v>
      </c>
      <c r="S103" s="162">
        <v>0</v>
      </c>
      <c r="T103" s="162">
        <v>0</v>
      </c>
      <c r="U103" s="162">
        <v>0</v>
      </c>
      <c r="V103" s="191">
        <f>1500*12+(1500*12)*3.8%</f>
        <v>18684</v>
      </c>
      <c r="W103" s="162" t="s">
        <v>205</v>
      </c>
      <c r="X103" s="193"/>
      <c r="Y103" s="194"/>
      <c r="Z103" s="191">
        <f>45000*3.8%+45000</f>
        <v>46710</v>
      </c>
      <c r="AA103" s="191">
        <f>45000*3.8%+45000</f>
        <v>46710</v>
      </c>
      <c r="AB103" s="168"/>
      <c r="AC103" s="168"/>
      <c r="AD103" s="168"/>
      <c r="AE103" s="168"/>
      <c r="AF103" s="168"/>
      <c r="AG103" s="168"/>
      <c r="AH103" s="169"/>
      <c r="AI103" s="170"/>
      <c r="AJ103" s="152"/>
      <c r="AK103" s="171"/>
      <c r="AL103" s="171"/>
      <c r="AM103" s="38"/>
      <c r="AN103" s="38"/>
      <c r="AO103" s="38"/>
      <c r="AP103" s="38"/>
      <c r="AQ103" s="38"/>
      <c r="AR103" s="38"/>
      <c r="AS103" s="38"/>
      <c r="AT103" s="38"/>
      <c r="AU103" s="38"/>
      <c r="AV103" s="38"/>
      <c r="AW103" s="38"/>
      <c r="AX103" s="38"/>
      <c r="AY103" s="38"/>
      <c r="AZ103" s="38"/>
      <c r="BA103" s="38"/>
      <c r="BB103" s="38"/>
      <c r="BC103" s="38"/>
      <c r="BD103" s="38"/>
      <c r="BE103" s="38"/>
      <c r="BF103" s="38"/>
    </row>
    <row r="104" spans="1:58" s="173" customFormat="1" ht="12.75" customHeight="1">
      <c r="A104" s="153"/>
      <c r="B104" s="154"/>
      <c r="C104" s="155"/>
      <c r="D104" s="156"/>
      <c r="E104" s="157"/>
      <c r="F104" s="158"/>
      <c r="G104" s="250" t="s">
        <v>517</v>
      </c>
      <c r="H104" s="160"/>
      <c r="I104" s="160">
        <v>223</v>
      </c>
      <c r="J104" s="321"/>
      <c r="K104" s="162"/>
      <c r="L104" s="163"/>
      <c r="M104" s="163"/>
      <c r="N104" s="163"/>
      <c r="O104" s="163"/>
      <c r="P104" s="163"/>
      <c r="Q104" s="167">
        <f t="shared" si="2"/>
        <v>36000</v>
      </c>
      <c r="R104" s="162">
        <v>20000</v>
      </c>
      <c r="S104" s="162">
        <v>16000</v>
      </c>
      <c r="T104" s="162">
        <v>0</v>
      </c>
      <c r="U104" s="162">
        <v>0</v>
      </c>
      <c r="V104" s="191">
        <f>45000*3.8%+45000</f>
        <v>46710</v>
      </c>
      <c r="W104" s="162" t="s">
        <v>206</v>
      </c>
      <c r="X104" s="193"/>
      <c r="Y104" s="348"/>
      <c r="Z104" s="346">
        <f>(Z100+Z101+Z102+Z103)</f>
        <v>269880</v>
      </c>
      <c r="AA104" s="346">
        <f>(AA100+AA101+AA102+AA103)</f>
        <v>269880</v>
      </c>
      <c r="AB104" s="168"/>
      <c r="AC104" s="168"/>
      <c r="AD104" s="168"/>
      <c r="AE104" s="168"/>
      <c r="AF104" s="168"/>
      <c r="AG104" s="168"/>
      <c r="AH104" s="169"/>
      <c r="AI104" s="170"/>
      <c r="AJ104" s="152"/>
      <c r="AK104" s="171"/>
      <c r="AL104" s="171"/>
      <c r="AM104" s="38"/>
      <c r="AN104" s="38"/>
      <c r="AO104" s="38"/>
      <c r="AP104" s="38"/>
      <c r="AQ104" s="38"/>
      <c r="AR104" s="38"/>
      <c r="AS104" s="38"/>
      <c r="AT104" s="38"/>
      <c r="AU104" s="38"/>
      <c r="AV104" s="38"/>
      <c r="AW104" s="38"/>
      <c r="AX104" s="38"/>
      <c r="AY104" s="38"/>
      <c r="AZ104" s="38"/>
      <c r="BA104" s="38"/>
      <c r="BB104" s="38"/>
      <c r="BC104" s="38"/>
      <c r="BD104" s="38"/>
      <c r="BE104" s="38"/>
      <c r="BF104" s="38"/>
    </row>
    <row r="105" spans="1:58" s="355" customFormat="1" ht="12.75" customHeight="1">
      <c r="A105" s="356"/>
      <c r="B105" s="154"/>
      <c r="C105" s="155"/>
      <c r="D105" s="357" t="s">
        <v>207</v>
      </c>
      <c r="E105" s="342"/>
      <c r="F105" s="343"/>
      <c r="G105" s="250"/>
      <c r="H105" s="344"/>
      <c r="I105" s="344">
        <v>223</v>
      </c>
      <c r="J105" s="345"/>
      <c r="K105" s="251"/>
      <c r="L105" s="178"/>
      <c r="M105" s="178"/>
      <c r="N105" s="178"/>
      <c r="O105" s="178"/>
      <c r="P105" s="178"/>
      <c r="Q105" s="179">
        <f t="shared" si="2"/>
        <v>111000</v>
      </c>
      <c r="R105" s="346">
        <f>R101+R102+R103+R104</f>
        <v>95000</v>
      </c>
      <c r="S105" s="346">
        <f>S101+S102+S103+S104</f>
        <v>16000</v>
      </c>
      <c r="T105" s="346">
        <f>T101+T102+T103+T104</f>
        <v>0</v>
      </c>
      <c r="U105" s="346">
        <f>U101+U102+U103+U104</f>
        <v>0</v>
      </c>
      <c r="V105" s="346">
        <f>(V101+V102+V103+V104)</f>
        <v>269880</v>
      </c>
      <c r="W105" s="251"/>
      <c r="X105" s="358">
        <f>(X101+X102+X103+X104)</f>
        <v>0</v>
      </c>
      <c r="Y105" s="194"/>
      <c r="Z105" s="191">
        <v>0</v>
      </c>
      <c r="AA105" s="191">
        <v>0</v>
      </c>
      <c r="AB105" s="349"/>
      <c r="AC105" s="349"/>
      <c r="AD105" s="349"/>
      <c r="AE105" s="349"/>
      <c r="AF105" s="349"/>
      <c r="AG105" s="349"/>
      <c r="AH105" s="350"/>
      <c r="AI105" s="351"/>
      <c r="AJ105" s="352"/>
      <c r="AK105" s="353"/>
      <c r="AL105" s="353"/>
      <c r="AM105" s="354"/>
      <c r="AN105" s="354"/>
      <c r="AO105" s="354"/>
      <c r="AP105" s="354"/>
      <c r="AQ105" s="354"/>
      <c r="AR105" s="354"/>
      <c r="AS105" s="354"/>
      <c r="AT105" s="354"/>
      <c r="AU105" s="354"/>
      <c r="AV105" s="354"/>
      <c r="AW105" s="354"/>
      <c r="AX105" s="354"/>
      <c r="AY105" s="354"/>
      <c r="AZ105" s="354"/>
      <c r="BA105" s="354"/>
      <c r="BB105" s="354"/>
      <c r="BC105" s="354"/>
      <c r="BD105" s="354"/>
      <c r="BE105" s="354"/>
      <c r="BF105" s="354"/>
    </row>
    <row r="106" spans="1:58" s="173" customFormat="1" ht="12.75" customHeight="1">
      <c r="A106" s="341"/>
      <c r="B106" s="155"/>
      <c r="C106" s="155"/>
      <c r="D106" s="156"/>
      <c r="E106" s="157">
        <v>113</v>
      </c>
      <c r="F106" s="158">
        <v>656</v>
      </c>
      <c r="G106" s="250" t="s">
        <v>517</v>
      </c>
      <c r="H106" s="160" t="s">
        <v>91</v>
      </c>
      <c r="I106" s="160">
        <v>225</v>
      </c>
      <c r="J106" s="321"/>
      <c r="K106" s="162"/>
      <c r="L106" s="163">
        <v>135097</v>
      </c>
      <c r="M106" s="163">
        <v>43200</v>
      </c>
      <c r="N106" s="163">
        <v>60000</v>
      </c>
      <c r="O106" s="163">
        <v>60000</v>
      </c>
      <c r="P106" s="163">
        <v>298297</v>
      </c>
      <c r="Q106" s="167">
        <f t="shared" si="2"/>
        <v>40000</v>
      </c>
      <c r="R106" s="195">
        <v>40000</v>
      </c>
      <c r="S106" s="162"/>
      <c r="T106" s="162">
        <v>0</v>
      </c>
      <c r="U106" s="162"/>
      <c r="V106" s="191">
        <v>10000</v>
      </c>
      <c r="W106" s="162" t="s">
        <v>208</v>
      </c>
      <c r="X106" s="193">
        <v>60000</v>
      </c>
      <c r="Y106" s="194"/>
      <c r="Z106" s="191">
        <v>50000</v>
      </c>
      <c r="AA106" s="191">
        <v>50000</v>
      </c>
      <c r="AB106" s="168"/>
      <c r="AC106" s="168"/>
      <c r="AD106" s="168"/>
      <c r="AE106" s="168">
        <v>127037.93</v>
      </c>
      <c r="AF106" s="168">
        <v>0</v>
      </c>
      <c r="AG106" s="168"/>
      <c r="AH106" s="169"/>
      <c r="AI106" s="170">
        <v>0.4258773303117362</v>
      </c>
      <c r="AJ106" s="152" t="s">
        <v>143</v>
      </c>
      <c r="AK106" s="171"/>
      <c r="AL106" s="171"/>
      <c r="AM106" s="38"/>
      <c r="AN106" s="38"/>
      <c r="AO106" s="38"/>
      <c r="AP106" s="38"/>
      <c r="AQ106" s="38"/>
      <c r="AR106" s="38"/>
      <c r="AS106" s="38"/>
      <c r="AT106" s="38"/>
      <c r="AU106" s="38"/>
      <c r="AV106" s="38"/>
      <c r="AW106" s="38"/>
      <c r="AX106" s="38"/>
      <c r="AY106" s="38"/>
      <c r="AZ106" s="38"/>
      <c r="BA106" s="38"/>
      <c r="BB106" s="38"/>
      <c r="BC106" s="38"/>
      <c r="BD106" s="38"/>
      <c r="BE106" s="38"/>
      <c r="BF106" s="38"/>
    </row>
    <row r="107" spans="1:58" s="173" customFormat="1" ht="12.75" customHeight="1">
      <c r="A107" s="153"/>
      <c r="B107" s="154" t="s">
        <v>201</v>
      </c>
      <c r="C107" s="155" t="s">
        <v>201</v>
      </c>
      <c r="D107" s="156"/>
      <c r="E107" s="157"/>
      <c r="F107" s="158"/>
      <c r="G107" s="250" t="s">
        <v>517</v>
      </c>
      <c r="H107" s="160"/>
      <c r="I107" s="160">
        <v>225</v>
      </c>
      <c r="J107" s="321"/>
      <c r="K107" s="162"/>
      <c r="L107" s="163"/>
      <c r="M107" s="163"/>
      <c r="N107" s="163"/>
      <c r="O107" s="163"/>
      <c r="P107" s="163"/>
      <c r="Q107" s="167">
        <f>R107+S107+T107+U107</f>
        <v>15000</v>
      </c>
      <c r="R107" s="195">
        <v>15000</v>
      </c>
      <c r="S107" s="162"/>
      <c r="T107" s="162"/>
      <c r="U107" s="162"/>
      <c r="V107" s="191">
        <v>50000</v>
      </c>
      <c r="W107" s="162" t="s">
        <v>209</v>
      </c>
      <c r="X107" s="193"/>
      <c r="Y107" s="194"/>
      <c r="Z107" s="191">
        <f>(10690.8*4)+(7565.3*4)+(10690.8*4)+(7565.3*4)*4%</f>
        <v>116998.048</v>
      </c>
      <c r="AA107" s="191">
        <f>(10690.8*4)+(7565.3*4)+(10690.8*4)+(7565.3*4)*4%</f>
        <v>116998.048</v>
      </c>
      <c r="AB107" s="168"/>
      <c r="AC107" s="168"/>
      <c r="AD107" s="168"/>
      <c r="AE107" s="168"/>
      <c r="AF107" s="168"/>
      <c r="AG107" s="168"/>
      <c r="AH107" s="169"/>
      <c r="AI107" s="170"/>
      <c r="AJ107" s="152"/>
      <c r="AK107" s="171"/>
      <c r="AL107" s="171"/>
      <c r="AM107" s="38"/>
      <c r="AN107" s="38"/>
      <c r="AO107" s="38"/>
      <c r="AP107" s="38"/>
      <c r="AQ107" s="38"/>
      <c r="AR107" s="38"/>
      <c r="AS107" s="38"/>
      <c r="AT107" s="38"/>
      <c r="AU107" s="38"/>
      <c r="AV107" s="38"/>
      <c r="AW107" s="38"/>
      <c r="AX107" s="38"/>
      <c r="AY107" s="38"/>
      <c r="AZ107" s="38"/>
      <c r="BA107" s="38"/>
      <c r="BB107" s="38"/>
      <c r="BC107" s="38"/>
      <c r="BD107" s="38"/>
      <c r="BE107" s="38"/>
      <c r="BF107" s="38"/>
    </row>
    <row r="108" spans="1:58" s="173" customFormat="1" ht="12.75" customHeight="1">
      <c r="A108" s="153"/>
      <c r="B108" s="154"/>
      <c r="C108" s="155"/>
      <c r="D108" s="156"/>
      <c r="E108" s="157"/>
      <c r="F108" s="158"/>
      <c r="G108" s="250" t="s">
        <v>517</v>
      </c>
      <c r="H108" s="160"/>
      <c r="I108" s="160">
        <v>225</v>
      </c>
      <c r="J108" s="321"/>
      <c r="K108" s="162"/>
      <c r="L108" s="163"/>
      <c r="M108" s="163"/>
      <c r="N108" s="163"/>
      <c r="O108" s="163"/>
      <c r="P108" s="163"/>
      <c r="Q108" s="167">
        <f t="shared" si="2"/>
        <v>10000</v>
      </c>
      <c r="R108" s="195">
        <v>10000</v>
      </c>
      <c r="S108" s="162"/>
      <c r="T108" s="162"/>
      <c r="U108" s="162"/>
      <c r="V108" s="191">
        <f>(10690.8*4)+(7565.3*4)+(10690.8*4)+(7565.3*4)*4%-0.05</f>
        <v>116997.99799999999</v>
      </c>
      <c r="W108" s="162" t="s">
        <v>210</v>
      </c>
      <c r="X108" s="193"/>
      <c r="Y108" s="194"/>
      <c r="Z108" s="191">
        <v>50000</v>
      </c>
      <c r="AA108" s="191">
        <v>50000</v>
      </c>
      <c r="AB108" s="168"/>
      <c r="AC108" s="168"/>
      <c r="AD108" s="168"/>
      <c r="AE108" s="168"/>
      <c r="AF108" s="168"/>
      <c r="AG108" s="168"/>
      <c r="AH108" s="169"/>
      <c r="AI108" s="170"/>
      <c r="AJ108" s="152"/>
      <c r="AK108" s="171"/>
      <c r="AL108" s="171"/>
      <c r="AM108" s="38"/>
      <c r="AN108" s="38"/>
      <c r="AO108" s="38"/>
      <c r="AP108" s="38"/>
      <c r="AQ108" s="38"/>
      <c r="AR108" s="38"/>
      <c r="AS108" s="38"/>
      <c r="AT108" s="38"/>
      <c r="AU108" s="38"/>
      <c r="AV108" s="38"/>
      <c r="AW108" s="38"/>
      <c r="AX108" s="38"/>
      <c r="AY108" s="38"/>
      <c r="AZ108" s="38"/>
      <c r="BA108" s="38"/>
      <c r="BB108" s="38"/>
      <c r="BC108" s="38"/>
      <c r="BD108" s="38"/>
      <c r="BE108" s="38"/>
      <c r="BF108" s="38"/>
    </row>
    <row r="109" spans="1:58" s="173" customFormat="1" ht="12.75" customHeight="1">
      <c r="A109" s="153"/>
      <c r="B109" s="154"/>
      <c r="C109" s="155"/>
      <c r="D109" s="156"/>
      <c r="E109" s="157"/>
      <c r="F109" s="158"/>
      <c r="G109" s="250" t="s">
        <v>517</v>
      </c>
      <c r="H109" s="160"/>
      <c r="I109" s="160">
        <v>225</v>
      </c>
      <c r="J109" s="321">
        <f>V105+V116+V130+V137</f>
        <v>1054749.9980000001</v>
      </c>
      <c r="K109" s="162"/>
      <c r="L109" s="163"/>
      <c r="M109" s="163"/>
      <c r="N109" s="163"/>
      <c r="O109" s="163"/>
      <c r="P109" s="163"/>
      <c r="Q109" s="167">
        <f t="shared" si="2"/>
        <v>35000</v>
      </c>
      <c r="R109" s="195">
        <v>35000</v>
      </c>
      <c r="S109" s="162"/>
      <c r="T109" s="162"/>
      <c r="U109" s="162"/>
      <c r="V109" s="191">
        <v>50000</v>
      </c>
      <c r="W109" s="162" t="s">
        <v>211</v>
      </c>
      <c r="X109" s="193"/>
      <c r="Y109" s="194"/>
      <c r="Z109" s="191">
        <v>5000</v>
      </c>
      <c r="AA109" s="191">
        <v>5000</v>
      </c>
      <c r="AB109" s="168"/>
      <c r="AC109" s="168"/>
      <c r="AD109" s="168"/>
      <c r="AE109" s="168"/>
      <c r="AF109" s="168"/>
      <c r="AG109" s="168"/>
      <c r="AH109" s="169"/>
      <c r="AI109" s="170"/>
      <c r="AJ109" s="152"/>
      <c r="AK109" s="171"/>
      <c r="AL109" s="171"/>
      <c r="AM109" s="38"/>
      <c r="AN109" s="38"/>
      <c r="AO109" s="38"/>
      <c r="AP109" s="38"/>
      <c r="AQ109" s="38"/>
      <c r="AR109" s="38"/>
      <c r="AS109" s="38"/>
      <c r="AT109" s="38"/>
      <c r="AU109" s="38"/>
      <c r="AV109" s="38"/>
      <c r="AW109" s="38"/>
      <c r="AX109" s="38"/>
      <c r="AY109" s="38"/>
      <c r="AZ109" s="38"/>
      <c r="BA109" s="38"/>
      <c r="BB109" s="38"/>
      <c r="BC109" s="38"/>
      <c r="BD109" s="38"/>
      <c r="BE109" s="38"/>
      <c r="BF109" s="38"/>
    </row>
    <row r="110" spans="1:58" s="173" customFormat="1" ht="12.75" customHeight="1">
      <c r="A110" s="153"/>
      <c r="B110" s="154"/>
      <c r="C110" s="155"/>
      <c r="D110" s="156"/>
      <c r="E110" s="157"/>
      <c r="F110" s="158"/>
      <c r="G110" s="250" t="s">
        <v>517</v>
      </c>
      <c r="H110" s="160"/>
      <c r="I110" s="160">
        <v>225</v>
      </c>
      <c r="J110" s="321"/>
      <c r="K110" s="162"/>
      <c r="L110" s="163"/>
      <c r="M110" s="163"/>
      <c r="N110" s="163"/>
      <c r="O110" s="163"/>
      <c r="P110" s="163"/>
      <c r="Q110" s="167">
        <f t="shared" si="2"/>
        <v>15000</v>
      </c>
      <c r="R110" s="195">
        <v>15000</v>
      </c>
      <c r="S110" s="162"/>
      <c r="T110" s="162"/>
      <c r="U110" s="162"/>
      <c r="V110" s="191">
        <v>5000</v>
      </c>
      <c r="W110" s="162" t="s">
        <v>212</v>
      </c>
      <c r="X110" s="193"/>
      <c r="Y110" s="194"/>
      <c r="Z110" s="191">
        <f>(2525*12)+(2525*12)*4%</f>
        <v>31512</v>
      </c>
      <c r="AA110" s="191">
        <f>(2525*12)+(2525*12)*4%</f>
        <v>31512</v>
      </c>
      <c r="AB110" s="168"/>
      <c r="AC110" s="168"/>
      <c r="AD110" s="168"/>
      <c r="AE110" s="168"/>
      <c r="AF110" s="168"/>
      <c r="AG110" s="168"/>
      <c r="AH110" s="169"/>
      <c r="AI110" s="170"/>
      <c r="AJ110" s="152"/>
      <c r="AK110" s="171"/>
      <c r="AL110" s="171"/>
      <c r="AM110" s="38"/>
      <c r="AN110" s="38"/>
      <c r="AO110" s="38"/>
      <c r="AP110" s="38"/>
      <c r="AQ110" s="38"/>
      <c r="AR110" s="38"/>
      <c r="AS110" s="38"/>
      <c r="AT110" s="38"/>
      <c r="AU110" s="38"/>
      <c r="AV110" s="38"/>
      <c r="AW110" s="38"/>
      <c r="AX110" s="38"/>
      <c r="AY110" s="38"/>
      <c r="AZ110" s="38"/>
      <c r="BA110" s="38"/>
      <c r="BB110" s="38"/>
      <c r="BC110" s="38"/>
      <c r="BD110" s="38"/>
      <c r="BE110" s="38"/>
      <c r="BF110" s="38"/>
    </row>
    <row r="111" spans="1:58" s="173" customFormat="1" ht="12.75" customHeight="1">
      <c r="A111" s="153"/>
      <c r="B111" s="154"/>
      <c r="C111" s="155"/>
      <c r="D111" s="156"/>
      <c r="E111" s="157"/>
      <c r="F111" s="158"/>
      <c r="G111" s="250" t="s">
        <v>517</v>
      </c>
      <c r="H111" s="160"/>
      <c r="I111" s="160">
        <v>225</v>
      </c>
      <c r="J111" s="321"/>
      <c r="K111" s="162"/>
      <c r="L111" s="163"/>
      <c r="M111" s="163"/>
      <c r="N111" s="163"/>
      <c r="O111" s="163"/>
      <c r="P111" s="163"/>
      <c r="Q111" s="167">
        <f t="shared" si="2"/>
        <v>6000</v>
      </c>
      <c r="R111" s="195">
        <v>6000</v>
      </c>
      <c r="S111" s="162"/>
      <c r="T111" s="162"/>
      <c r="U111" s="162"/>
      <c r="V111" s="191">
        <f>(2525*12)+(2525*12)*4%</f>
        <v>31512</v>
      </c>
      <c r="W111" s="162" t="s">
        <v>213</v>
      </c>
      <c r="X111" s="193"/>
      <c r="Y111" s="194">
        <f>Z97+Z104+Z115+Z129</f>
        <v>1151398.758</v>
      </c>
      <c r="Z111" s="195"/>
      <c r="AA111" s="195"/>
      <c r="AB111" s="168"/>
      <c r="AC111" s="168"/>
      <c r="AD111" s="168"/>
      <c r="AE111" s="168"/>
      <c r="AF111" s="168"/>
      <c r="AG111" s="168"/>
      <c r="AH111" s="169"/>
      <c r="AI111" s="170"/>
      <c r="AJ111" s="152"/>
      <c r="AK111" s="171"/>
      <c r="AL111" s="171"/>
      <c r="AM111" s="38"/>
      <c r="AN111" s="38"/>
      <c r="AO111" s="38"/>
      <c r="AP111" s="38"/>
      <c r="AQ111" s="38"/>
      <c r="AR111" s="38"/>
      <c r="AS111" s="38"/>
      <c r="AT111" s="38"/>
      <c r="AU111" s="38"/>
      <c r="AV111" s="38"/>
      <c r="AW111" s="38"/>
      <c r="AX111" s="38"/>
      <c r="AY111" s="38"/>
      <c r="AZ111" s="38"/>
      <c r="BA111" s="38"/>
      <c r="BB111" s="38"/>
      <c r="BC111" s="38"/>
      <c r="BD111" s="38"/>
      <c r="BE111" s="38"/>
      <c r="BF111" s="38"/>
    </row>
    <row r="112" spans="1:58" s="173" customFormat="1" ht="12.75" customHeight="1">
      <c r="A112" s="153"/>
      <c r="B112" s="154"/>
      <c r="C112" s="155"/>
      <c r="D112" s="156"/>
      <c r="E112" s="157"/>
      <c r="F112" s="158"/>
      <c r="G112" s="250" t="s">
        <v>517</v>
      </c>
      <c r="H112" s="160"/>
      <c r="I112" s="160">
        <v>225</v>
      </c>
      <c r="J112" s="321"/>
      <c r="K112" s="162"/>
      <c r="L112" s="163"/>
      <c r="M112" s="163"/>
      <c r="N112" s="163"/>
      <c r="O112" s="163"/>
      <c r="P112" s="163"/>
      <c r="Q112" s="167">
        <f>R112+S112+T112+U112</f>
        <v>66000</v>
      </c>
      <c r="R112" s="195">
        <v>66000</v>
      </c>
      <c r="S112" s="162"/>
      <c r="T112" s="162"/>
      <c r="U112" s="162"/>
      <c r="V112" s="195"/>
      <c r="W112" s="162">
        <f>V98+V105+V116+V130+V137</f>
        <v>1390809.9980000001</v>
      </c>
      <c r="X112" s="193"/>
      <c r="Y112" s="194">
        <f>AA97+AA104+AA115+AA129</f>
        <v>1313131.758</v>
      </c>
      <c r="Z112" s="195"/>
      <c r="AA112" s="195"/>
      <c r="AB112" s="168"/>
      <c r="AC112" s="168"/>
      <c r="AD112" s="168"/>
      <c r="AE112" s="168"/>
      <c r="AF112" s="168"/>
      <c r="AG112" s="168"/>
      <c r="AH112" s="169"/>
      <c r="AI112" s="170"/>
      <c r="AJ112" s="152"/>
      <c r="AK112" s="171"/>
      <c r="AL112" s="171"/>
      <c r="AM112" s="38"/>
      <c r="AN112" s="38"/>
      <c r="AO112" s="38"/>
      <c r="AP112" s="38"/>
      <c r="AQ112" s="38"/>
      <c r="AR112" s="38"/>
      <c r="AS112" s="38"/>
      <c r="AT112" s="38"/>
      <c r="AU112" s="38"/>
      <c r="AV112" s="38"/>
      <c r="AW112" s="38"/>
      <c r="AX112" s="38"/>
      <c r="AY112" s="38"/>
      <c r="AZ112" s="38"/>
      <c r="BA112" s="38"/>
      <c r="BB112" s="38"/>
      <c r="BC112" s="38"/>
      <c r="BD112" s="38"/>
      <c r="BE112" s="38"/>
      <c r="BF112" s="38"/>
    </row>
    <row r="113" spans="1:58" s="173" customFormat="1" ht="12.75" customHeight="1">
      <c r="A113" s="153"/>
      <c r="B113" s="154"/>
      <c r="C113" s="155"/>
      <c r="D113" s="156"/>
      <c r="E113" s="157"/>
      <c r="F113" s="158"/>
      <c r="G113" s="250" t="s">
        <v>517</v>
      </c>
      <c r="H113" s="160"/>
      <c r="I113" s="160">
        <v>225</v>
      </c>
      <c r="J113" s="321"/>
      <c r="K113" s="162"/>
      <c r="L113" s="163"/>
      <c r="M113" s="163"/>
      <c r="N113" s="163"/>
      <c r="O113" s="163"/>
      <c r="P113" s="163"/>
      <c r="Q113" s="167">
        <f t="shared" si="2"/>
        <v>15000</v>
      </c>
      <c r="R113" s="195">
        <v>15000</v>
      </c>
      <c r="S113" s="162"/>
      <c r="T113" s="162"/>
      <c r="U113" s="162"/>
      <c r="V113" s="195"/>
      <c r="W113" s="162"/>
      <c r="X113" s="193"/>
      <c r="Y113" s="194">
        <f>W112+Y111+Y112</f>
        <v>3855340.514</v>
      </c>
      <c r="Z113" s="191">
        <f>5000*12</f>
        <v>60000</v>
      </c>
      <c r="AA113" s="191">
        <f>5000*12</f>
        <v>60000</v>
      </c>
      <c r="AB113" s="168"/>
      <c r="AC113" s="168"/>
      <c r="AD113" s="168"/>
      <c r="AE113" s="168"/>
      <c r="AF113" s="168"/>
      <c r="AG113" s="168"/>
      <c r="AH113" s="169"/>
      <c r="AI113" s="170"/>
      <c r="AJ113" s="152"/>
      <c r="AK113" s="171"/>
      <c r="AL113" s="171"/>
      <c r="AM113" s="38"/>
      <c r="AN113" s="38"/>
      <c r="AO113" s="38"/>
      <c r="AP113" s="38"/>
      <c r="AQ113" s="38"/>
      <c r="AR113" s="38"/>
      <c r="AS113" s="38"/>
      <c r="AT113" s="38"/>
      <c r="AU113" s="38"/>
      <c r="AV113" s="38"/>
      <c r="AW113" s="38"/>
      <c r="AX113" s="38"/>
      <c r="AY113" s="38"/>
      <c r="AZ113" s="38"/>
      <c r="BA113" s="38"/>
      <c r="BB113" s="38"/>
      <c r="BC113" s="38"/>
      <c r="BD113" s="38"/>
      <c r="BE113" s="38"/>
      <c r="BF113" s="38"/>
    </row>
    <row r="114" spans="1:58" s="173" customFormat="1" ht="12.75" customHeight="1">
      <c r="A114" s="153"/>
      <c r="B114" s="154"/>
      <c r="C114" s="155"/>
      <c r="D114" s="156"/>
      <c r="E114" s="157"/>
      <c r="F114" s="158"/>
      <c r="G114" s="250" t="s">
        <v>517</v>
      </c>
      <c r="H114" s="160"/>
      <c r="I114" s="160">
        <v>225</v>
      </c>
      <c r="J114" s="321"/>
      <c r="K114" s="162"/>
      <c r="L114" s="163"/>
      <c r="M114" s="163"/>
      <c r="N114" s="163"/>
      <c r="O114" s="163"/>
      <c r="P114" s="163"/>
      <c r="Q114" s="167">
        <f>R114+S114+T114+U114</f>
        <v>66000</v>
      </c>
      <c r="R114" s="195">
        <v>66000</v>
      </c>
      <c r="S114" s="162"/>
      <c r="T114" s="162"/>
      <c r="U114" s="162"/>
      <c r="V114" s="191"/>
      <c r="W114" s="162" t="s">
        <v>214</v>
      </c>
      <c r="X114" s="193"/>
      <c r="Y114" s="194"/>
      <c r="Z114" s="191">
        <v>60000</v>
      </c>
      <c r="AA114" s="191">
        <v>60000</v>
      </c>
      <c r="AB114" s="168"/>
      <c r="AC114" s="168"/>
      <c r="AD114" s="168"/>
      <c r="AE114" s="168"/>
      <c r="AF114" s="168"/>
      <c r="AG114" s="168"/>
      <c r="AH114" s="169"/>
      <c r="AI114" s="170"/>
      <c r="AJ114" s="152"/>
      <c r="AK114" s="171"/>
      <c r="AL114" s="171"/>
      <c r="AM114" s="38"/>
      <c r="AN114" s="38"/>
      <c r="AO114" s="38"/>
      <c r="AP114" s="38"/>
      <c r="AQ114" s="38"/>
      <c r="AR114" s="38"/>
      <c r="AS114" s="38"/>
      <c r="AT114" s="38"/>
      <c r="AU114" s="38"/>
      <c r="AV114" s="38"/>
      <c r="AW114" s="38"/>
      <c r="AX114" s="38"/>
      <c r="AY114" s="38"/>
      <c r="AZ114" s="38"/>
      <c r="BA114" s="38"/>
      <c r="BB114" s="38"/>
      <c r="BC114" s="38"/>
      <c r="BD114" s="38"/>
      <c r="BE114" s="38"/>
      <c r="BF114" s="38"/>
    </row>
    <row r="115" spans="1:58" s="173" customFormat="1" ht="12.75" customHeight="1">
      <c r="A115" s="153"/>
      <c r="B115" s="154"/>
      <c r="C115" s="155"/>
      <c r="D115" s="156"/>
      <c r="E115" s="157"/>
      <c r="F115" s="158"/>
      <c r="G115" s="250" t="s">
        <v>517</v>
      </c>
      <c r="H115" s="160"/>
      <c r="I115" s="160">
        <v>225</v>
      </c>
      <c r="J115" s="321"/>
      <c r="K115" s="162"/>
      <c r="L115" s="163"/>
      <c r="M115" s="163"/>
      <c r="N115" s="163"/>
      <c r="O115" s="163"/>
      <c r="P115" s="163"/>
      <c r="Q115" s="167">
        <f>R115+S115+T115+U115</f>
        <v>15000</v>
      </c>
      <c r="R115" s="195">
        <v>15000</v>
      </c>
      <c r="S115" s="162"/>
      <c r="T115" s="162"/>
      <c r="U115" s="162"/>
      <c r="V115" s="191">
        <v>60000</v>
      </c>
      <c r="W115" s="162" t="s">
        <v>215</v>
      </c>
      <c r="X115" s="193">
        <v>60000</v>
      </c>
      <c r="Y115" s="348"/>
      <c r="Z115" s="346">
        <f>Z105+Z106+Z107+Z108+Z109+Z111+Z112+Z110+Z113+Z114</f>
        <v>373510.048</v>
      </c>
      <c r="AA115" s="346">
        <f>AA105+AA106+AA107+AA108+AA109+AA111+AA112+AA110+AA113+AA114</f>
        <v>373510.048</v>
      </c>
      <c r="AB115" s="168"/>
      <c r="AC115" s="168"/>
      <c r="AD115" s="168"/>
      <c r="AE115" s="168"/>
      <c r="AF115" s="168"/>
      <c r="AG115" s="168"/>
      <c r="AH115" s="169"/>
      <c r="AI115" s="170"/>
      <c r="AJ115" s="152"/>
      <c r="AK115" s="171"/>
      <c r="AL115" s="171"/>
      <c r="AM115" s="38"/>
      <c r="AN115" s="38"/>
      <c r="AO115" s="38"/>
      <c r="AP115" s="38"/>
      <c r="AQ115" s="38"/>
      <c r="AR115" s="38"/>
      <c r="AS115" s="38"/>
      <c r="AT115" s="38"/>
      <c r="AU115" s="38"/>
      <c r="AV115" s="38"/>
      <c r="AW115" s="38"/>
      <c r="AX115" s="38"/>
      <c r="AY115" s="38"/>
      <c r="AZ115" s="38"/>
      <c r="BA115" s="38"/>
      <c r="BB115" s="38"/>
      <c r="BC115" s="38"/>
      <c r="BD115" s="38"/>
      <c r="BE115" s="38"/>
      <c r="BF115" s="38"/>
    </row>
    <row r="116" spans="1:58" s="355" customFormat="1" ht="11.25" customHeight="1">
      <c r="A116" s="153"/>
      <c r="B116" s="154"/>
      <c r="C116" s="155"/>
      <c r="D116" s="357" t="s">
        <v>216</v>
      </c>
      <c r="E116" s="342"/>
      <c r="F116" s="343"/>
      <c r="G116" s="250"/>
      <c r="H116" s="344"/>
      <c r="I116" s="344"/>
      <c r="J116" s="345"/>
      <c r="K116" s="251"/>
      <c r="L116" s="178"/>
      <c r="M116" s="178"/>
      <c r="N116" s="178"/>
      <c r="O116" s="178"/>
      <c r="P116" s="178"/>
      <c r="Q116" s="179">
        <f t="shared" si="2"/>
        <v>202000</v>
      </c>
      <c r="R116" s="346">
        <f>R106+R107+R108+R109+R110+R112+R113+R111</f>
        <v>202000</v>
      </c>
      <c r="S116" s="346">
        <f>S106+S107+S108+S109+S110+S112+S113+S111</f>
        <v>0</v>
      </c>
      <c r="T116" s="346">
        <f>T106+T107+T108+T109+T110+T112+T113+T111</f>
        <v>0</v>
      </c>
      <c r="U116" s="346">
        <f>U106+U107+U108+U109+U110+U112+U113+U111</f>
        <v>0</v>
      </c>
      <c r="V116" s="346">
        <f>V106+V107+V108+V109+V110+V112+V113+V111+V114+V115</f>
        <v>323509.998</v>
      </c>
      <c r="W116" s="251"/>
      <c r="X116" s="358">
        <v>180000</v>
      </c>
      <c r="Y116" s="194"/>
      <c r="Z116" s="191">
        <v>171948.71</v>
      </c>
      <c r="AA116" s="191">
        <v>200000</v>
      </c>
      <c r="AB116" s="349"/>
      <c r="AC116" s="349"/>
      <c r="AD116" s="349"/>
      <c r="AE116" s="349"/>
      <c r="AF116" s="349"/>
      <c r="AG116" s="349"/>
      <c r="AH116" s="350"/>
      <c r="AI116" s="351"/>
      <c r="AJ116" s="352"/>
      <c r="AK116" s="353"/>
      <c r="AL116" s="353"/>
      <c r="AM116" s="354"/>
      <c r="AN116" s="354"/>
      <c r="AO116" s="354"/>
      <c r="AP116" s="354"/>
      <c r="AQ116" s="354"/>
      <c r="AR116" s="354"/>
      <c r="AS116" s="354"/>
      <c r="AT116" s="354"/>
      <c r="AU116" s="354"/>
      <c r="AV116" s="354"/>
      <c r="AW116" s="354"/>
      <c r="AX116" s="354"/>
      <c r="AY116" s="354"/>
      <c r="AZ116" s="354"/>
      <c r="BA116" s="354"/>
      <c r="BB116" s="354"/>
      <c r="BC116" s="354"/>
      <c r="BD116" s="354"/>
      <c r="BE116" s="354"/>
      <c r="BF116" s="354"/>
    </row>
    <row r="117" spans="1:58" s="173" customFormat="1" ht="22.5" customHeight="1">
      <c r="A117" s="341"/>
      <c r="B117" s="155"/>
      <c r="C117" s="155"/>
      <c r="D117" s="156"/>
      <c r="E117" s="157">
        <v>113</v>
      </c>
      <c r="F117" s="158">
        <v>656</v>
      </c>
      <c r="G117" s="250" t="s">
        <v>517</v>
      </c>
      <c r="H117" s="160" t="s">
        <v>91</v>
      </c>
      <c r="I117" s="160">
        <v>226</v>
      </c>
      <c r="J117" s="321"/>
      <c r="K117" s="162"/>
      <c r="L117" s="163">
        <v>140000</v>
      </c>
      <c r="M117" s="163">
        <v>50000</v>
      </c>
      <c r="N117" s="163">
        <v>75682.07</v>
      </c>
      <c r="O117" s="163">
        <v>6040</v>
      </c>
      <c r="P117" s="163">
        <v>271722.07</v>
      </c>
      <c r="Q117" s="167">
        <f t="shared" si="2"/>
        <v>70000</v>
      </c>
      <c r="R117" s="195">
        <v>70000</v>
      </c>
      <c r="S117" s="162"/>
      <c r="T117" s="162"/>
      <c r="U117" s="162">
        <v>0</v>
      </c>
      <c r="V117" s="191">
        <f>200000-20000</f>
        <v>180000</v>
      </c>
      <c r="W117" s="163" t="s">
        <v>217</v>
      </c>
      <c r="X117" s="193">
        <f>781000-774162</f>
        <v>6838</v>
      </c>
      <c r="Y117" s="163" t="s">
        <v>217</v>
      </c>
      <c r="Z117" s="191"/>
      <c r="AA117" s="195"/>
      <c r="AB117" s="168"/>
      <c r="AC117" s="168"/>
      <c r="AD117" s="168"/>
      <c r="AE117" s="168">
        <v>266022.71</v>
      </c>
      <c r="AF117" s="168">
        <v>0</v>
      </c>
      <c r="AG117" s="168"/>
      <c r="AH117" s="169"/>
      <c r="AI117" s="170">
        <v>0.9790250383415676</v>
      </c>
      <c r="AJ117" s="152" t="s">
        <v>143</v>
      </c>
      <c r="AK117" s="171"/>
      <c r="AL117" s="171"/>
      <c r="AM117" s="38"/>
      <c r="AN117" s="38"/>
      <c r="AO117" s="38"/>
      <c r="AP117" s="38"/>
      <c r="AQ117" s="38"/>
      <c r="AR117" s="38"/>
      <c r="AS117" s="38"/>
      <c r="AT117" s="38"/>
      <c r="AU117" s="38"/>
      <c r="AV117" s="38"/>
      <c r="AW117" s="38"/>
      <c r="AX117" s="38"/>
      <c r="AY117" s="38"/>
      <c r="AZ117" s="38"/>
      <c r="BA117" s="38"/>
      <c r="BB117" s="38"/>
      <c r="BC117" s="38"/>
      <c r="BD117" s="38"/>
      <c r="BE117" s="38"/>
      <c r="BF117" s="38"/>
    </row>
    <row r="118" spans="1:58" s="173" customFormat="1" ht="12.75" customHeight="1">
      <c r="A118" s="153"/>
      <c r="B118" s="154" t="s">
        <v>201</v>
      </c>
      <c r="C118" s="155" t="s">
        <v>201</v>
      </c>
      <c r="D118" s="156"/>
      <c r="E118" s="157"/>
      <c r="F118" s="158"/>
      <c r="G118" s="250" t="s">
        <v>517</v>
      </c>
      <c r="H118" s="160"/>
      <c r="I118" s="160">
        <v>226</v>
      </c>
      <c r="J118" s="321"/>
      <c r="K118" s="162"/>
      <c r="L118" s="163"/>
      <c r="M118" s="163"/>
      <c r="N118" s="163"/>
      <c r="O118" s="163"/>
      <c r="P118" s="163"/>
      <c r="Q118" s="167">
        <f t="shared" si="2"/>
        <v>11400</v>
      </c>
      <c r="R118" s="162">
        <v>11400</v>
      </c>
      <c r="S118" s="162"/>
      <c r="T118" s="162">
        <v>0</v>
      </c>
      <c r="U118" s="162"/>
      <c r="V118" s="191"/>
      <c r="W118" s="163"/>
      <c r="X118" s="193">
        <v>30000</v>
      </c>
      <c r="Y118" s="194" t="s">
        <v>698</v>
      </c>
      <c r="Z118" s="191"/>
      <c r="AA118" s="191">
        <f>100000+4321.71</f>
        <v>104321.71</v>
      </c>
      <c r="AB118" s="168"/>
      <c r="AC118" s="168"/>
      <c r="AD118" s="168"/>
      <c r="AE118" s="168"/>
      <c r="AF118" s="168"/>
      <c r="AG118" s="168"/>
      <c r="AH118" s="169"/>
      <c r="AI118" s="170"/>
      <c r="AJ118" s="152"/>
      <c r="AK118" s="171"/>
      <c r="AL118" s="171"/>
      <c r="AM118" s="38"/>
      <c r="AN118" s="38"/>
      <c r="AO118" s="38"/>
      <c r="AP118" s="38"/>
      <c r="AQ118" s="38"/>
      <c r="AR118" s="38"/>
      <c r="AS118" s="38"/>
      <c r="AT118" s="38"/>
      <c r="AU118" s="38"/>
      <c r="AV118" s="38"/>
      <c r="AW118" s="38"/>
      <c r="AX118" s="38"/>
      <c r="AY118" s="38"/>
      <c r="AZ118" s="38"/>
      <c r="BA118" s="38"/>
      <c r="BB118" s="38"/>
      <c r="BC118" s="38"/>
      <c r="BD118" s="38"/>
      <c r="BE118" s="38"/>
      <c r="BF118" s="38"/>
    </row>
    <row r="119" spans="1:58" s="173" customFormat="1" ht="12.75" customHeight="1">
      <c r="A119" s="153"/>
      <c r="B119" s="154"/>
      <c r="C119" s="155"/>
      <c r="D119" s="156"/>
      <c r="E119" s="157"/>
      <c r="F119" s="158"/>
      <c r="G119" s="250" t="s">
        <v>517</v>
      </c>
      <c r="H119" s="160"/>
      <c r="I119" s="160">
        <v>226</v>
      </c>
      <c r="J119" s="321"/>
      <c r="K119" s="162"/>
      <c r="L119" s="163"/>
      <c r="M119" s="163"/>
      <c r="N119" s="163"/>
      <c r="O119" s="163"/>
      <c r="P119" s="163"/>
      <c r="Q119" s="167">
        <f t="shared" si="2"/>
        <v>8000</v>
      </c>
      <c r="R119" s="162">
        <v>8000</v>
      </c>
      <c r="S119" s="162">
        <v>0</v>
      </c>
      <c r="T119" s="162">
        <v>0</v>
      </c>
      <c r="U119" s="162">
        <v>0</v>
      </c>
      <c r="V119" s="191">
        <v>100000</v>
      </c>
      <c r="W119" s="163" t="s">
        <v>218</v>
      </c>
      <c r="X119" s="193">
        <v>100000</v>
      </c>
      <c r="Y119" s="163" t="s">
        <v>218</v>
      </c>
      <c r="Z119" s="191"/>
      <c r="AA119" s="191">
        <v>29360</v>
      </c>
      <c r="AB119" s="168"/>
      <c r="AC119" s="168"/>
      <c r="AD119" s="168"/>
      <c r="AE119" s="168"/>
      <c r="AF119" s="168"/>
      <c r="AG119" s="168"/>
      <c r="AH119" s="169"/>
      <c r="AI119" s="170"/>
      <c r="AJ119" s="152"/>
      <c r="AK119" s="171"/>
      <c r="AL119" s="171"/>
      <c r="AM119" s="38" t="s">
        <v>689</v>
      </c>
      <c r="AN119" s="38"/>
      <c r="AO119" s="38"/>
      <c r="AP119" s="38"/>
      <c r="AQ119" s="38"/>
      <c r="AR119" s="38"/>
      <c r="AS119" s="38"/>
      <c r="AT119" s="38"/>
      <c r="AU119" s="38"/>
      <c r="AV119" s="38"/>
      <c r="AW119" s="38"/>
      <c r="AX119" s="38"/>
      <c r="AY119" s="38"/>
      <c r="AZ119" s="38"/>
      <c r="BA119" s="38"/>
      <c r="BB119" s="38"/>
      <c r="BC119" s="38"/>
      <c r="BD119" s="38"/>
      <c r="BE119" s="38"/>
      <c r="BF119" s="38"/>
    </row>
    <row r="120" spans="1:58" s="173" customFormat="1" ht="12.75" customHeight="1">
      <c r="A120" s="153"/>
      <c r="B120" s="154"/>
      <c r="C120" s="155"/>
      <c r="D120" s="156"/>
      <c r="E120" s="157"/>
      <c r="F120" s="158"/>
      <c r="G120" s="250" t="s">
        <v>517</v>
      </c>
      <c r="H120" s="160"/>
      <c r="I120" s="160">
        <v>226</v>
      </c>
      <c r="J120" s="321"/>
      <c r="K120" s="162"/>
      <c r="L120" s="163"/>
      <c r="M120" s="163"/>
      <c r="N120" s="163"/>
      <c r="O120" s="163"/>
      <c r="P120" s="163"/>
      <c r="Q120" s="167">
        <f t="shared" si="2"/>
        <v>9000</v>
      </c>
      <c r="R120" s="162">
        <v>2250</v>
      </c>
      <c r="S120" s="162">
        <v>2250</v>
      </c>
      <c r="T120" s="162">
        <v>2250</v>
      </c>
      <c r="U120" s="162">
        <v>2250</v>
      </c>
      <c r="V120" s="191">
        <f>5000*4</f>
        <v>20000</v>
      </c>
      <c r="W120" s="163" t="s">
        <v>219</v>
      </c>
      <c r="X120" s="193">
        <v>20000</v>
      </c>
      <c r="Y120" s="194" t="s">
        <v>696</v>
      </c>
      <c r="Z120" s="191"/>
      <c r="AA120" s="191"/>
      <c r="AB120" s="168"/>
      <c r="AC120" s="168"/>
      <c r="AD120" s="168"/>
      <c r="AE120" s="168"/>
      <c r="AF120" s="168"/>
      <c r="AG120" s="168"/>
      <c r="AH120" s="169"/>
      <c r="AI120" s="170"/>
      <c r="AJ120" s="152"/>
      <c r="AK120" s="171"/>
      <c r="AL120" s="171"/>
      <c r="AM120" s="38"/>
      <c r="AN120" s="38"/>
      <c r="AO120" s="38"/>
      <c r="AP120" s="38"/>
      <c r="AQ120" s="38"/>
      <c r="AR120" s="38"/>
      <c r="AS120" s="38"/>
      <c r="AT120" s="38"/>
      <c r="AU120" s="38"/>
      <c r="AV120" s="38"/>
      <c r="AW120" s="38"/>
      <c r="AX120" s="38"/>
      <c r="AY120" s="38"/>
      <c r="AZ120" s="38"/>
      <c r="BA120" s="38"/>
      <c r="BB120" s="38"/>
      <c r="BC120" s="38"/>
      <c r="BD120" s="38"/>
      <c r="BE120" s="38"/>
      <c r="BF120" s="38"/>
    </row>
    <row r="121" spans="1:58" s="173" customFormat="1" ht="12.75" customHeight="1">
      <c r="A121" s="153"/>
      <c r="B121" s="154"/>
      <c r="C121" s="155"/>
      <c r="D121" s="156"/>
      <c r="E121" s="157"/>
      <c r="F121" s="158"/>
      <c r="G121" s="250" t="s">
        <v>517</v>
      </c>
      <c r="H121" s="160"/>
      <c r="I121" s="160">
        <v>226</v>
      </c>
      <c r="J121" s="321"/>
      <c r="K121" s="162"/>
      <c r="L121" s="163"/>
      <c r="M121" s="163"/>
      <c r="N121" s="163"/>
      <c r="O121" s="163"/>
      <c r="P121" s="163"/>
      <c r="Q121" s="167">
        <f t="shared" si="2"/>
        <v>6000</v>
      </c>
      <c r="R121" s="162">
        <v>6000</v>
      </c>
      <c r="S121" s="162"/>
      <c r="T121" s="162"/>
      <c r="U121" s="162"/>
      <c r="V121" s="191">
        <v>15360</v>
      </c>
      <c r="W121" s="162" t="s">
        <v>220</v>
      </c>
      <c r="X121" s="193">
        <v>299162</v>
      </c>
      <c r="Y121" s="574" t="s">
        <v>693</v>
      </c>
      <c r="Z121" s="191"/>
      <c r="AA121" s="191"/>
      <c r="AB121" s="168"/>
      <c r="AC121" s="168"/>
      <c r="AD121" s="168"/>
      <c r="AE121" s="168"/>
      <c r="AF121" s="168"/>
      <c r="AG121" s="168"/>
      <c r="AH121" s="169"/>
      <c r="AI121" s="170"/>
      <c r="AJ121" s="152"/>
      <c r="AK121" s="171"/>
      <c r="AL121" s="171"/>
      <c r="AM121" s="38"/>
      <c r="AN121" s="38"/>
      <c r="AO121" s="38"/>
      <c r="AP121" s="38"/>
      <c r="AQ121" s="38"/>
      <c r="AR121" s="38"/>
      <c r="AS121" s="38"/>
      <c r="AT121" s="38"/>
      <c r="AU121" s="38"/>
      <c r="AV121" s="38"/>
      <c r="AW121" s="38"/>
      <c r="AX121" s="38"/>
      <c r="AY121" s="38"/>
      <c r="AZ121" s="38"/>
      <c r="BA121" s="38"/>
      <c r="BB121" s="38"/>
      <c r="BC121" s="38"/>
      <c r="BD121" s="38"/>
      <c r="BE121" s="38"/>
      <c r="BF121" s="38"/>
    </row>
    <row r="122" spans="1:58" s="173" customFormat="1" ht="12.75" customHeight="1">
      <c r="A122" s="153"/>
      <c r="B122" s="154"/>
      <c r="C122" s="155"/>
      <c r="D122" s="156"/>
      <c r="E122" s="157"/>
      <c r="F122" s="158"/>
      <c r="G122" s="250" t="s">
        <v>517</v>
      </c>
      <c r="H122" s="160"/>
      <c r="I122" s="160">
        <v>226</v>
      </c>
      <c r="J122" s="321"/>
      <c r="K122" s="162"/>
      <c r="L122" s="163"/>
      <c r="M122" s="163"/>
      <c r="N122" s="163"/>
      <c r="O122" s="163"/>
      <c r="P122" s="163"/>
      <c r="Q122" s="167">
        <f t="shared" si="2"/>
        <v>30000</v>
      </c>
      <c r="R122" s="162">
        <v>30000</v>
      </c>
      <c r="S122" s="162">
        <v>0</v>
      </c>
      <c r="T122" s="162"/>
      <c r="U122" s="162"/>
      <c r="V122" s="191">
        <v>53000</v>
      </c>
      <c r="W122" s="162" t="s">
        <v>221</v>
      </c>
      <c r="X122" s="193">
        <v>100000</v>
      </c>
      <c r="Y122" s="574" t="s">
        <v>695</v>
      </c>
      <c r="Z122" s="191"/>
      <c r="AA122" s="191"/>
      <c r="AB122" s="168"/>
      <c r="AC122" s="168"/>
      <c r="AD122" s="168"/>
      <c r="AE122" s="168"/>
      <c r="AF122" s="168"/>
      <c r="AG122" s="168"/>
      <c r="AH122" s="169"/>
      <c r="AI122" s="170"/>
      <c r="AJ122" s="152"/>
      <c r="AK122" s="171"/>
      <c r="AL122" s="171"/>
      <c r="AM122" s="38"/>
      <c r="AN122" s="38"/>
      <c r="AO122" s="38"/>
      <c r="AP122" s="38"/>
      <c r="AQ122" s="38"/>
      <c r="AR122" s="38"/>
      <c r="AS122" s="38"/>
      <c r="AT122" s="38"/>
      <c r="AU122" s="38"/>
      <c r="AV122" s="38"/>
      <c r="AW122" s="38"/>
      <c r="AX122" s="38"/>
      <c r="AY122" s="38"/>
      <c r="AZ122" s="38"/>
      <c r="BA122" s="38"/>
      <c r="BB122" s="38"/>
      <c r="BC122" s="38"/>
      <c r="BD122" s="38"/>
      <c r="BE122" s="38"/>
      <c r="BF122" s="38"/>
    </row>
    <row r="123" spans="1:58" s="173" customFormat="1" ht="12.75" customHeight="1">
      <c r="A123" s="153"/>
      <c r="B123" s="154"/>
      <c r="C123" s="155"/>
      <c r="D123" s="156"/>
      <c r="E123" s="157"/>
      <c r="F123" s="158"/>
      <c r="G123" s="250" t="s">
        <v>517</v>
      </c>
      <c r="H123" s="160"/>
      <c r="I123" s="160">
        <v>226</v>
      </c>
      <c r="J123" s="321"/>
      <c r="K123" s="162"/>
      <c r="L123" s="163"/>
      <c r="M123" s="163"/>
      <c r="N123" s="163"/>
      <c r="O123" s="163"/>
      <c r="P123" s="163"/>
      <c r="Q123" s="167">
        <f t="shared" si="2"/>
        <v>52620</v>
      </c>
      <c r="R123" s="162">
        <v>13155</v>
      </c>
      <c r="S123" s="162">
        <v>13155</v>
      </c>
      <c r="T123" s="162">
        <v>13155</v>
      </c>
      <c r="U123" s="162">
        <v>13155</v>
      </c>
      <c r="V123" s="191">
        <v>30000</v>
      </c>
      <c r="W123" s="162" t="s">
        <v>183</v>
      </c>
      <c r="X123" s="193">
        <v>10000</v>
      </c>
      <c r="Y123" s="162" t="s">
        <v>183</v>
      </c>
      <c r="Z123" s="191"/>
      <c r="AA123" s="191"/>
      <c r="AB123" s="168"/>
      <c r="AC123" s="168"/>
      <c r="AD123" s="168"/>
      <c r="AE123" s="168"/>
      <c r="AF123" s="168"/>
      <c r="AG123" s="168"/>
      <c r="AH123" s="169"/>
      <c r="AI123" s="170"/>
      <c r="AJ123" s="152"/>
      <c r="AK123" s="171"/>
      <c r="AL123" s="171"/>
      <c r="AM123" s="172"/>
      <c r="AN123" s="38"/>
      <c r="AO123" s="38"/>
      <c r="AP123" s="38"/>
      <c r="AQ123" s="38"/>
      <c r="AR123" s="38"/>
      <c r="AS123" s="38"/>
      <c r="AT123" s="38"/>
      <c r="AU123" s="38"/>
      <c r="AV123" s="38"/>
      <c r="AW123" s="38"/>
      <c r="AX123" s="38"/>
      <c r="AY123" s="38"/>
      <c r="AZ123" s="38"/>
      <c r="BA123" s="38"/>
      <c r="BB123" s="38"/>
      <c r="BC123" s="38"/>
      <c r="BD123" s="38"/>
      <c r="BE123" s="38"/>
      <c r="BF123" s="38"/>
    </row>
    <row r="124" spans="1:58" s="173" customFormat="1" ht="12.75" customHeight="1">
      <c r="A124" s="153"/>
      <c r="B124" s="154"/>
      <c r="C124" s="155"/>
      <c r="D124" s="156"/>
      <c r="E124" s="157"/>
      <c r="F124" s="158"/>
      <c r="G124" s="250" t="s">
        <v>517</v>
      </c>
      <c r="H124" s="160"/>
      <c r="I124" s="160">
        <v>226</v>
      </c>
      <c r="J124" s="321"/>
      <c r="K124" s="162"/>
      <c r="L124" s="163"/>
      <c r="M124" s="163"/>
      <c r="N124" s="163"/>
      <c r="O124" s="163"/>
      <c r="P124" s="163"/>
      <c r="Q124" s="167">
        <f t="shared" si="2"/>
        <v>87660</v>
      </c>
      <c r="R124" s="162">
        <v>21915</v>
      </c>
      <c r="S124" s="162">
        <v>21915</v>
      </c>
      <c r="T124" s="162">
        <v>21915</v>
      </c>
      <c r="U124" s="162">
        <v>21915</v>
      </c>
      <c r="V124" s="191">
        <v>28000</v>
      </c>
      <c r="W124" s="162" t="s">
        <v>222</v>
      </c>
      <c r="X124" s="193">
        <v>3000</v>
      </c>
      <c r="Y124" s="194" t="s">
        <v>699</v>
      </c>
      <c r="Z124" s="191"/>
      <c r="AA124" s="191"/>
      <c r="AB124" s="168"/>
      <c r="AC124" s="168"/>
      <c r="AD124" s="168"/>
      <c r="AE124" s="168"/>
      <c r="AF124" s="168"/>
      <c r="AG124" s="168"/>
      <c r="AH124" s="169"/>
      <c r="AI124" s="170"/>
      <c r="AJ124" s="152"/>
      <c r="AK124" s="171"/>
      <c r="AL124" s="171"/>
      <c r="AM124" s="38"/>
      <c r="AN124" s="38"/>
      <c r="AO124" s="38"/>
      <c r="AP124" s="38"/>
      <c r="AQ124" s="38"/>
      <c r="AR124" s="38"/>
      <c r="AS124" s="38"/>
      <c r="AT124" s="38"/>
      <c r="AU124" s="38"/>
      <c r="AV124" s="38"/>
      <c r="AW124" s="38"/>
      <c r="AX124" s="38"/>
      <c r="AY124" s="38"/>
      <c r="AZ124" s="38"/>
      <c r="BA124" s="38"/>
      <c r="BB124" s="38"/>
      <c r="BC124" s="38"/>
      <c r="BD124" s="38"/>
      <c r="BE124" s="38"/>
      <c r="BF124" s="38"/>
    </row>
    <row r="125" spans="1:58" s="173" customFormat="1" ht="12.75" customHeight="1">
      <c r="A125" s="153"/>
      <c r="B125" s="154"/>
      <c r="C125" s="155"/>
      <c r="D125" s="156"/>
      <c r="E125" s="157"/>
      <c r="F125" s="158"/>
      <c r="G125" s="250" t="s">
        <v>517</v>
      </c>
      <c r="H125" s="160"/>
      <c r="I125" s="160">
        <v>226</v>
      </c>
      <c r="J125" s="321"/>
      <c r="K125" s="162"/>
      <c r="L125" s="163"/>
      <c r="M125" s="163"/>
      <c r="N125" s="163"/>
      <c r="O125" s="163"/>
      <c r="P125" s="163"/>
      <c r="Q125" s="167">
        <f t="shared" si="2"/>
        <v>10000</v>
      </c>
      <c r="R125" s="162">
        <v>10000</v>
      </c>
      <c r="S125" s="162">
        <v>0</v>
      </c>
      <c r="T125" s="162">
        <v>0</v>
      </c>
      <c r="U125" s="162">
        <v>0</v>
      </c>
      <c r="V125" s="191">
        <v>10000</v>
      </c>
      <c r="W125" s="162" t="s">
        <v>223</v>
      </c>
      <c r="X125" s="193">
        <f>100000-31327.42</f>
        <v>68672.58</v>
      </c>
      <c r="Y125" s="194" t="s">
        <v>700</v>
      </c>
      <c r="Z125" s="191"/>
      <c r="AA125" s="191"/>
      <c r="AB125" s="168"/>
      <c r="AC125" s="168"/>
      <c r="AD125" s="168"/>
      <c r="AE125" s="168"/>
      <c r="AF125" s="168"/>
      <c r="AG125" s="168"/>
      <c r="AH125" s="169"/>
      <c r="AI125" s="170"/>
      <c r="AJ125" s="152"/>
      <c r="AK125" s="171"/>
      <c r="AL125" s="171"/>
      <c r="AM125" s="38"/>
      <c r="AN125" s="38"/>
      <c r="AO125" s="38"/>
      <c r="AP125" s="38"/>
      <c r="AQ125" s="38"/>
      <c r="AR125" s="38"/>
      <c r="AS125" s="38"/>
      <c r="AT125" s="38"/>
      <c r="AU125" s="38"/>
      <c r="AV125" s="38"/>
      <c r="AW125" s="38"/>
      <c r="AX125" s="38"/>
      <c r="AY125" s="38"/>
      <c r="AZ125" s="38"/>
      <c r="BA125" s="38"/>
      <c r="BB125" s="38"/>
      <c r="BC125" s="38"/>
      <c r="BD125" s="38"/>
      <c r="BE125" s="38"/>
      <c r="BF125" s="38"/>
    </row>
    <row r="126" spans="1:58" s="173" customFormat="1" ht="24.75" customHeight="1">
      <c r="A126" s="153"/>
      <c r="B126" s="154"/>
      <c r="C126" s="155"/>
      <c r="D126" s="156"/>
      <c r="E126" s="157"/>
      <c r="F126" s="158"/>
      <c r="G126" s="250" t="s">
        <v>517</v>
      </c>
      <c r="H126" s="160"/>
      <c r="I126" s="160">
        <v>226</v>
      </c>
      <c r="J126" s="321"/>
      <c r="K126" s="162"/>
      <c r="L126" s="163"/>
      <c r="M126" s="163"/>
      <c r="N126" s="163"/>
      <c r="O126" s="163"/>
      <c r="P126" s="163"/>
      <c r="Q126" s="167">
        <f t="shared" si="2"/>
        <v>50000</v>
      </c>
      <c r="R126" s="195">
        <v>50000</v>
      </c>
      <c r="S126" s="162"/>
      <c r="T126" s="162"/>
      <c r="U126" s="162"/>
      <c r="V126" s="191">
        <v>10000</v>
      </c>
      <c r="W126" s="162" t="s">
        <v>224</v>
      </c>
      <c r="X126" s="193">
        <v>100000</v>
      </c>
      <c r="Y126" s="274" t="s">
        <v>709</v>
      </c>
      <c r="Z126" s="191"/>
      <c r="AA126" s="191"/>
      <c r="AB126" s="168"/>
      <c r="AC126" s="168"/>
      <c r="AD126" s="168"/>
      <c r="AE126" s="168"/>
      <c r="AF126" s="168"/>
      <c r="AG126" s="168"/>
      <c r="AH126" s="169"/>
      <c r="AI126" s="170"/>
      <c r="AJ126" s="152"/>
      <c r="AK126" s="171"/>
      <c r="AL126" s="171"/>
      <c r="AM126" s="172"/>
      <c r="AN126" s="38"/>
      <c r="AO126" s="38"/>
      <c r="AP126" s="38"/>
      <c r="AQ126" s="38"/>
      <c r="AR126" s="38"/>
      <c r="AS126" s="38"/>
      <c r="AT126" s="38"/>
      <c r="AU126" s="38"/>
      <c r="AV126" s="38"/>
      <c r="AW126" s="38"/>
      <c r="AX126" s="38"/>
      <c r="AY126" s="38"/>
      <c r="AZ126" s="38"/>
      <c r="BA126" s="38"/>
      <c r="BB126" s="38"/>
      <c r="BC126" s="38"/>
      <c r="BD126" s="38"/>
      <c r="BE126" s="38"/>
      <c r="BF126" s="38"/>
    </row>
    <row r="127" spans="1:58" s="173" customFormat="1" ht="12.75" customHeight="1">
      <c r="A127" s="153"/>
      <c r="B127" s="154"/>
      <c r="C127" s="155"/>
      <c r="D127" s="156"/>
      <c r="E127" s="157"/>
      <c r="F127" s="158"/>
      <c r="G127" s="250" t="s">
        <v>517</v>
      </c>
      <c r="H127" s="160"/>
      <c r="I127" s="160">
        <v>226</v>
      </c>
      <c r="J127" s="321"/>
      <c r="K127" s="162"/>
      <c r="L127" s="163"/>
      <c r="M127" s="163"/>
      <c r="N127" s="163"/>
      <c r="O127" s="163"/>
      <c r="P127" s="163"/>
      <c r="Q127" s="167">
        <f t="shared" si="2"/>
        <v>15000</v>
      </c>
      <c r="R127" s="162">
        <v>15000</v>
      </c>
      <c r="S127" s="162">
        <v>0</v>
      </c>
      <c r="T127" s="162">
        <v>0</v>
      </c>
      <c r="U127" s="162"/>
      <c r="V127" s="191">
        <v>13000</v>
      </c>
      <c r="W127" s="162" t="s">
        <v>225</v>
      </c>
      <c r="X127" s="193">
        <v>12000</v>
      </c>
      <c r="Y127" s="194" t="s">
        <v>697</v>
      </c>
      <c r="Z127" s="191"/>
      <c r="AA127" s="195"/>
      <c r="AB127" s="168"/>
      <c r="AC127" s="168"/>
      <c r="AD127" s="168"/>
      <c r="AE127" s="168"/>
      <c r="AF127" s="168"/>
      <c r="AG127" s="168"/>
      <c r="AH127" s="169"/>
      <c r="AI127" s="170"/>
      <c r="AJ127" s="152"/>
      <c r="AK127" s="171"/>
      <c r="AL127" s="171"/>
      <c r="AM127" s="38"/>
      <c r="AN127" s="38"/>
      <c r="AO127" s="38"/>
      <c r="AP127" s="38"/>
      <c r="AQ127" s="38"/>
      <c r="AR127" s="38"/>
      <c r="AS127" s="38"/>
      <c r="AT127" s="38"/>
      <c r="AU127" s="38"/>
      <c r="AV127" s="38"/>
      <c r="AW127" s="38"/>
      <c r="AX127" s="38"/>
      <c r="AY127" s="38"/>
      <c r="AZ127" s="38"/>
      <c r="BA127" s="38"/>
      <c r="BB127" s="38"/>
      <c r="BC127" s="38"/>
      <c r="BD127" s="38"/>
      <c r="BE127" s="38"/>
      <c r="BF127" s="38"/>
    </row>
    <row r="128" spans="1:58" s="173" customFormat="1" ht="12.75" customHeight="1">
      <c r="A128" s="153"/>
      <c r="B128" s="154"/>
      <c r="C128" s="155"/>
      <c r="D128" s="156"/>
      <c r="E128" s="157"/>
      <c r="F128" s="158"/>
      <c r="G128" s="250" t="s">
        <v>517</v>
      </c>
      <c r="H128" s="160"/>
      <c r="I128" s="160">
        <v>226</v>
      </c>
      <c r="J128" s="321"/>
      <c r="K128" s="162"/>
      <c r="L128" s="163"/>
      <c r="M128" s="163"/>
      <c r="N128" s="163"/>
      <c r="O128" s="163"/>
      <c r="P128" s="163"/>
      <c r="Q128" s="167">
        <f t="shared" si="2"/>
        <v>12000</v>
      </c>
      <c r="R128" s="162">
        <v>6000</v>
      </c>
      <c r="S128" s="162">
        <v>3000</v>
      </c>
      <c r="T128" s="162">
        <v>3000</v>
      </c>
      <c r="U128" s="162"/>
      <c r="V128" s="191"/>
      <c r="W128" s="162"/>
      <c r="X128" s="193"/>
      <c r="Y128" s="369"/>
      <c r="Z128" s="368"/>
      <c r="AA128" s="368"/>
      <c r="AB128" s="370"/>
      <c r="AC128" s="370"/>
      <c r="AD128" s="370"/>
      <c r="AE128" s="370"/>
      <c r="AF128" s="370"/>
      <c r="AG128" s="370"/>
      <c r="AH128" s="371"/>
      <c r="AI128" s="372"/>
      <c r="AJ128" s="152"/>
      <c r="AK128" s="171"/>
      <c r="AL128" s="171"/>
      <c r="AM128" s="172"/>
      <c r="AN128" s="38"/>
      <c r="AO128" s="38"/>
      <c r="AP128" s="38"/>
      <c r="AQ128" s="38"/>
      <c r="AR128" s="38"/>
      <c r="AS128" s="38"/>
      <c r="AT128" s="38"/>
      <c r="AU128" s="38"/>
      <c r="AV128" s="38"/>
      <c r="AW128" s="38"/>
      <c r="AX128" s="38"/>
      <c r="AY128" s="38"/>
      <c r="AZ128" s="38"/>
      <c r="BA128" s="38"/>
      <c r="BB128" s="38"/>
      <c r="BC128" s="38"/>
      <c r="BD128" s="38"/>
      <c r="BE128" s="38"/>
      <c r="BF128" s="38"/>
    </row>
    <row r="129" spans="1:58" s="173" customFormat="1" ht="12.75" customHeight="1">
      <c r="A129" s="153"/>
      <c r="B129" s="359"/>
      <c r="C129" s="360"/>
      <c r="D129" s="361"/>
      <c r="E129" s="362"/>
      <c r="F129" s="363"/>
      <c r="G129" s="250" t="s">
        <v>517</v>
      </c>
      <c r="H129" s="364"/>
      <c r="I129" s="364">
        <v>226</v>
      </c>
      <c r="J129" s="365"/>
      <c r="K129" s="192"/>
      <c r="L129" s="366"/>
      <c r="M129" s="366"/>
      <c r="N129" s="366"/>
      <c r="O129" s="366"/>
      <c r="P129" s="366"/>
      <c r="Q129" s="367">
        <f>R129+S129+T129+U129</f>
        <v>0</v>
      </c>
      <c r="R129" s="192"/>
      <c r="S129" s="192"/>
      <c r="T129" s="192"/>
      <c r="U129" s="192"/>
      <c r="V129" s="368"/>
      <c r="W129" s="192"/>
      <c r="X129" s="193"/>
      <c r="Y129" s="348"/>
      <c r="Z129" s="346">
        <f>SUM(Z116:Z128)</f>
        <v>171948.71</v>
      </c>
      <c r="AA129" s="346">
        <f>SUM(AA116:AA128)</f>
        <v>333681.71</v>
      </c>
      <c r="AB129" s="168"/>
      <c r="AC129" s="168"/>
      <c r="AD129" s="168"/>
      <c r="AE129" s="168"/>
      <c r="AF129" s="168"/>
      <c r="AG129" s="168"/>
      <c r="AH129" s="169"/>
      <c r="AI129" s="170"/>
      <c r="AJ129" s="152"/>
      <c r="AK129" s="171"/>
      <c r="AL129" s="171"/>
      <c r="AM129" s="38"/>
      <c r="AN129" s="38"/>
      <c r="AO129" s="38"/>
      <c r="AP129" s="38"/>
      <c r="AQ129" s="38"/>
      <c r="AR129" s="38"/>
      <c r="AS129" s="38"/>
      <c r="AT129" s="38"/>
      <c r="AU129" s="38"/>
      <c r="AV129" s="38"/>
      <c r="AW129" s="38"/>
      <c r="AX129" s="38"/>
      <c r="AY129" s="38"/>
      <c r="AZ129" s="38"/>
      <c r="BA129" s="38"/>
      <c r="BB129" s="38"/>
      <c r="BC129" s="38"/>
      <c r="BD129" s="38"/>
      <c r="BE129" s="38"/>
      <c r="BF129" s="38"/>
    </row>
    <row r="130" spans="1:58" s="355" customFormat="1" ht="12.75" customHeight="1">
      <c r="A130" s="153"/>
      <c r="B130" s="154"/>
      <c r="C130" s="155"/>
      <c r="D130" s="357" t="s">
        <v>226</v>
      </c>
      <c r="E130" s="342"/>
      <c r="F130" s="343"/>
      <c r="G130" s="250" t="s">
        <v>517</v>
      </c>
      <c r="H130" s="344"/>
      <c r="I130" s="344"/>
      <c r="J130" s="345"/>
      <c r="K130" s="251"/>
      <c r="L130" s="178"/>
      <c r="M130" s="178"/>
      <c r="N130" s="178"/>
      <c r="O130" s="178"/>
      <c r="P130" s="178"/>
      <c r="Q130" s="179">
        <f t="shared" si="2"/>
        <v>361680</v>
      </c>
      <c r="R130" s="346">
        <f>R117+R118+R119+R120+R121+R122+R123+R124+R125+R126+R127+R128</f>
        <v>243720</v>
      </c>
      <c r="S130" s="346">
        <f>S117+S118+S119+S120+S121+S122+S123+S124+S125+S126+S127+S128</f>
        <v>40320</v>
      </c>
      <c r="T130" s="346">
        <f>T117+T118+T119+T120+T121+T122+T123+T124+T125+T126+T127+T128</f>
        <v>40320</v>
      </c>
      <c r="U130" s="346">
        <f>U117+U118+U119+U120+U121+U122+U123+U124+U125+U126+U127+U128</f>
        <v>37320</v>
      </c>
      <c r="V130" s="346">
        <f>SUM(V117:V129)</f>
        <v>459360</v>
      </c>
      <c r="W130" s="251"/>
      <c r="X130" s="358">
        <f>781000-31327.42</f>
        <v>749672.58</v>
      </c>
      <c r="Y130" s="194" t="s">
        <v>694</v>
      </c>
      <c r="Z130" s="195"/>
      <c r="AA130" s="195"/>
      <c r="AB130" s="349"/>
      <c r="AC130" s="349"/>
      <c r="AD130" s="349"/>
      <c r="AE130" s="349"/>
      <c r="AF130" s="349"/>
      <c r="AG130" s="349"/>
      <c r="AH130" s="350"/>
      <c r="AI130" s="351"/>
      <c r="AJ130" s="352"/>
      <c r="AK130" s="353"/>
      <c r="AL130" s="353"/>
      <c r="AM130" s="354"/>
      <c r="AN130" s="354"/>
      <c r="AO130" s="354"/>
      <c r="AP130" s="354"/>
      <c r="AQ130" s="354"/>
      <c r="AR130" s="354"/>
      <c r="AS130" s="354"/>
      <c r="AT130" s="354"/>
      <c r="AU130" s="354"/>
      <c r="AV130" s="354"/>
      <c r="AW130" s="354"/>
      <c r="AX130" s="354"/>
      <c r="AY130" s="354"/>
      <c r="AZ130" s="354"/>
      <c r="BA130" s="354"/>
      <c r="BB130" s="354"/>
      <c r="BC130" s="354"/>
      <c r="BD130" s="354"/>
      <c r="BE130" s="354"/>
      <c r="BF130" s="354"/>
    </row>
    <row r="131" spans="1:58" s="355" customFormat="1" ht="12.75" customHeight="1">
      <c r="A131" s="153"/>
      <c r="B131" s="154"/>
      <c r="C131" s="155"/>
      <c r="D131" s="357"/>
      <c r="E131" s="342"/>
      <c r="F131" s="343"/>
      <c r="G131" s="250"/>
      <c r="H131" s="344"/>
      <c r="I131" s="344"/>
      <c r="J131" s="345"/>
      <c r="K131" s="251"/>
      <c r="L131" s="178"/>
      <c r="M131" s="178"/>
      <c r="N131" s="178"/>
      <c r="O131" s="178"/>
      <c r="P131" s="178"/>
      <c r="Q131" s="179"/>
      <c r="R131" s="346"/>
      <c r="S131" s="346"/>
      <c r="T131" s="346"/>
      <c r="U131" s="346"/>
      <c r="V131" s="346"/>
      <c r="W131" s="251"/>
      <c r="X131" s="358"/>
      <c r="Y131" s="194"/>
      <c r="Z131" s="195"/>
      <c r="AA131" s="195"/>
      <c r="AB131" s="349"/>
      <c r="AC131" s="349"/>
      <c r="AD131" s="349"/>
      <c r="AE131" s="349"/>
      <c r="AF131" s="349"/>
      <c r="AG131" s="349"/>
      <c r="AH131" s="350"/>
      <c r="AI131" s="351"/>
      <c r="AJ131" s="352"/>
      <c r="AK131" s="353"/>
      <c r="AL131" s="353"/>
      <c r="AM131" s="354"/>
      <c r="AN131" s="354"/>
      <c r="AO131" s="354"/>
      <c r="AP131" s="354"/>
      <c r="AQ131" s="354"/>
      <c r="AR131" s="354"/>
      <c r="AS131" s="354"/>
      <c r="AT131" s="354"/>
      <c r="AU131" s="354"/>
      <c r="AV131" s="354"/>
      <c r="AW131" s="354"/>
      <c r="AX131" s="354"/>
      <c r="AY131" s="354"/>
      <c r="AZ131" s="354"/>
      <c r="BA131" s="354"/>
      <c r="BB131" s="354"/>
      <c r="BC131" s="354"/>
      <c r="BD131" s="354"/>
      <c r="BE131" s="354"/>
      <c r="BF131" s="354"/>
    </row>
    <row r="132" spans="1:58" s="173" customFormat="1" ht="12.75" customHeight="1">
      <c r="A132" s="153"/>
      <c r="B132" s="359"/>
      <c r="C132" s="785"/>
      <c r="D132" s="361"/>
      <c r="E132" s="362"/>
      <c r="F132" s="363"/>
      <c r="G132" s="250" t="s">
        <v>517</v>
      </c>
      <c r="H132" s="364"/>
      <c r="I132" s="364">
        <v>228</v>
      </c>
      <c r="J132" s="365"/>
      <c r="K132" s="192"/>
      <c r="L132" s="366"/>
      <c r="M132" s="366"/>
      <c r="N132" s="366"/>
      <c r="O132" s="366"/>
      <c r="P132" s="366"/>
      <c r="Q132" s="367">
        <f>R132+S132+T132+U132</f>
        <v>0</v>
      </c>
      <c r="R132" s="192"/>
      <c r="S132" s="192"/>
      <c r="T132" s="192"/>
      <c r="U132" s="192"/>
      <c r="V132" s="368"/>
      <c r="W132" s="192"/>
      <c r="X132" s="193">
        <v>50000</v>
      </c>
      <c r="Y132" s="194" t="s">
        <v>691</v>
      </c>
      <c r="Z132" s="346">
        <f>SUM(Z118:Z130)</f>
        <v>171948.71</v>
      </c>
      <c r="AA132" s="346">
        <f>SUM(AA118:AA130)</f>
        <v>467363.42000000004</v>
      </c>
      <c r="AB132" s="168"/>
      <c r="AC132" s="168"/>
      <c r="AD132" s="168"/>
      <c r="AE132" s="168"/>
      <c r="AF132" s="168"/>
      <c r="AG132" s="168"/>
      <c r="AH132" s="169"/>
      <c r="AI132" s="170"/>
      <c r="AJ132" s="152"/>
      <c r="AK132" s="171"/>
      <c r="AL132" s="171"/>
      <c r="AM132" s="38"/>
      <c r="AN132" s="38"/>
      <c r="AO132" s="38"/>
      <c r="AP132" s="38"/>
      <c r="AQ132" s="38"/>
      <c r="AR132" s="38"/>
      <c r="AS132" s="38"/>
      <c r="AT132" s="38"/>
      <c r="AU132" s="38"/>
      <c r="AV132" s="38"/>
      <c r="AW132" s="38"/>
      <c r="AX132" s="38"/>
      <c r="AY132" s="38"/>
      <c r="AZ132" s="38"/>
      <c r="BA132" s="38"/>
      <c r="BB132" s="38"/>
      <c r="BC132" s="38"/>
      <c r="BD132" s="38"/>
      <c r="BE132" s="38"/>
      <c r="BF132" s="38"/>
    </row>
    <row r="133" spans="1:58" s="355" customFormat="1" ht="12.75" customHeight="1">
      <c r="A133" s="153"/>
      <c r="B133" s="154"/>
      <c r="C133" s="155"/>
      <c r="D133" s="357" t="s">
        <v>690</v>
      </c>
      <c r="E133" s="342"/>
      <c r="F133" s="343"/>
      <c r="G133" s="250" t="s">
        <v>517</v>
      </c>
      <c r="H133" s="344"/>
      <c r="I133" s="344"/>
      <c r="J133" s="345"/>
      <c r="K133" s="251"/>
      <c r="L133" s="178"/>
      <c r="M133" s="178"/>
      <c r="N133" s="178"/>
      <c r="O133" s="178"/>
      <c r="P133" s="178"/>
      <c r="Q133" s="179">
        <f>R133+S133+T133+U133</f>
        <v>641960</v>
      </c>
      <c r="R133" s="346">
        <f>R119+R120+R121+R122+R123+R124+R125+R126+R127+R128+R129+R130</f>
        <v>406040</v>
      </c>
      <c r="S133" s="346">
        <f>S119+S120+S121+S122+S123+S124+S125+S126+S127+S128+S129+S130</f>
        <v>80640</v>
      </c>
      <c r="T133" s="346">
        <f>T119+T120+T121+T122+T123+T124+T125+T126+T127+T128+T129+T130</f>
        <v>80640</v>
      </c>
      <c r="U133" s="346">
        <f>U119+U120+U121+U122+U123+U124+U125+U126+U127+U128+U129+U130</f>
        <v>74640</v>
      </c>
      <c r="V133" s="346"/>
      <c r="W133" s="251"/>
      <c r="X133" s="358">
        <f>X132</f>
        <v>50000</v>
      </c>
      <c r="Y133" s="194"/>
      <c r="Z133" s="195"/>
      <c r="AA133" s="195"/>
      <c r="AB133" s="349"/>
      <c r="AC133" s="349"/>
      <c r="AD133" s="349"/>
      <c r="AE133" s="349"/>
      <c r="AF133" s="349"/>
      <c r="AG133" s="349"/>
      <c r="AH133" s="350"/>
      <c r="AI133" s="351"/>
      <c r="AJ133" s="352"/>
      <c r="AK133" s="353"/>
      <c r="AL133" s="353"/>
      <c r="AM133" s="354"/>
      <c r="AN133" s="354"/>
      <c r="AO133" s="354"/>
      <c r="AP133" s="354"/>
      <c r="AQ133" s="354"/>
      <c r="AR133" s="354"/>
      <c r="AS133" s="354"/>
      <c r="AT133" s="354"/>
      <c r="AU133" s="354"/>
      <c r="AV133" s="354"/>
      <c r="AW133" s="354"/>
      <c r="AX133" s="354"/>
      <c r="AY133" s="354"/>
      <c r="AZ133" s="354"/>
      <c r="BA133" s="354"/>
      <c r="BB133" s="354"/>
      <c r="BC133" s="354"/>
      <c r="BD133" s="354"/>
      <c r="BE133" s="354"/>
      <c r="BF133" s="354"/>
    </row>
    <row r="134" spans="1:58" s="355" customFormat="1" ht="12.75" customHeight="1">
      <c r="A134" s="341"/>
      <c r="B134" s="155"/>
      <c r="C134" s="155"/>
      <c r="D134" s="156"/>
      <c r="E134" s="157">
        <v>113</v>
      </c>
      <c r="F134" s="158">
        <v>656</v>
      </c>
      <c r="G134" s="250" t="s">
        <v>517</v>
      </c>
      <c r="H134" s="160">
        <v>851</v>
      </c>
      <c r="I134" s="160">
        <v>290</v>
      </c>
      <c r="J134" s="321"/>
      <c r="K134" s="162"/>
      <c r="L134" s="163">
        <v>20000</v>
      </c>
      <c r="M134" s="163">
        <v>0</v>
      </c>
      <c r="N134" s="163">
        <v>-2800</v>
      </c>
      <c r="O134" s="163">
        <v>0</v>
      </c>
      <c r="P134" s="163">
        <v>17200</v>
      </c>
      <c r="Q134" s="167">
        <f t="shared" si="2"/>
        <v>1000</v>
      </c>
      <c r="R134" s="162">
        <v>1000</v>
      </c>
      <c r="S134" s="162"/>
      <c r="T134" s="162"/>
      <c r="U134" s="162"/>
      <c r="V134" s="191">
        <v>2000</v>
      </c>
      <c r="W134" s="192" t="s">
        <v>227</v>
      </c>
      <c r="X134" s="193"/>
      <c r="Y134" s="194"/>
      <c r="Z134" s="195"/>
      <c r="AA134" s="195"/>
      <c r="AB134" s="349"/>
      <c r="AC134" s="349"/>
      <c r="AD134" s="349"/>
      <c r="AE134" s="349"/>
      <c r="AF134" s="349"/>
      <c r="AG134" s="349"/>
      <c r="AH134" s="350"/>
      <c r="AI134" s="351"/>
      <c r="AJ134" s="352"/>
      <c r="AK134" s="353"/>
      <c r="AL134" s="353"/>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row>
    <row r="135" spans="1:58" s="173" customFormat="1" ht="12.75" customHeight="1">
      <c r="A135" s="341"/>
      <c r="B135" s="155"/>
      <c r="C135" s="155"/>
      <c r="D135" s="156"/>
      <c r="E135" s="157">
        <v>113</v>
      </c>
      <c r="F135" s="158">
        <v>656</v>
      </c>
      <c r="G135" s="250" t="s">
        <v>517</v>
      </c>
      <c r="H135" s="160">
        <v>852</v>
      </c>
      <c r="I135" s="160">
        <v>291</v>
      </c>
      <c r="J135" s="321"/>
      <c r="K135" s="162"/>
      <c r="L135" s="163">
        <v>20000</v>
      </c>
      <c r="M135" s="163">
        <v>0</v>
      </c>
      <c r="N135" s="163">
        <v>-2800</v>
      </c>
      <c r="O135" s="163">
        <v>0</v>
      </c>
      <c r="P135" s="163">
        <v>17200</v>
      </c>
      <c r="Q135" s="167">
        <f t="shared" si="2"/>
        <v>1000</v>
      </c>
      <c r="R135" s="162">
        <v>1000</v>
      </c>
      <c r="S135" s="162"/>
      <c r="T135" s="162"/>
      <c r="U135" s="162"/>
      <c r="V135" s="191"/>
      <c r="W135" s="192" t="s">
        <v>228</v>
      </c>
      <c r="X135" s="193">
        <v>2000</v>
      </c>
      <c r="Y135" s="194"/>
      <c r="Z135" s="195">
        <v>0</v>
      </c>
      <c r="AA135" s="195">
        <v>0</v>
      </c>
      <c r="AB135" s="168"/>
      <c r="AC135" s="168"/>
      <c r="AD135" s="168"/>
      <c r="AE135" s="168">
        <v>358.11</v>
      </c>
      <c r="AF135" s="168">
        <v>0</v>
      </c>
      <c r="AG135" s="168"/>
      <c r="AH135" s="169"/>
      <c r="AI135" s="170">
        <v>0.020820348837209304</v>
      </c>
      <c r="AJ135" s="152" t="s">
        <v>143</v>
      </c>
      <c r="AK135" s="171"/>
      <c r="AL135" s="171"/>
      <c r="AM135" s="38"/>
      <c r="AN135" s="38"/>
      <c r="AO135" s="83"/>
      <c r="AP135" s="38"/>
      <c r="AQ135" s="38"/>
      <c r="AR135" s="38"/>
      <c r="AS135" s="38"/>
      <c r="AT135" s="38"/>
      <c r="AU135" s="38"/>
      <c r="AV135" s="38"/>
      <c r="AW135" s="38"/>
      <c r="AX135" s="38"/>
      <c r="AY135" s="38"/>
      <c r="AZ135" s="38"/>
      <c r="BA135" s="38"/>
      <c r="BB135" s="38"/>
      <c r="BC135" s="38"/>
      <c r="BD135" s="38"/>
      <c r="BE135" s="38"/>
      <c r="BF135" s="38"/>
    </row>
    <row r="136" spans="1:58" s="173" customFormat="1" ht="12.75" customHeight="1">
      <c r="A136" s="153"/>
      <c r="B136" s="154" t="s">
        <v>201</v>
      </c>
      <c r="C136" s="155" t="s">
        <v>201</v>
      </c>
      <c r="D136" s="156"/>
      <c r="E136" s="157"/>
      <c r="F136" s="158"/>
      <c r="G136" s="250" t="s">
        <v>517</v>
      </c>
      <c r="H136" s="160">
        <v>244</v>
      </c>
      <c r="I136" s="160">
        <v>290</v>
      </c>
      <c r="J136" s="321"/>
      <c r="K136" s="162"/>
      <c r="L136" s="163"/>
      <c r="M136" s="163"/>
      <c r="N136" s="163"/>
      <c r="O136" s="163"/>
      <c r="P136" s="163"/>
      <c r="Q136" s="167">
        <f t="shared" si="2"/>
        <v>7500</v>
      </c>
      <c r="R136" s="162"/>
      <c r="S136" s="162"/>
      <c r="T136" s="162"/>
      <c r="U136" s="162">
        <v>7500</v>
      </c>
      <c r="V136" s="195">
        <v>0</v>
      </c>
      <c r="W136" s="192"/>
      <c r="X136" s="193">
        <v>0</v>
      </c>
      <c r="Y136" s="348"/>
      <c r="Z136" s="346">
        <f>Z135+Z134+Z130</f>
        <v>0</v>
      </c>
      <c r="AA136" s="346">
        <f>AA135+AA134+AA130</f>
        <v>0</v>
      </c>
      <c r="AB136" s="168"/>
      <c r="AC136" s="168"/>
      <c r="AD136" s="168"/>
      <c r="AE136" s="168"/>
      <c r="AF136" s="168"/>
      <c r="AG136" s="168"/>
      <c r="AH136" s="169"/>
      <c r="AI136" s="170"/>
      <c r="AJ136" s="152"/>
      <c r="AK136" s="171"/>
      <c r="AL136" s="171"/>
      <c r="AM136" s="38"/>
      <c r="AN136" s="38"/>
      <c r="AO136" s="38"/>
      <c r="AP136" s="38"/>
      <c r="AQ136" s="38"/>
      <c r="AR136" s="38"/>
      <c r="AS136" s="38"/>
      <c r="AT136" s="38"/>
      <c r="AU136" s="38"/>
      <c r="AV136" s="38"/>
      <c r="AW136" s="38"/>
      <c r="AX136" s="38"/>
      <c r="AY136" s="38"/>
      <c r="AZ136" s="38"/>
      <c r="BA136" s="38"/>
      <c r="BB136" s="38"/>
      <c r="BC136" s="38"/>
      <c r="BD136" s="38"/>
      <c r="BE136" s="38"/>
      <c r="BF136" s="38"/>
    </row>
    <row r="137" spans="1:58" s="173" customFormat="1" ht="12.75" customHeight="1">
      <c r="A137" s="153"/>
      <c r="B137" s="154"/>
      <c r="C137" s="155"/>
      <c r="D137" s="357" t="s">
        <v>229</v>
      </c>
      <c r="E137" s="342"/>
      <c r="F137" s="343"/>
      <c r="G137" s="250" t="s">
        <v>517</v>
      </c>
      <c r="H137" s="344"/>
      <c r="I137" s="344"/>
      <c r="J137" s="345"/>
      <c r="K137" s="251"/>
      <c r="L137" s="178"/>
      <c r="M137" s="178"/>
      <c r="N137" s="178"/>
      <c r="O137" s="178"/>
      <c r="P137" s="178"/>
      <c r="Q137" s="179">
        <f t="shared" si="2"/>
        <v>8500</v>
      </c>
      <c r="R137" s="346">
        <f>R134+R136</f>
        <v>1000</v>
      </c>
      <c r="S137" s="346">
        <f>S134+S136</f>
        <v>0</v>
      </c>
      <c r="T137" s="346">
        <f>T134+T136</f>
        <v>0</v>
      </c>
      <c r="U137" s="346">
        <f>U134+U136</f>
        <v>7500</v>
      </c>
      <c r="V137" s="346">
        <f>V136+V135+V134</f>
        <v>2000</v>
      </c>
      <c r="W137" s="373"/>
      <c r="X137" s="358">
        <f>SUM(X134:X135)</f>
        <v>2000</v>
      </c>
      <c r="Y137" s="348"/>
      <c r="Z137" s="346">
        <v>0</v>
      </c>
      <c r="AA137" s="346">
        <v>0</v>
      </c>
      <c r="AB137" s="168"/>
      <c r="AC137" s="168"/>
      <c r="AD137" s="168"/>
      <c r="AE137" s="168"/>
      <c r="AF137" s="168"/>
      <c r="AG137" s="168"/>
      <c r="AH137" s="169"/>
      <c r="AI137" s="170"/>
      <c r="AJ137" s="152"/>
      <c r="AK137" s="171"/>
      <c r="AL137" s="171"/>
      <c r="AM137" s="38"/>
      <c r="AN137" s="38"/>
      <c r="AO137" s="38"/>
      <c r="AP137" s="38"/>
      <c r="AQ137" s="38"/>
      <c r="AR137" s="38"/>
      <c r="AS137" s="38"/>
      <c r="AT137" s="38"/>
      <c r="AU137" s="38"/>
      <c r="AV137" s="38"/>
      <c r="AW137" s="38"/>
      <c r="AX137" s="38"/>
      <c r="AY137" s="38"/>
      <c r="AZ137" s="38"/>
      <c r="BA137" s="38"/>
      <c r="BB137" s="38"/>
      <c r="BC137" s="38"/>
      <c r="BD137" s="38"/>
      <c r="BE137" s="38"/>
      <c r="BF137" s="38"/>
    </row>
    <row r="138" spans="1:58" s="355" customFormat="1" ht="12.75" customHeight="1">
      <c r="A138" s="153"/>
      <c r="B138" s="154"/>
      <c r="C138" s="155"/>
      <c r="D138" s="357"/>
      <c r="E138" s="342"/>
      <c r="F138" s="343"/>
      <c r="G138" s="250" t="s">
        <v>517</v>
      </c>
      <c r="H138" s="344"/>
      <c r="I138" s="344">
        <v>310</v>
      </c>
      <c r="J138" s="345"/>
      <c r="K138" s="251"/>
      <c r="L138" s="178"/>
      <c r="M138" s="178"/>
      <c r="N138" s="178"/>
      <c r="O138" s="178"/>
      <c r="P138" s="178"/>
      <c r="Q138" s="179"/>
      <c r="R138" s="346"/>
      <c r="S138" s="346"/>
      <c r="T138" s="346"/>
      <c r="U138" s="346"/>
      <c r="V138" s="346">
        <v>0</v>
      </c>
      <c r="W138" s="374"/>
      <c r="X138" s="375">
        <v>100000</v>
      </c>
      <c r="Y138" s="194" t="s">
        <v>701</v>
      </c>
      <c r="Z138" s="195">
        <v>0</v>
      </c>
      <c r="AA138" s="195">
        <v>0</v>
      </c>
      <c r="AB138" s="349"/>
      <c r="AC138" s="349"/>
      <c r="AD138" s="349"/>
      <c r="AE138" s="349"/>
      <c r="AF138" s="349"/>
      <c r="AG138" s="349"/>
      <c r="AH138" s="350"/>
      <c r="AI138" s="351"/>
      <c r="AJ138" s="352"/>
      <c r="AK138" s="353"/>
      <c r="AL138" s="353"/>
      <c r="AM138" s="354"/>
      <c r="AN138" s="354"/>
      <c r="AO138" s="354"/>
      <c r="AP138" s="354"/>
      <c r="AQ138" s="354"/>
      <c r="AR138" s="354"/>
      <c r="AS138" s="354"/>
      <c r="AT138" s="354"/>
      <c r="AU138" s="354"/>
      <c r="AV138" s="354"/>
      <c r="AW138" s="354"/>
      <c r="AX138" s="354"/>
      <c r="AY138" s="354"/>
      <c r="AZ138" s="354"/>
      <c r="BA138" s="354"/>
      <c r="BB138" s="354"/>
      <c r="BC138" s="354"/>
      <c r="BD138" s="354"/>
      <c r="BE138" s="354"/>
      <c r="BF138" s="354"/>
    </row>
    <row r="139" spans="1:58" s="173" customFormat="1" ht="23.25" customHeight="1">
      <c r="A139" s="341"/>
      <c r="B139" s="155"/>
      <c r="C139" s="155"/>
      <c r="D139" s="156"/>
      <c r="E139" s="157">
        <v>113</v>
      </c>
      <c r="F139" s="158">
        <v>656</v>
      </c>
      <c r="G139" s="250" t="s">
        <v>517</v>
      </c>
      <c r="H139" s="160" t="s">
        <v>91</v>
      </c>
      <c r="I139" s="160">
        <v>342</v>
      </c>
      <c r="J139" s="321"/>
      <c r="K139" s="162"/>
      <c r="L139" s="163">
        <v>3319.34</v>
      </c>
      <c r="M139" s="163">
        <v>0</v>
      </c>
      <c r="N139" s="163">
        <v>0</v>
      </c>
      <c r="O139" s="163">
        <v>0</v>
      </c>
      <c r="P139" s="163">
        <v>3319.34</v>
      </c>
      <c r="Q139" s="167">
        <f t="shared" si="2"/>
        <v>0</v>
      </c>
      <c r="R139" s="162"/>
      <c r="S139" s="162"/>
      <c r="T139" s="162"/>
      <c r="U139" s="162"/>
      <c r="V139" s="195">
        <v>0</v>
      </c>
      <c r="W139" s="192" t="s">
        <v>230</v>
      </c>
      <c r="X139" s="193"/>
      <c r="Y139" s="194">
        <v>47.8</v>
      </c>
      <c r="Z139" s="191">
        <v>50000</v>
      </c>
      <c r="AA139" s="191">
        <v>310000</v>
      </c>
      <c r="AB139" s="168"/>
      <c r="AC139" s="168"/>
      <c r="AD139" s="168"/>
      <c r="AE139" s="168">
        <v>41471</v>
      </c>
      <c r="AF139" s="168">
        <v>0</v>
      </c>
      <c r="AG139" s="168"/>
      <c r="AH139" s="169"/>
      <c r="AI139" s="170">
        <v>1</v>
      </c>
      <c r="AJ139" s="152" t="s">
        <v>143</v>
      </c>
      <c r="AK139" s="171"/>
      <c r="AL139" s="171"/>
      <c r="AM139" s="38"/>
      <c r="AN139" s="38"/>
      <c r="AO139" s="38"/>
      <c r="AP139" s="38"/>
      <c r="AQ139" s="38"/>
      <c r="AR139" s="38"/>
      <c r="AS139" s="38"/>
      <c r="AT139" s="38"/>
      <c r="AU139" s="38"/>
      <c r="AV139" s="38"/>
      <c r="AW139" s="38"/>
      <c r="AX139" s="38"/>
      <c r="AY139" s="38"/>
      <c r="AZ139" s="38"/>
      <c r="BA139" s="38"/>
      <c r="BB139" s="38"/>
      <c r="BC139" s="38"/>
      <c r="BD139" s="38"/>
      <c r="BE139" s="38"/>
      <c r="BF139" s="38"/>
    </row>
    <row r="140" spans="1:58" s="173" customFormat="1" ht="28.5" customHeight="1">
      <c r="A140" s="153"/>
      <c r="B140" s="154" t="s">
        <v>201</v>
      </c>
      <c r="C140" s="155" t="s">
        <v>201</v>
      </c>
      <c r="D140" s="156"/>
      <c r="E140" s="157">
        <v>113</v>
      </c>
      <c r="F140" s="158">
        <v>656</v>
      </c>
      <c r="G140" s="250" t="s">
        <v>517</v>
      </c>
      <c r="H140" s="160" t="s">
        <v>91</v>
      </c>
      <c r="I140" s="160">
        <v>343</v>
      </c>
      <c r="J140" s="321" t="s">
        <v>231</v>
      </c>
      <c r="K140" s="162"/>
      <c r="L140" s="163">
        <v>89992.66</v>
      </c>
      <c r="M140" s="163">
        <v>60000</v>
      </c>
      <c r="N140" s="163">
        <v>50000</v>
      </c>
      <c r="O140" s="163">
        <v>0</v>
      </c>
      <c r="P140" s="163">
        <v>199992.66</v>
      </c>
      <c r="Q140" s="167">
        <f t="shared" si="2"/>
        <v>70000</v>
      </c>
      <c r="R140" s="195">
        <v>70000</v>
      </c>
      <c r="S140" s="162"/>
      <c r="T140" s="162"/>
      <c r="U140" s="162"/>
      <c r="V140" s="191">
        <v>150000</v>
      </c>
      <c r="W140" s="376" t="s">
        <v>232</v>
      </c>
      <c r="X140" s="193">
        <v>50000</v>
      </c>
      <c r="Y140" s="376" t="s">
        <v>232</v>
      </c>
      <c r="Z140" s="336"/>
      <c r="AA140" s="336">
        <f>50000+16875.2</f>
        <v>66875.2</v>
      </c>
      <c r="AB140" s="168"/>
      <c r="AC140" s="168"/>
      <c r="AD140" s="168"/>
      <c r="AE140" s="168">
        <v>3319.34</v>
      </c>
      <c r="AF140" s="168">
        <v>0</v>
      </c>
      <c r="AG140" s="168"/>
      <c r="AH140" s="169"/>
      <c r="AI140" s="170">
        <v>1</v>
      </c>
      <c r="AJ140" s="152" t="s">
        <v>143</v>
      </c>
      <c r="AK140" s="171"/>
      <c r="AL140" s="171"/>
      <c r="AM140" s="38"/>
      <c r="AN140" s="38"/>
      <c r="AO140" s="38"/>
      <c r="AP140" s="38"/>
      <c r="AQ140" s="38"/>
      <c r="AR140" s="38"/>
      <c r="AS140" s="38"/>
      <c r="AT140" s="38"/>
      <c r="AU140" s="38"/>
      <c r="AV140" s="38"/>
      <c r="AW140" s="38"/>
      <c r="AX140" s="38"/>
      <c r="AY140" s="38"/>
      <c r="AZ140" s="38"/>
      <c r="BA140" s="38"/>
      <c r="BB140" s="38"/>
      <c r="BC140" s="38"/>
      <c r="BD140" s="38"/>
      <c r="BE140" s="38"/>
      <c r="BF140" s="38"/>
    </row>
    <row r="141" spans="1:58" s="173" customFormat="1" ht="12.75" customHeight="1">
      <c r="A141" s="153"/>
      <c r="B141" s="154" t="s">
        <v>201</v>
      </c>
      <c r="C141" s="155" t="s">
        <v>201</v>
      </c>
      <c r="D141" s="156"/>
      <c r="E141" s="330"/>
      <c r="F141" s="331"/>
      <c r="G141" s="250" t="s">
        <v>517</v>
      </c>
      <c r="H141" s="332"/>
      <c r="I141" s="332">
        <v>346</v>
      </c>
      <c r="J141" s="335">
        <v>69.5</v>
      </c>
      <c r="K141" s="249"/>
      <c r="L141" s="334"/>
      <c r="M141" s="163"/>
      <c r="N141" s="163"/>
      <c r="O141" s="334"/>
      <c r="P141" s="163"/>
      <c r="Q141" s="167">
        <f t="shared" si="2"/>
        <v>34000</v>
      </c>
      <c r="R141" s="335">
        <v>34000</v>
      </c>
      <c r="S141" s="249"/>
      <c r="T141" s="162"/>
      <c r="U141" s="249"/>
      <c r="V141" s="336">
        <v>50000</v>
      </c>
      <c r="W141" s="377" t="s">
        <v>579</v>
      </c>
      <c r="X141" s="337"/>
      <c r="Y141" s="338"/>
      <c r="Z141" s="336"/>
      <c r="AA141" s="336"/>
      <c r="AB141" s="168"/>
      <c r="AC141" s="168"/>
      <c r="AD141" s="168"/>
      <c r="AE141" s="168">
        <v>166333.11</v>
      </c>
      <c r="AF141" s="168">
        <v>0</v>
      </c>
      <c r="AG141" s="168"/>
      <c r="AH141" s="169"/>
      <c r="AI141" s="170">
        <v>0.831696073245888</v>
      </c>
      <c r="AJ141" s="152" t="s">
        <v>143</v>
      </c>
      <c r="AK141" s="171"/>
      <c r="AL141" s="171"/>
      <c r="AM141" s="38" t="s">
        <v>688</v>
      </c>
      <c r="AN141" s="38"/>
      <c r="AO141" s="38"/>
      <c r="AP141" s="38"/>
      <c r="AQ141" s="38"/>
      <c r="AR141" s="38"/>
      <c r="AS141" s="38"/>
      <c r="AT141" s="38"/>
      <c r="AU141" s="38"/>
      <c r="AV141" s="38"/>
      <c r="AW141" s="38"/>
      <c r="AX141" s="38"/>
      <c r="AY141" s="38"/>
      <c r="AZ141" s="38"/>
      <c r="BA141" s="38"/>
      <c r="BB141" s="38"/>
      <c r="BC141" s="38"/>
      <c r="BD141" s="38"/>
      <c r="BE141" s="38"/>
      <c r="BF141" s="38"/>
    </row>
    <row r="142" spans="1:58" s="173" customFormat="1" ht="12.75" customHeight="1">
      <c r="A142" s="153"/>
      <c r="B142" s="154" t="s">
        <v>201</v>
      </c>
      <c r="C142" s="155" t="s">
        <v>201</v>
      </c>
      <c r="D142" s="156"/>
      <c r="E142" s="330"/>
      <c r="F142" s="331"/>
      <c r="G142" s="250" t="s">
        <v>517</v>
      </c>
      <c r="H142" s="332"/>
      <c r="I142" s="332">
        <v>346</v>
      </c>
      <c r="J142" s="335"/>
      <c r="K142" s="249"/>
      <c r="L142" s="334"/>
      <c r="M142" s="163"/>
      <c r="N142" s="163"/>
      <c r="O142" s="334"/>
      <c r="P142" s="163"/>
      <c r="Q142" s="167">
        <f t="shared" si="2"/>
        <v>803.39</v>
      </c>
      <c r="R142" s="335">
        <v>803.39</v>
      </c>
      <c r="S142" s="162"/>
      <c r="T142" s="162"/>
      <c r="U142" s="162"/>
      <c r="V142" s="336">
        <v>50000</v>
      </c>
      <c r="W142" s="340" t="s">
        <v>619</v>
      </c>
      <c r="X142" s="337"/>
      <c r="Y142" s="338"/>
      <c r="Z142" s="336"/>
      <c r="AA142" s="336"/>
      <c r="AB142" s="168"/>
      <c r="AC142" s="168"/>
      <c r="AD142" s="168"/>
      <c r="AE142" s="184"/>
      <c r="AF142" s="185"/>
      <c r="AG142" s="168"/>
      <c r="AH142" s="169"/>
      <c r="AI142" s="186"/>
      <c r="AJ142" s="152"/>
      <c r="AK142" s="171"/>
      <c r="AL142" s="171"/>
      <c r="AM142" s="38"/>
      <c r="AN142" s="38"/>
      <c r="AO142" s="38"/>
      <c r="AP142" s="38"/>
      <c r="AQ142" s="38"/>
      <c r="AR142" s="38"/>
      <c r="AS142" s="38"/>
      <c r="AT142" s="38"/>
      <c r="AU142" s="38"/>
      <c r="AV142" s="38"/>
      <c r="AW142" s="38"/>
      <c r="AX142" s="38"/>
      <c r="AY142" s="38"/>
      <c r="AZ142" s="38"/>
      <c r="BA142" s="38"/>
      <c r="BB142" s="38"/>
      <c r="BC142" s="38"/>
      <c r="BD142" s="38"/>
      <c r="BE142" s="38"/>
      <c r="BF142" s="38"/>
    </row>
    <row r="143" spans="1:58" s="173" customFormat="1" ht="33" customHeight="1">
      <c r="A143" s="153"/>
      <c r="B143" s="154" t="s">
        <v>201</v>
      </c>
      <c r="C143" s="155" t="s">
        <v>201</v>
      </c>
      <c r="D143" s="156"/>
      <c r="E143" s="330"/>
      <c r="F143" s="331"/>
      <c r="G143" s="250" t="s">
        <v>517</v>
      </c>
      <c r="H143" s="332"/>
      <c r="I143" s="332">
        <v>346</v>
      </c>
      <c r="J143" s="335"/>
      <c r="K143" s="249"/>
      <c r="L143" s="334"/>
      <c r="M143" s="163"/>
      <c r="N143" s="163"/>
      <c r="O143" s="334"/>
      <c r="P143" s="163"/>
      <c r="Q143" s="167">
        <f>R143+S143+T143+U143</f>
        <v>803.39</v>
      </c>
      <c r="R143" s="335">
        <v>803.39</v>
      </c>
      <c r="S143" s="162"/>
      <c r="T143" s="162"/>
      <c r="U143" s="162"/>
      <c r="V143" s="336">
        <v>2500</v>
      </c>
      <c r="W143" s="376" t="s">
        <v>621</v>
      </c>
      <c r="X143" s="337"/>
      <c r="Y143" s="338"/>
      <c r="Z143" s="336"/>
      <c r="AA143" s="336"/>
      <c r="AB143" s="168"/>
      <c r="AC143" s="168"/>
      <c r="AD143" s="168"/>
      <c r="AE143" s="184"/>
      <c r="AF143" s="185"/>
      <c r="AG143" s="168"/>
      <c r="AH143" s="169"/>
      <c r="AI143" s="186"/>
      <c r="AJ143" s="152"/>
      <c r="AK143" s="171"/>
      <c r="AL143" s="171"/>
      <c r="AM143" s="38"/>
      <c r="AN143" s="38"/>
      <c r="AO143" s="38"/>
      <c r="AP143" s="38"/>
      <c r="AQ143" s="38"/>
      <c r="AR143" s="38"/>
      <c r="AS143" s="38"/>
      <c r="AT143" s="38"/>
      <c r="AU143" s="38"/>
      <c r="AV143" s="38"/>
      <c r="AW143" s="38"/>
      <c r="AX143" s="38"/>
      <c r="AY143" s="38"/>
      <c r="AZ143" s="38"/>
      <c r="BA143" s="38"/>
      <c r="BB143" s="38"/>
      <c r="BC143" s="38"/>
      <c r="BD143" s="38"/>
      <c r="BE143" s="38"/>
      <c r="BF143" s="38"/>
    </row>
    <row r="144" spans="1:58" s="173" customFormat="1" ht="24" customHeight="1">
      <c r="A144" s="153"/>
      <c r="B144" s="329"/>
      <c r="C144" s="174"/>
      <c r="D144" s="156"/>
      <c r="E144" s="330"/>
      <c r="F144" s="331"/>
      <c r="G144" s="250" t="s">
        <v>517</v>
      </c>
      <c r="H144" s="332"/>
      <c r="I144" s="332">
        <v>349</v>
      </c>
      <c r="J144" s="335"/>
      <c r="K144" s="249"/>
      <c r="L144" s="334"/>
      <c r="M144" s="163"/>
      <c r="N144" s="163"/>
      <c r="O144" s="334"/>
      <c r="P144" s="163"/>
      <c r="Q144" s="167"/>
      <c r="R144" s="335"/>
      <c r="S144" s="162"/>
      <c r="T144" s="162"/>
      <c r="U144" s="162"/>
      <c r="V144" s="336">
        <v>10000</v>
      </c>
      <c r="W144" s="376" t="s">
        <v>622</v>
      </c>
      <c r="X144" s="337"/>
      <c r="Y144" s="255" t="s">
        <v>235</v>
      </c>
      <c r="Z144" s="252">
        <f>SUM(Z138:Z143)</f>
        <v>50000</v>
      </c>
      <c r="AA144" s="252">
        <f>SUM(AA138:AA143)</f>
        <v>376875.2</v>
      </c>
      <c r="AB144" s="168"/>
      <c r="AC144" s="168"/>
      <c r="AD144" s="168"/>
      <c r="AE144" s="184"/>
      <c r="AF144" s="185"/>
      <c r="AG144" s="168"/>
      <c r="AH144" s="169"/>
      <c r="AI144" s="186"/>
      <c r="AJ144" s="152"/>
      <c r="AK144" s="171"/>
      <c r="AL144" s="171"/>
      <c r="AM144" s="38"/>
      <c r="AN144" s="38"/>
      <c r="AO144" s="38"/>
      <c r="AP144" s="38"/>
      <c r="AQ144" s="38"/>
      <c r="AR144" s="38"/>
      <c r="AS144" s="38"/>
      <c r="AT144" s="38"/>
      <c r="AU144" s="38"/>
      <c r="AV144" s="38"/>
      <c r="AW144" s="38"/>
      <c r="AX144" s="38"/>
      <c r="AY144" s="38"/>
      <c r="AZ144" s="38"/>
      <c r="BA144" s="38"/>
      <c r="BB144" s="38"/>
      <c r="BC144" s="38"/>
      <c r="BD144" s="38"/>
      <c r="BE144" s="38"/>
      <c r="BF144" s="38"/>
    </row>
    <row r="145" spans="1:58" s="173" customFormat="1" ht="12.75" customHeight="1">
      <c r="A145" s="153"/>
      <c r="B145" s="329"/>
      <c r="C145" s="174"/>
      <c r="D145" s="357" t="s">
        <v>234</v>
      </c>
      <c r="E145" s="378"/>
      <c r="F145" s="379"/>
      <c r="G145" s="250" t="s">
        <v>517</v>
      </c>
      <c r="H145" s="380"/>
      <c r="I145" s="380"/>
      <c r="J145" s="381"/>
      <c r="K145" s="183"/>
      <c r="L145" s="177"/>
      <c r="M145" s="178"/>
      <c r="N145" s="178"/>
      <c r="O145" s="177"/>
      <c r="P145" s="178"/>
      <c r="Q145" s="179">
        <f>R145+S145+T145+U145</f>
        <v>104803.39</v>
      </c>
      <c r="R145" s="252">
        <f>R140+R141+R142+R144</f>
        <v>104803.39</v>
      </c>
      <c r="S145" s="252">
        <f>S140+S141+S142+S144</f>
        <v>0</v>
      </c>
      <c r="T145" s="252">
        <f>T140+T141+T142+T144</f>
        <v>0</v>
      </c>
      <c r="U145" s="252">
        <f>U140+U141+U142+U144</f>
        <v>0</v>
      </c>
      <c r="V145" s="252">
        <f>SUM(V139:V144)</f>
        <v>262500</v>
      </c>
      <c r="W145" s="253"/>
      <c r="X145" s="382">
        <f>SUM(X139:X144)</f>
        <v>50000</v>
      </c>
      <c r="Y145" s="383" t="e">
        <f>Y141+Y134+Y113+Y102+Y97+Y126+Y94+Y86+Y82+Y135</f>
        <v>#VALUE!</v>
      </c>
      <c r="Z145" s="335"/>
      <c r="AA145" s="335"/>
      <c r="AB145" s="168"/>
      <c r="AC145" s="168"/>
      <c r="AD145" s="168"/>
      <c r="AE145" s="184"/>
      <c r="AF145" s="185"/>
      <c r="AG145" s="168"/>
      <c r="AH145" s="169"/>
      <c r="AI145" s="186"/>
      <c r="AJ145" s="152"/>
      <c r="AK145" s="171"/>
      <c r="AL145" s="171"/>
      <c r="AM145" s="38"/>
      <c r="AN145" s="38"/>
      <c r="AO145" s="38"/>
      <c r="AP145" s="38"/>
      <c r="AQ145" s="38"/>
      <c r="AR145" s="38"/>
      <c r="AS145" s="38"/>
      <c r="AT145" s="38"/>
      <c r="AU145" s="38"/>
      <c r="AV145" s="38"/>
      <c r="AW145" s="38"/>
      <c r="AX145" s="38"/>
      <c r="AY145" s="38"/>
      <c r="AZ145" s="38"/>
      <c r="BA145" s="38"/>
      <c r="BB145" s="38"/>
      <c r="BC145" s="38"/>
      <c r="BD145" s="38"/>
      <c r="BE145" s="38"/>
      <c r="BF145" s="38"/>
    </row>
    <row r="146" spans="1:58" s="355" customFormat="1" ht="12.75" customHeight="1">
      <c r="A146" s="153"/>
      <c r="B146" s="329"/>
      <c r="C146" s="174"/>
      <c r="D146" s="156"/>
      <c r="E146" s="330"/>
      <c r="F146" s="331"/>
      <c r="G146" s="250"/>
      <c r="H146" s="332"/>
      <c r="I146" s="332"/>
      <c r="J146" s="333"/>
      <c r="K146" s="249"/>
      <c r="L146" s="334"/>
      <c r="M146" s="163"/>
      <c r="N146" s="163"/>
      <c r="O146" s="334"/>
      <c r="P146" s="163"/>
      <c r="Q146" s="167">
        <f t="shared" si="2"/>
        <v>0</v>
      </c>
      <c r="R146" s="162"/>
      <c r="S146" s="162"/>
      <c r="T146" s="162"/>
      <c r="U146" s="162"/>
      <c r="V146" s="335"/>
      <c r="W146" s="340"/>
      <c r="X146" s="337"/>
      <c r="Y146" s="177"/>
      <c r="Z146" s="252">
        <f>Z104+Z115+Z129+Z135+Z137+Z144+Z97</f>
        <v>1201398.758</v>
      </c>
      <c r="AA146" s="252">
        <f>AA104+AA115+AA129+AA135+AA137+AA144+AA97</f>
        <v>1690006.9579999999</v>
      </c>
      <c r="AB146" s="177"/>
      <c r="AC146" s="178"/>
      <c r="AD146" s="167"/>
      <c r="AE146" s="252"/>
      <c r="AF146" s="252"/>
      <c r="AG146" s="252"/>
      <c r="AH146" s="252"/>
      <c r="AI146" s="252">
        <f>AI104+AI115+AI129+AI135+AI137+AI144</f>
        <v>0.020820348837209304</v>
      </c>
      <c r="AJ146" s="352"/>
      <c r="AK146" s="353"/>
      <c r="AL146" s="353"/>
      <c r="AM146" s="38"/>
      <c r="AN146" s="354"/>
      <c r="AO146" s="354"/>
      <c r="AP146" s="354"/>
      <c r="AQ146" s="354"/>
      <c r="AR146" s="354"/>
      <c r="AS146" s="354"/>
      <c r="AT146" s="354"/>
      <c r="AU146" s="354"/>
      <c r="AV146" s="354"/>
      <c r="AW146" s="354"/>
      <c r="AX146" s="354"/>
      <c r="AY146" s="354"/>
      <c r="AZ146" s="354"/>
      <c r="BA146" s="354"/>
      <c r="BB146" s="354"/>
      <c r="BC146" s="354"/>
      <c r="BD146" s="354"/>
      <c r="BE146" s="354"/>
      <c r="BF146" s="354"/>
    </row>
    <row r="147" spans="1:58" s="355" customFormat="1" ht="12.75" customHeight="1">
      <c r="A147" s="341"/>
      <c r="B147" s="174"/>
      <c r="C147" s="174"/>
      <c r="D147" s="357" t="s">
        <v>234</v>
      </c>
      <c r="E147" s="378"/>
      <c r="F147" s="379"/>
      <c r="G147" s="250"/>
      <c r="H147" s="1072">
        <f>V147-V145-V105-V98-V130</f>
        <v>488389.497924</v>
      </c>
      <c r="I147" s="380"/>
      <c r="J147" s="381" t="s">
        <v>654</v>
      </c>
      <c r="K147" s="183"/>
      <c r="L147" s="177"/>
      <c r="M147" s="178"/>
      <c r="N147" s="178"/>
      <c r="O147" s="177"/>
      <c r="P147" s="178"/>
      <c r="Q147" s="167"/>
      <c r="R147" s="252"/>
      <c r="S147" s="252"/>
      <c r="T147" s="252"/>
      <c r="U147" s="252"/>
      <c r="V147" s="252">
        <f>V98+V105+V116+V130+V136+V138+V145+(V105+V116+V130+V136+V138+V145)*3.8%+114900</f>
        <v>1816189.497924</v>
      </c>
      <c r="W147" s="252">
        <f>V147</f>
        <v>1816189.497924</v>
      </c>
      <c r="X147" s="382">
        <f>X105+X116+X130+X136+X138+X145+X133</f>
        <v>1129672.58</v>
      </c>
      <c r="Y147" s="390"/>
      <c r="Z147" s="383"/>
      <c r="AA147" s="383"/>
      <c r="AB147" s="394"/>
      <c r="AC147" s="394"/>
      <c r="AD147" s="164"/>
      <c r="AE147" s="395"/>
      <c r="AF147" s="395"/>
      <c r="AG147" s="395"/>
      <c r="AH147" s="395"/>
      <c r="AI147" s="395"/>
      <c r="AJ147" s="352"/>
      <c r="AK147" s="353"/>
      <c r="AL147" s="353"/>
      <c r="AM147" s="354"/>
      <c r="AN147" s="354"/>
      <c r="AO147" s="354"/>
      <c r="AP147" s="354"/>
      <c r="AQ147" s="354"/>
      <c r="AR147" s="354"/>
      <c r="AS147" s="354"/>
      <c r="AT147" s="354"/>
      <c r="AU147" s="354"/>
      <c r="AV147" s="354"/>
      <c r="AW147" s="354"/>
      <c r="AX147" s="354"/>
      <c r="AY147" s="354"/>
      <c r="AZ147" s="354"/>
      <c r="BA147" s="354"/>
      <c r="BB147" s="354"/>
      <c r="BC147" s="354"/>
      <c r="BD147" s="354"/>
      <c r="BE147" s="354"/>
      <c r="BF147" s="354"/>
    </row>
    <row r="148" spans="1:58" s="173" customFormat="1" ht="12.75" customHeight="1" thickBot="1">
      <c r="A148" s="341"/>
      <c r="B148" s="174"/>
      <c r="C148" s="175"/>
      <c r="D148" s="384"/>
      <c r="E148" s="385"/>
      <c r="F148" s="386"/>
      <c r="G148" s="387"/>
      <c r="H148" s="388"/>
      <c r="I148" s="388"/>
      <c r="J148" s="381" t="s">
        <v>236</v>
      </c>
      <c r="K148" s="389"/>
      <c r="L148" s="390"/>
      <c r="M148" s="391"/>
      <c r="N148" s="391"/>
      <c r="O148" s="390"/>
      <c r="P148" s="391"/>
      <c r="Q148" s="392"/>
      <c r="R148" s="383"/>
      <c r="S148" s="383"/>
      <c r="T148" s="383"/>
      <c r="U148" s="383"/>
      <c r="V148" s="383">
        <f>V134+V135</f>
        <v>2000</v>
      </c>
      <c r="W148" s="383">
        <f>V149+X149</f>
        <v>8913304.08086144</v>
      </c>
      <c r="X148" s="393">
        <f>X134+X135</f>
        <v>2000</v>
      </c>
      <c r="Y148" s="398">
        <f>V149+X149</f>
        <v>8913304.08086144</v>
      </c>
      <c r="Z148" s="383">
        <f>Z144+Z136+Z115+Z104+Z99+Z129+Z97+Z89+Z84+Z137</f>
        <v>7044840.760937439</v>
      </c>
      <c r="AA148" s="383">
        <f>AA144+AA136+AA115+AA104+AA99+AA129+AA97+AA89+AA84+AA137</f>
        <v>7648448.96093744</v>
      </c>
      <c r="AB148" s="1410"/>
      <c r="AC148" s="1411"/>
      <c r="AD148" s="1412"/>
      <c r="AE148" s="184">
        <v>696167.33</v>
      </c>
      <c r="AF148" s="185">
        <v>1000</v>
      </c>
      <c r="AG148" s="1410"/>
      <c r="AH148" s="1412"/>
      <c r="AI148" s="186">
        <v>0.6421065650492048</v>
      </c>
      <c r="AJ148" s="152" t="s">
        <v>143</v>
      </c>
      <c r="AK148" s="171"/>
      <c r="AL148" s="171"/>
      <c r="AM148" s="354"/>
      <c r="AN148" s="38"/>
      <c r="AO148" s="38"/>
      <c r="AP148" s="38"/>
      <c r="AQ148" s="38"/>
      <c r="AR148" s="38"/>
      <c r="AS148" s="38"/>
      <c r="AT148" s="38"/>
      <c r="AU148" s="38"/>
      <c r="AV148" s="38"/>
      <c r="AW148" s="38"/>
      <c r="AX148" s="38"/>
      <c r="AY148" s="38"/>
      <c r="AZ148" s="38"/>
      <c r="BA148" s="38"/>
      <c r="BB148" s="38"/>
      <c r="BC148" s="38"/>
      <c r="BD148" s="38"/>
      <c r="BE148" s="38"/>
      <c r="BF148" s="38"/>
    </row>
    <row r="149" spans="1:58" s="173" customFormat="1" ht="12.75" customHeight="1" thickBot="1">
      <c r="A149" s="153"/>
      <c r="B149" s="1413" t="s">
        <v>161</v>
      </c>
      <c r="C149" s="1414"/>
      <c r="D149" s="1423"/>
      <c r="E149" s="1423"/>
      <c r="F149" s="1423"/>
      <c r="G149" s="1423"/>
      <c r="H149" s="1423"/>
      <c r="I149" s="1423"/>
      <c r="J149" s="1423"/>
      <c r="K149" s="1424"/>
      <c r="L149" s="390">
        <v>554000</v>
      </c>
      <c r="M149" s="391">
        <v>230600</v>
      </c>
      <c r="N149" s="391">
        <v>181395.45</v>
      </c>
      <c r="O149" s="390">
        <v>116640</v>
      </c>
      <c r="P149" s="391">
        <v>1082635.45</v>
      </c>
      <c r="Q149" s="396">
        <f>R149+S149+T149+U149</f>
        <v>797983.39</v>
      </c>
      <c r="R149" s="383">
        <f>R145+R137+R116+R105+R100+R130</f>
        <v>649023.39</v>
      </c>
      <c r="S149" s="383">
        <f>S145+S137+S116+S105+S100+S130</f>
        <v>58820</v>
      </c>
      <c r="T149" s="383">
        <f>T145+T137+T116+T105+T100+T130</f>
        <v>42820</v>
      </c>
      <c r="U149" s="383">
        <f>U145+U137+U116+U105+U100+U130</f>
        <v>47320</v>
      </c>
      <c r="V149" s="383">
        <f>V147+V148+V90+V85</f>
        <v>7776631.50086144</v>
      </c>
      <c r="W149" s="397">
        <f>W147+V148+V90+V85</f>
        <v>7776631.50086144</v>
      </c>
      <c r="X149" s="393">
        <f>X145+X137+X116+X105+X100+X130+X98+X90+X85+X138+X133</f>
        <v>1136672.58</v>
      </c>
      <c r="Y149" s="787"/>
      <c r="Z149" s="787"/>
      <c r="AA149" s="788"/>
      <c r="AB149" s="183"/>
      <c r="AC149" s="183"/>
      <c r="AD149" s="183"/>
      <c r="AE149" s="249"/>
      <c r="AF149" s="249"/>
      <c r="AG149" s="183"/>
      <c r="AH149" s="183"/>
      <c r="AI149" s="186"/>
      <c r="AJ149" s="152"/>
      <c r="AK149" s="171"/>
      <c r="AL149" s="171"/>
      <c r="AM149" s="172"/>
      <c r="AN149" s="38"/>
      <c r="AO149" s="38"/>
      <c r="AP149" s="38"/>
      <c r="AQ149" s="38"/>
      <c r="AR149" s="38"/>
      <c r="AS149" s="38"/>
      <c r="AT149" s="38"/>
      <c r="AU149" s="38"/>
      <c r="AV149" s="38"/>
      <c r="AW149" s="38"/>
      <c r="AX149" s="38"/>
      <c r="AY149" s="38"/>
      <c r="AZ149" s="38"/>
      <c r="BA149" s="38"/>
      <c r="BB149" s="38"/>
      <c r="BC149" s="38"/>
      <c r="BD149" s="38"/>
      <c r="BE149" s="38"/>
      <c r="BF149" s="38"/>
    </row>
    <row r="150" spans="1:58" s="173" customFormat="1" ht="30" customHeight="1">
      <c r="A150" s="153"/>
      <c r="B150" s="174"/>
      <c r="C150" s="175"/>
      <c r="D150" s="1418" t="s">
        <v>451</v>
      </c>
      <c r="E150" s="1419"/>
      <c r="F150" s="1419"/>
      <c r="G150" s="1419"/>
      <c r="H150" s="1419"/>
      <c r="I150" s="1419"/>
      <c r="J150" s="1419"/>
      <c r="K150" s="1419"/>
      <c r="L150" s="1419"/>
      <c r="M150" s="1419"/>
      <c r="N150" s="1419"/>
      <c r="O150" s="1419"/>
      <c r="P150" s="1419"/>
      <c r="Q150" s="1419"/>
      <c r="R150" s="1419"/>
      <c r="S150" s="1419"/>
      <c r="T150" s="1419"/>
      <c r="U150" s="1419"/>
      <c r="V150" s="1419"/>
      <c r="W150" s="1419"/>
      <c r="X150" s="1419"/>
      <c r="Y150" s="1419"/>
      <c r="Z150" s="1419"/>
      <c r="AA150" s="1419"/>
      <c r="AB150" s="175"/>
      <c r="AC150" s="175"/>
      <c r="AD150" s="175"/>
      <c r="AE150" s="175"/>
      <c r="AF150" s="175"/>
      <c r="AG150" s="175"/>
      <c r="AH150" s="175"/>
      <c r="AI150" s="190"/>
      <c r="AJ150" s="152" t="s">
        <v>143</v>
      </c>
      <c r="AK150" s="171"/>
      <c r="AL150" s="171"/>
      <c r="AM150" s="38"/>
      <c r="AN150" s="38"/>
      <c r="AO150" s="38"/>
      <c r="AP150" s="38"/>
      <c r="AQ150" s="38"/>
      <c r="AR150" s="38"/>
      <c r="AS150" s="38"/>
      <c r="AT150" s="38"/>
      <c r="AU150" s="38"/>
      <c r="AV150" s="38"/>
      <c r="AW150" s="38"/>
      <c r="AX150" s="38"/>
      <c r="AY150" s="38"/>
      <c r="AZ150" s="38"/>
      <c r="BA150" s="38"/>
      <c r="BB150" s="38"/>
      <c r="BC150" s="38"/>
      <c r="BD150" s="38"/>
      <c r="BE150" s="38"/>
      <c r="BF150" s="38"/>
    </row>
    <row r="151" spans="1:58" s="173" customFormat="1" ht="22.5" customHeight="1">
      <c r="A151" s="153"/>
      <c r="B151" s="174" t="s">
        <v>237</v>
      </c>
      <c r="C151" s="175"/>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94"/>
      <c r="Z151" s="971">
        <v>1400000</v>
      </c>
      <c r="AA151" s="972">
        <v>2500000</v>
      </c>
      <c r="AB151" s="168"/>
      <c r="AC151" s="168"/>
      <c r="AD151" s="168"/>
      <c r="AE151" s="168">
        <v>0</v>
      </c>
      <c r="AF151" s="168">
        <v>0</v>
      </c>
      <c r="AG151" s="168"/>
      <c r="AH151" s="169"/>
      <c r="AI151" s="170"/>
      <c r="AJ151" s="152" t="s">
        <v>143</v>
      </c>
      <c r="AK151" s="171"/>
      <c r="AL151" s="171"/>
      <c r="AM151" s="38"/>
      <c r="AN151" s="172">
        <f>(AA10-AA15)*5%</f>
        <v>2103828.25</v>
      </c>
      <c r="AO151" s="38"/>
      <c r="AP151" s="38"/>
      <c r="AQ151" s="38"/>
      <c r="AR151" s="38"/>
      <c r="AS151" s="38"/>
      <c r="AT151" s="38"/>
      <c r="AU151" s="38"/>
      <c r="AV151" s="38"/>
      <c r="AW151" s="38"/>
      <c r="AX151" s="38"/>
      <c r="AY151" s="38"/>
      <c r="AZ151" s="38"/>
      <c r="BA151" s="38"/>
      <c r="BB151" s="38"/>
      <c r="BC151" s="38"/>
      <c r="BD151" s="38"/>
      <c r="BE151" s="38"/>
      <c r="BF151" s="38"/>
    </row>
    <row r="152" spans="1:58" s="173" customFormat="1" ht="12.75" customHeight="1">
      <c r="A152" s="153"/>
      <c r="B152" s="154" t="s">
        <v>237</v>
      </c>
      <c r="C152" s="155" t="s">
        <v>237</v>
      </c>
      <c r="D152" s="156">
        <v>656400011</v>
      </c>
      <c r="E152" s="157">
        <v>113</v>
      </c>
      <c r="F152" s="158">
        <v>656</v>
      </c>
      <c r="G152" s="250" t="s">
        <v>494</v>
      </c>
      <c r="H152" s="160" t="s">
        <v>90</v>
      </c>
      <c r="I152" s="160">
        <v>290</v>
      </c>
      <c r="J152" s="161">
        <v>292</v>
      </c>
      <c r="K152" s="162"/>
      <c r="L152" s="163">
        <v>0</v>
      </c>
      <c r="M152" s="163">
        <v>0</v>
      </c>
      <c r="N152" s="163">
        <v>0</v>
      </c>
      <c r="O152" s="163">
        <v>0</v>
      </c>
      <c r="P152" s="163">
        <v>0</v>
      </c>
      <c r="Q152" s="167"/>
      <c r="R152" s="162">
        <v>0</v>
      </c>
      <c r="S152" s="162">
        <v>0</v>
      </c>
      <c r="T152" s="162">
        <v>0</v>
      </c>
      <c r="U152" s="162">
        <v>0</v>
      </c>
      <c r="V152" s="195">
        <v>0</v>
      </c>
      <c r="W152" s="162">
        <v>0</v>
      </c>
      <c r="X152" s="193"/>
      <c r="Y152" s="255"/>
      <c r="Z152" s="973">
        <f>Z151</f>
        <v>1400000</v>
      </c>
      <c r="AA152" s="974">
        <f>AA151</f>
        <v>2500000</v>
      </c>
      <c r="AB152" s="1410"/>
      <c r="AC152" s="1411"/>
      <c r="AD152" s="1412"/>
      <c r="AE152" s="184">
        <v>0</v>
      </c>
      <c r="AF152" s="185">
        <v>0</v>
      </c>
      <c r="AG152" s="1410"/>
      <c r="AH152" s="1412"/>
      <c r="AI152" s="186"/>
      <c r="AJ152" s="152" t="s">
        <v>143</v>
      </c>
      <c r="AK152" s="171"/>
      <c r="AL152" s="171"/>
      <c r="AM152" s="172">
        <f>(Z10-Z15)*2.5%</f>
        <v>1122805.85</v>
      </c>
      <c r="AN152" s="83"/>
      <c r="AO152" s="38"/>
      <c r="AP152" s="38"/>
      <c r="AQ152" s="38"/>
      <c r="AR152" s="38"/>
      <c r="AS152" s="38"/>
      <c r="AT152" s="38"/>
      <c r="AU152" s="38"/>
      <c r="AV152" s="38"/>
      <c r="AW152" s="38"/>
      <c r="AX152" s="38"/>
      <c r="AY152" s="38"/>
      <c r="AZ152" s="38"/>
      <c r="BA152" s="38"/>
      <c r="BB152" s="38"/>
      <c r="BC152" s="38"/>
      <c r="BD152" s="38"/>
      <c r="BE152" s="38"/>
      <c r="BF152" s="38"/>
    </row>
    <row r="153" spans="1:24" ht="12.75" customHeight="1">
      <c r="A153" s="153"/>
      <c r="B153" s="1413" t="s">
        <v>161</v>
      </c>
      <c r="C153" s="1414"/>
      <c r="D153" s="1414"/>
      <c r="E153" s="1414"/>
      <c r="F153" s="1414"/>
      <c r="G153" s="1414"/>
      <c r="H153" s="1414"/>
      <c r="I153" s="1414"/>
      <c r="J153" s="1414"/>
      <c r="K153" s="1415"/>
      <c r="L153" s="177">
        <v>0</v>
      </c>
      <c r="M153" s="178">
        <v>0</v>
      </c>
      <c r="N153" s="178">
        <v>0</v>
      </c>
      <c r="O153" s="177">
        <v>0</v>
      </c>
      <c r="P153" s="178">
        <v>0</v>
      </c>
      <c r="Q153" s="164"/>
      <c r="R153" s="251">
        <v>0</v>
      </c>
      <c r="S153" s="249">
        <v>0</v>
      </c>
      <c r="T153" s="251">
        <v>0</v>
      </c>
      <c r="U153" s="249">
        <v>0</v>
      </c>
      <c r="V153" s="252">
        <v>0</v>
      </c>
      <c r="W153" s="253">
        <v>0</v>
      </c>
      <c r="X153" s="254"/>
    </row>
    <row r="154" ht="12.75" customHeight="1" hidden="1"/>
    <row r="155" spans="25:38" ht="12.75" customHeight="1" hidden="1">
      <c r="Y155" s="413"/>
      <c r="Z155" s="412">
        <v>0</v>
      </c>
      <c r="AA155" s="414">
        <v>0</v>
      </c>
      <c r="AB155" s="1410"/>
      <c r="AC155" s="1411"/>
      <c r="AD155" s="1412"/>
      <c r="AE155" s="184">
        <v>0</v>
      </c>
      <c r="AF155" s="185">
        <v>0</v>
      </c>
      <c r="AG155" s="1410"/>
      <c r="AH155" s="1412"/>
      <c r="AI155" s="186"/>
      <c r="AJ155" s="152" t="s">
        <v>143</v>
      </c>
      <c r="AK155" s="30"/>
      <c r="AL155" s="30"/>
    </row>
    <row r="156" spans="1:38" ht="12.75" customHeight="1" hidden="1">
      <c r="A156" s="151"/>
      <c r="B156" s="1413" t="s">
        <v>161</v>
      </c>
      <c r="C156" s="1414"/>
      <c r="D156" s="1414"/>
      <c r="E156" s="1414"/>
      <c r="F156" s="1414"/>
      <c r="G156" s="1414"/>
      <c r="H156" s="1414"/>
      <c r="I156" s="1414"/>
      <c r="J156" s="1414"/>
      <c r="K156" s="1415"/>
      <c r="L156" s="408">
        <v>0</v>
      </c>
      <c r="M156" s="180">
        <v>0</v>
      </c>
      <c r="N156" s="180">
        <v>0</v>
      </c>
      <c r="O156" s="408">
        <v>0</v>
      </c>
      <c r="P156" s="180">
        <v>0</v>
      </c>
      <c r="Q156" s="164"/>
      <c r="R156" s="409"/>
      <c r="S156" s="410">
        <v>0</v>
      </c>
      <c r="T156" s="409">
        <v>0</v>
      </c>
      <c r="U156" s="410">
        <v>0</v>
      </c>
      <c r="V156" s="411">
        <v>0</v>
      </c>
      <c r="W156" s="412">
        <v>0</v>
      </c>
      <c r="X156" s="254"/>
      <c r="Y156" s="791"/>
      <c r="Z156" s="791"/>
      <c r="AA156" s="810"/>
      <c r="AB156" s="183"/>
      <c r="AC156" s="183"/>
      <c r="AD156" s="183"/>
      <c r="AE156" s="249"/>
      <c r="AF156" s="249"/>
      <c r="AG156" s="183"/>
      <c r="AH156" s="183"/>
      <c r="AI156" s="186"/>
      <c r="AJ156" s="152"/>
      <c r="AK156" s="30"/>
      <c r="AL156" s="30"/>
    </row>
    <row r="157" spans="1:38" ht="14.25" customHeight="1">
      <c r="A157" s="151"/>
      <c r="B157" s="174"/>
      <c r="C157" s="175"/>
      <c r="D157" s="809" t="s">
        <v>238</v>
      </c>
      <c r="E157" s="791"/>
      <c r="F157" s="791"/>
      <c r="G157" s="791"/>
      <c r="H157" s="791"/>
      <c r="I157" s="791"/>
      <c r="J157" s="791"/>
      <c r="K157" s="791"/>
      <c r="L157" s="791"/>
      <c r="M157" s="791"/>
      <c r="N157" s="791"/>
      <c r="O157" s="791"/>
      <c r="P157" s="791"/>
      <c r="Q157" s="791"/>
      <c r="R157" s="791"/>
      <c r="S157" s="791"/>
      <c r="T157" s="791"/>
      <c r="U157" s="791"/>
      <c r="V157" s="791"/>
      <c r="W157" s="791"/>
      <c r="X157" s="791"/>
      <c r="Y157" s="415"/>
      <c r="Z157" s="416"/>
      <c r="AA157" s="416"/>
      <c r="AB157" s="183"/>
      <c r="AC157" s="183"/>
      <c r="AD157" s="183"/>
      <c r="AE157" s="249"/>
      <c r="AF157" s="249"/>
      <c r="AG157" s="183"/>
      <c r="AH157" s="183"/>
      <c r="AI157" s="186"/>
      <c r="AJ157" s="152"/>
      <c r="AK157" s="30"/>
      <c r="AL157" s="30"/>
    </row>
    <row r="158" spans="1:38" ht="12.75" customHeight="1">
      <c r="A158" s="151"/>
      <c r="B158" s="174"/>
      <c r="C158" s="175"/>
      <c r="D158" s="1431" t="s">
        <v>239</v>
      </c>
      <c r="E158" s="1431"/>
      <c r="F158" s="1431"/>
      <c r="G158" s="1431"/>
      <c r="H158" s="1431"/>
      <c r="I158" s="1431"/>
      <c r="J158" s="1431"/>
      <c r="K158" s="1431"/>
      <c r="L158" s="1431"/>
      <c r="M158" s="1431"/>
      <c r="N158" s="1431"/>
      <c r="O158" s="1431"/>
      <c r="P158" s="1431"/>
      <c r="Q158" s="1431"/>
      <c r="R158" s="1431"/>
      <c r="S158" s="1431"/>
      <c r="T158" s="1431"/>
      <c r="U158" s="1431"/>
      <c r="V158" s="1431"/>
      <c r="W158" s="1431"/>
      <c r="X158" s="1431"/>
      <c r="Y158" s="175"/>
      <c r="Z158" s="175"/>
      <c r="AA158" s="175"/>
      <c r="AB158" s="175"/>
      <c r="AC158" s="175"/>
      <c r="AD158" s="175"/>
      <c r="AE158" s="175"/>
      <c r="AF158" s="175"/>
      <c r="AG158" s="175"/>
      <c r="AH158" s="175"/>
      <c r="AI158" s="190"/>
      <c r="AJ158" s="152" t="s">
        <v>143</v>
      </c>
      <c r="AK158" s="30"/>
      <c r="AL158" s="30"/>
    </row>
    <row r="159" spans="1:58" s="173" customFormat="1" ht="12.75" customHeight="1">
      <c r="A159" s="151"/>
      <c r="B159" s="174" t="s">
        <v>240</v>
      </c>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94"/>
      <c r="Z159" s="417">
        <f>(13934.53*12)+(13934.53*12)*3.8%</f>
        <v>173568.50568</v>
      </c>
      <c r="AA159" s="417">
        <f>(13934.53*12)+(13934.53*12)*3.8%</f>
        <v>173568.50568</v>
      </c>
      <c r="AB159" s="168"/>
      <c r="AC159" s="168"/>
      <c r="AD159" s="168"/>
      <c r="AE159" s="168">
        <v>84094.68</v>
      </c>
      <c r="AF159" s="168">
        <v>0</v>
      </c>
      <c r="AG159" s="168"/>
      <c r="AH159" s="169"/>
      <c r="AI159" s="170">
        <v>0.6504608064516127</v>
      </c>
      <c r="AJ159" s="152" t="s">
        <v>143</v>
      </c>
      <c r="AK159" s="171"/>
      <c r="AL159" s="171"/>
      <c r="AM159" s="38"/>
      <c r="AN159" s="38"/>
      <c r="AO159" s="38"/>
      <c r="AP159" s="38"/>
      <c r="AQ159" s="38"/>
      <c r="AR159" s="38"/>
      <c r="AS159" s="38"/>
      <c r="AT159" s="38"/>
      <c r="AU159" s="38"/>
      <c r="AV159" s="38"/>
      <c r="AW159" s="38"/>
      <c r="AX159" s="38"/>
      <c r="AY159" s="38"/>
      <c r="AZ159" s="38"/>
      <c r="BA159" s="38"/>
      <c r="BB159" s="38"/>
      <c r="BC159" s="38"/>
      <c r="BD159" s="38"/>
      <c r="BE159" s="38"/>
      <c r="BF159" s="38"/>
    </row>
    <row r="160" spans="1:58" s="173" customFormat="1" ht="12.75" customHeight="1">
      <c r="A160" s="153"/>
      <c r="B160" s="154" t="s">
        <v>240</v>
      </c>
      <c r="C160" s="155" t="s">
        <v>240</v>
      </c>
      <c r="D160" s="156">
        <v>656430015</v>
      </c>
      <c r="E160" s="157">
        <v>203</v>
      </c>
      <c r="F160" s="158">
        <v>656</v>
      </c>
      <c r="G160" s="250" t="s">
        <v>549</v>
      </c>
      <c r="H160" s="160" t="s">
        <v>159</v>
      </c>
      <c r="I160" s="160">
        <v>211</v>
      </c>
      <c r="J160" s="161">
        <v>0</v>
      </c>
      <c r="K160" s="162"/>
      <c r="L160" s="163">
        <v>124000</v>
      </c>
      <c r="M160" s="163">
        <v>0</v>
      </c>
      <c r="N160" s="163">
        <v>0</v>
      </c>
      <c r="O160" s="163">
        <v>0</v>
      </c>
      <c r="P160" s="163">
        <v>124000</v>
      </c>
      <c r="Q160" s="167">
        <f>R160+S160+T160+U160</f>
        <v>118000</v>
      </c>
      <c r="R160" s="195">
        <v>118000</v>
      </c>
      <c r="S160" s="162"/>
      <c r="T160" s="162"/>
      <c r="U160" s="162"/>
      <c r="V160" s="417">
        <f>(13934.53*12)+(13934.53*12)*3.8%</f>
        <v>173568.50568</v>
      </c>
      <c r="W160" s="195" t="s">
        <v>559</v>
      </c>
      <c r="X160" s="193"/>
      <c r="Y160" s="194"/>
      <c r="Z160" s="417"/>
      <c r="AA160" s="417"/>
      <c r="AB160" s="168"/>
      <c r="AC160" s="168"/>
      <c r="AD160" s="168"/>
      <c r="AE160" s="168">
        <v>28128.94</v>
      </c>
      <c r="AF160" s="168">
        <v>0</v>
      </c>
      <c r="AG160" s="168"/>
      <c r="AH160" s="169"/>
      <c r="AI160" s="170">
        <v>0.639921052631579</v>
      </c>
      <c r="AJ160" s="152" t="s">
        <v>143</v>
      </c>
      <c r="AK160" s="171"/>
      <c r="AL160" s="171"/>
      <c r="AM160" s="38"/>
      <c r="AN160" s="195" t="s">
        <v>559</v>
      </c>
      <c r="AO160" s="38"/>
      <c r="AP160" s="38"/>
      <c r="AQ160" s="38"/>
      <c r="AR160" s="38"/>
      <c r="AS160" s="38"/>
      <c r="AT160" s="38"/>
      <c r="AU160" s="38"/>
      <c r="AV160" s="38"/>
      <c r="AW160" s="38"/>
      <c r="AX160" s="38"/>
      <c r="AY160" s="38"/>
      <c r="AZ160" s="38"/>
      <c r="BA160" s="38"/>
      <c r="BB160" s="38"/>
      <c r="BC160" s="38"/>
      <c r="BD160" s="38"/>
      <c r="BE160" s="38"/>
      <c r="BF160" s="38"/>
    </row>
    <row r="161" spans="1:58" s="173" customFormat="1" ht="12.75" customHeight="1">
      <c r="A161" s="153"/>
      <c r="B161" s="154" t="s">
        <v>240</v>
      </c>
      <c r="C161" s="155" t="s">
        <v>240</v>
      </c>
      <c r="D161" s="156">
        <v>656430015</v>
      </c>
      <c r="E161" s="157">
        <v>203</v>
      </c>
      <c r="F161" s="158">
        <v>656</v>
      </c>
      <c r="G161" s="250" t="s">
        <v>549</v>
      </c>
      <c r="H161" s="160" t="s">
        <v>159</v>
      </c>
      <c r="I161" s="160">
        <v>266</v>
      </c>
      <c r="J161" s="161">
        <v>0</v>
      </c>
      <c r="K161" s="162"/>
      <c r="L161" s="163">
        <v>124000</v>
      </c>
      <c r="M161" s="163">
        <v>0</v>
      </c>
      <c r="N161" s="163">
        <v>0</v>
      </c>
      <c r="O161" s="163">
        <v>0</v>
      </c>
      <c r="P161" s="163">
        <v>124000</v>
      </c>
      <c r="Q161" s="167">
        <f>R161+S161+T161+U161</f>
        <v>118000</v>
      </c>
      <c r="R161" s="195">
        <v>118000</v>
      </c>
      <c r="S161" s="162"/>
      <c r="T161" s="162"/>
      <c r="U161" s="162"/>
      <c r="V161" s="417">
        <v>3000</v>
      </c>
      <c r="W161" s="195" t="s">
        <v>582</v>
      </c>
      <c r="X161" s="193"/>
      <c r="Y161" s="194"/>
      <c r="Z161" s="417">
        <f>221100-Z159</f>
        <v>47531.49432</v>
      </c>
      <c r="AA161" s="417">
        <f>227600-AA159</f>
        <v>54031.49432</v>
      </c>
      <c r="AB161" s="168"/>
      <c r="AC161" s="168"/>
      <c r="AD161" s="168"/>
      <c r="AE161" s="168">
        <v>28128.94</v>
      </c>
      <c r="AF161" s="168">
        <v>0</v>
      </c>
      <c r="AG161" s="168"/>
      <c r="AH161" s="169"/>
      <c r="AI161" s="170">
        <v>0.639921052631579</v>
      </c>
      <c r="AJ161" s="152" t="s">
        <v>143</v>
      </c>
      <c r="AK161" s="171"/>
      <c r="AL161" s="171"/>
      <c r="AM161" s="417">
        <f>24816*12/2+8000</f>
        <v>156896</v>
      </c>
      <c r="AN161" s="195" t="s">
        <v>559</v>
      </c>
      <c r="AO161" s="38"/>
      <c r="AP161" s="38"/>
      <c r="AQ161" s="38"/>
      <c r="AR161" s="38"/>
      <c r="AS161" s="38"/>
      <c r="AT161" s="38"/>
      <c r="AU161" s="38"/>
      <c r="AV161" s="38"/>
      <c r="AW161" s="38"/>
      <c r="AX161" s="38"/>
      <c r="AY161" s="38"/>
      <c r="AZ161" s="38"/>
      <c r="BA161" s="38"/>
      <c r="BB161" s="38"/>
      <c r="BC161" s="38"/>
      <c r="BD161" s="38"/>
      <c r="BE161" s="38"/>
      <c r="BF161" s="38"/>
    </row>
    <row r="162" spans="1:58" s="173" customFormat="1" ht="38.25" customHeight="1">
      <c r="A162" s="153"/>
      <c r="B162" s="154" t="s">
        <v>240</v>
      </c>
      <c r="C162" s="155" t="s">
        <v>240</v>
      </c>
      <c r="D162" s="156">
        <v>656430015</v>
      </c>
      <c r="E162" s="157">
        <v>203</v>
      </c>
      <c r="F162" s="158">
        <v>656</v>
      </c>
      <c r="G162" s="250" t="s">
        <v>549</v>
      </c>
      <c r="H162" s="160">
        <v>129</v>
      </c>
      <c r="I162" s="160">
        <v>213</v>
      </c>
      <c r="J162" s="161">
        <v>0</v>
      </c>
      <c r="K162" s="162"/>
      <c r="L162" s="163">
        <v>38000</v>
      </c>
      <c r="M162" s="163">
        <v>0</v>
      </c>
      <c r="N162" s="163">
        <v>0</v>
      </c>
      <c r="O162" s="163">
        <v>0</v>
      </c>
      <c r="P162" s="163">
        <v>38000</v>
      </c>
      <c r="Q162" s="167">
        <f>R162+S162+T162+U162</f>
        <v>35600</v>
      </c>
      <c r="R162" s="195">
        <v>35600</v>
      </c>
      <c r="S162" s="162"/>
      <c r="T162" s="162"/>
      <c r="U162" s="162"/>
      <c r="V162" s="417">
        <f>219000-V160-3000</f>
        <v>42431.49432</v>
      </c>
      <c r="W162" s="997" t="s">
        <v>583</v>
      </c>
      <c r="X162" s="193"/>
      <c r="Y162" s="255"/>
      <c r="Z162" s="418">
        <f>Z159+Z161</f>
        <v>221100</v>
      </c>
      <c r="AA162" s="418">
        <f>AA159+AA161</f>
        <v>227600</v>
      </c>
      <c r="AB162" s="1410"/>
      <c r="AC162" s="1411"/>
      <c r="AD162" s="1412"/>
      <c r="AE162" s="184">
        <v>112223.62</v>
      </c>
      <c r="AF162" s="185">
        <v>0</v>
      </c>
      <c r="AG162" s="1410"/>
      <c r="AH162" s="1412"/>
      <c r="AI162" s="186">
        <v>0.6479885185185185</v>
      </c>
      <c r="AJ162" s="152" t="s">
        <v>143</v>
      </c>
      <c r="AK162" s="171"/>
      <c r="AL162" s="171"/>
      <c r="AM162" s="417">
        <f>24816*12/2+8000</f>
        <v>156896</v>
      </c>
      <c r="AN162" s="195" t="s">
        <v>241</v>
      </c>
      <c r="AO162" s="38"/>
      <c r="AP162" s="38"/>
      <c r="AQ162" s="38"/>
      <c r="AR162" s="38"/>
      <c r="AS162" s="38"/>
      <c r="AT162" s="38"/>
      <c r="AU162" s="38"/>
      <c r="AV162" s="38"/>
      <c r="AW162" s="38"/>
      <c r="AX162" s="38"/>
      <c r="AY162" s="38"/>
      <c r="AZ162" s="38"/>
      <c r="BA162" s="38"/>
      <c r="BB162" s="38"/>
      <c r="BC162" s="38"/>
      <c r="BD162" s="38"/>
      <c r="BE162" s="38"/>
      <c r="BF162" s="38"/>
    </row>
    <row r="163" spans="1:58" s="173" customFormat="1" ht="24.75" customHeight="1">
      <c r="A163" s="153"/>
      <c r="B163" s="1413" t="s">
        <v>161</v>
      </c>
      <c r="C163" s="1414"/>
      <c r="D163" s="1414"/>
      <c r="E163" s="1414"/>
      <c r="F163" s="1414"/>
      <c r="G163" s="1414"/>
      <c r="H163" s="1414"/>
      <c r="I163" s="1414"/>
      <c r="J163" s="1414"/>
      <c r="K163" s="1415"/>
      <c r="L163" s="177">
        <v>162000</v>
      </c>
      <c r="M163" s="178">
        <v>0</v>
      </c>
      <c r="N163" s="178">
        <v>0</v>
      </c>
      <c r="O163" s="177">
        <v>0</v>
      </c>
      <c r="P163" s="178">
        <v>162000</v>
      </c>
      <c r="Q163" s="322">
        <f>R163+S163+T163+U163</f>
        <v>153600</v>
      </c>
      <c r="R163" s="252">
        <f>R160+R162</f>
        <v>153600</v>
      </c>
      <c r="S163" s="249"/>
      <c r="T163" s="251"/>
      <c r="U163" s="249"/>
      <c r="V163" s="418">
        <f>V160+V162+V161</f>
        <v>219000</v>
      </c>
      <c r="W163" s="252">
        <f>V163+V173</f>
        <v>219000</v>
      </c>
      <c r="X163" s="254"/>
      <c r="Y163" s="175"/>
      <c r="Z163" s="175"/>
      <c r="AA163" s="175"/>
      <c r="AB163" s="175"/>
      <c r="AC163" s="175"/>
      <c r="AD163" s="175"/>
      <c r="AE163" s="175"/>
      <c r="AF163" s="175"/>
      <c r="AG163" s="175"/>
      <c r="AH163" s="175"/>
      <c r="AI163" s="190"/>
      <c r="AJ163" s="152" t="s">
        <v>143</v>
      </c>
      <c r="AK163" s="171"/>
      <c r="AL163" s="171"/>
      <c r="AM163" s="417">
        <f>AM161*30.2%+9068.39-546.98</f>
        <v>55904.00199999999</v>
      </c>
      <c r="AN163" s="38"/>
      <c r="AO163" s="38"/>
      <c r="AP163" s="38"/>
      <c r="AQ163" s="38"/>
      <c r="AR163" s="38"/>
      <c r="AS163" s="38"/>
      <c r="AT163" s="38"/>
      <c r="AU163" s="38"/>
      <c r="AV163" s="38"/>
      <c r="AW163" s="38"/>
      <c r="AX163" s="38"/>
      <c r="AY163" s="38"/>
      <c r="AZ163" s="38"/>
      <c r="BA163" s="38"/>
      <c r="BB163" s="38"/>
      <c r="BC163" s="38"/>
      <c r="BD163" s="38"/>
      <c r="BE163" s="38"/>
      <c r="BF163" s="38"/>
    </row>
    <row r="164" spans="1:58" s="173" customFormat="1" ht="37.5" customHeight="1" hidden="1">
      <c r="A164" s="153"/>
      <c r="B164" s="174" t="s">
        <v>242</v>
      </c>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94"/>
      <c r="Z164" s="195"/>
      <c r="AA164" s="195"/>
      <c r="AB164" s="168"/>
      <c r="AC164" s="168"/>
      <c r="AD164" s="168"/>
      <c r="AE164" s="168">
        <v>0</v>
      </c>
      <c r="AF164" s="168">
        <v>0</v>
      </c>
      <c r="AG164" s="168"/>
      <c r="AH164" s="169"/>
      <c r="AI164" s="170">
        <v>0</v>
      </c>
      <c r="AJ164" s="152" t="s">
        <v>143</v>
      </c>
      <c r="AK164" s="171"/>
      <c r="AL164" s="171"/>
      <c r="AM164" s="38"/>
      <c r="AN164" s="38"/>
      <c r="AO164" s="38"/>
      <c r="AP164" s="38"/>
      <c r="AQ164" s="38"/>
      <c r="AR164" s="38"/>
      <c r="AS164" s="38"/>
      <c r="AT164" s="38"/>
      <c r="AU164" s="38"/>
      <c r="AV164" s="38"/>
      <c r="AW164" s="38"/>
      <c r="AX164" s="38"/>
      <c r="AY164" s="38"/>
      <c r="AZ164" s="38"/>
      <c r="BA164" s="38"/>
      <c r="BB164" s="38"/>
      <c r="BC164" s="38"/>
      <c r="BD164" s="38"/>
      <c r="BE164" s="38"/>
      <c r="BF164" s="38"/>
    </row>
    <row r="165" spans="1:58" s="173" customFormat="1" ht="12.75" customHeight="1" hidden="1">
      <c r="A165" s="153"/>
      <c r="B165" s="154" t="s">
        <v>242</v>
      </c>
      <c r="C165" s="155" t="s">
        <v>242</v>
      </c>
      <c r="D165" s="156">
        <v>656430015</v>
      </c>
      <c r="E165" s="157">
        <v>203</v>
      </c>
      <c r="F165" s="158">
        <v>656</v>
      </c>
      <c r="G165" s="250" t="s">
        <v>549</v>
      </c>
      <c r="H165" s="160" t="s">
        <v>91</v>
      </c>
      <c r="I165" s="201">
        <v>225</v>
      </c>
      <c r="J165" s="202" t="s">
        <v>160</v>
      </c>
      <c r="K165" s="203"/>
      <c r="L165" s="204">
        <v>0</v>
      </c>
      <c r="M165" s="204">
        <v>0</v>
      </c>
      <c r="N165" s="204">
        <v>0</v>
      </c>
      <c r="O165" s="204">
        <v>0</v>
      </c>
      <c r="P165" s="204">
        <v>0</v>
      </c>
      <c r="Q165" s="419"/>
      <c r="R165" s="420">
        <v>1400</v>
      </c>
      <c r="S165" s="203"/>
      <c r="T165" s="203"/>
      <c r="U165" s="203"/>
      <c r="V165" s="421"/>
      <c r="W165" s="422" t="s">
        <v>243</v>
      </c>
      <c r="X165" s="193"/>
      <c r="Y165" s="194"/>
      <c r="Z165" s="195"/>
      <c r="AA165" s="195"/>
      <c r="AB165" s="168"/>
      <c r="AC165" s="168"/>
      <c r="AD165" s="168"/>
      <c r="AE165" s="168">
        <v>0</v>
      </c>
      <c r="AF165" s="168">
        <v>0</v>
      </c>
      <c r="AG165" s="168"/>
      <c r="AH165" s="169"/>
      <c r="AI165" s="170">
        <v>0</v>
      </c>
      <c r="AJ165" s="152" t="s">
        <v>143</v>
      </c>
      <c r="AK165" s="171"/>
      <c r="AL165" s="171"/>
      <c r="AM165" s="172"/>
      <c r="AN165" s="38"/>
      <c r="AO165" s="38"/>
      <c r="AP165" s="38"/>
      <c r="AQ165" s="38"/>
      <c r="AR165" s="38"/>
      <c r="AS165" s="38"/>
      <c r="AT165" s="38"/>
      <c r="AU165" s="38"/>
      <c r="AV165" s="38"/>
      <c r="AW165" s="38"/>
      <c r="AX165" s="38"/>
      <c r="AY165" s="38"/>
      <c r="AZ165" s="38"/>
      <c r="BA165" s="38"/>
      <c r="BB165" s="38"/>
      <c r="BC165" s="38"/>
      <c r="BD165" s="38"/>
      <c r="BE165" s="38"/>
      <c r="BF165" s="38"/>
    </row>
    <row r="166" spans="1:58" s="173" customFormat="1" ht="15.75" customHeight="1">
      <c r="A166" s="153"/>
      <c r="B166" s="154" t="s">
        <v>242</v>
      </c>
      <c r="C166" s="155" t="s">
        <v>242</v>
      </c>
      <c r="D166" s="156">
        <v>656430015</v>
      </c>
      <c r="E166" s="157">
        <v>203</v>
      </c>
      <c r="F166" s="158">
        <v>656</v>
      </c>
      <c r="G166" s="250" t="s">
        <v>549</v>
      </c>
      <c r="H166" s="160" t="s">
        <v>91</v>
      </c>
      <c r="I166" s="201">
        <v>226</v>
      </c>
      <c r="J166" s="202" t="s">
        <v>160</v>
      </c>
      <c r="K166" s="203"/>
      <c r="L166" s="204">
        <v>0</v>
      </c>
      <c r="M166" s="204">
        <v>0</v>
      </c>
      <c r="N166" s="204">
        <v>0</v>
      </c>
      <c r="O166" s="204">
        <v>0</v>
      </c>
      <c r="P166" s="204">
        <v>0</v>
      </c>
      <c r="Q166" s="419"/>
      <c r="R166" s="420">
        <v>1400</v>
      </c>
      <c r="S166" s="203"/>
      <c r="T166" s="203"/>
      <c r="U166" s="203"/>
      <c r="V166" s="421"/>
      <c r="W166" s="420"/>
      <c r="X166" s="193"/>
      <c r="Y166" s="424" t="s">
        <v>245</v>
      </c>
      <c r="Z166" s="420"/>
      <c r="AA166" s="420"/>
      <c r="AB166" s="168"/>
      <c r="AC166" s="168"/>
      <c r="AD166" s="168"/>
      <c r="AE166" s="168">
        <v>0</v>
      </c>
      <c r="AF166" s="168">
        <v>0</v>
      </c>
      <c r="AG166" s="168"/>
      <c r="AH166" s="169"/>
      <c r="AI166" s="170">
        <v>0</v>
      </c>
      <c r="AJ166" s="152" t="s">
        <v>143</v>
      </c>
      <c r="AK166" s="171"/>
      <c r="AL166" s="171"/>
      <c r="AM166" s="172"/>
      <c r="AN166" s="38"/>
      <c r="AO166" s="38"/>
      <c r="AP166" s="38"/>
      <c r="AQ166" s="38"/>
      <c r="AR166" s="38"/>
      <c r="AS166" s="38"/>
      <c r="AT166" s="38"/>
      <c r="AU166" s="38"/>
      <c r="AV166" s="38"/>
      <c r="AW166" s="38"/>
      <c r="AX166" s="38"/>
      <c r="AY166" s="38"/>
      <c r="AZ166" s="38"/>
      <c r="BA166" s="38"/>
      <c r="BB166" s="38"/>
      <c r="BC166" s="38"/>
      <c r="BD166" s="38"/>
      <c r="BE166" s="38"/>
      <c r="BF166" s="38"/>
    </row>
    <row r="167" spans="1:58" s="173" customFormat="1" ht="15.75" customHeight="1" hidden="1">
      <c r="A167" s="153"/>
      <c r="B167" s="154" t="s">
        <v>242</v>
      </c>
      <c r="C167" s="155" t="s">
        <v>242</v>
      </c>
      <c r="D167" s="156">
        <v>656500052</v>
      </c>
      <c r="E167" s="199">
        <v>203</v>
      </c>
      <c r="F167" s="200">
        <v>656</v>
      </c>
      <c r="G167" s="250">
        <v>500005118</v>
      </c>
      <c r="H167" s="201" t="s">
        <v>91</v>
      </c>
      <c r="I167" s="201">
        <v>310</v>
      </c>
      <c r="J167" s="202" t="s">
        <v>160</v>
      </c>
      <c r="K167" s="203"/>
      <c r="L167" s="204">
        <v>0</v>
      </c>
      <c r="M167" s="204">
        <v>0</v>
      </c>
      <c r="N167" s="204">
        <v>0</v>
      </c>
      <c r="O167" s="204">
        <v>0</v>
      </c>
      <c r="P167" s="204">
        <v>0</v>
      </c>
      <c r="Q167" s="419"/>
      <c r="R167" s="420">
        <v>1400</v>
      </c>
      <c r="S167" s="203"/>
      <c r="T167" s="203"/>
      <c r="U167" s="203"/>
      <c r="V167" s="421"/>
      <c r="W167" s="420" t="s">
        <v>244</v>
      </c>
      <c r="X167" s="423"/>
      <c r="Y167" s="431"/>
      <c r="Z167" s="428"/>
      <c r="AA167" s="428"/>
      <c r="AB167" s="168"/>
      <c r="AC167" s="168"/>
      <c r="AD167" s="168"/>
      <c r="AE167" s="168">
        <v>0</v>
      </c>
      <c r="AF167" s="168">
        <v>0</v>
      </c>
      <c r="AG167" s="168"/>
      <c r="AH167" s="169"/>
      <c r="AI167" s="170">
        <v>0</v>
      </c>
      <c r="AJ167" s="152" t="s">
        <v>143</v>
      </c>
      <c r="AK167" s="171"/>
      <c r="AL167" s="171"/>
      <c r="AM167" s="38"/>
      <c r="AN167" s="38"/>
      <c r="AO167" s="38"/>
      <c r="AP167" s="38"/>
      <c r="AQ167" s="38"/>
      <c r="AR167" s="38"/>
      <c r="AS167" s="38"/>
      <c r="AT167" s="38"/>
      <c r="AU167" s="38"/>
      <c r="AV167" s="38"/>
      <c r="AW167" s="38"/>
      <c r="AX167" s="38"/>
      <c r="AY167" s="38"/>
      <c r="AZ167" s="38"/>
      <c r="BA167" s="38"/>
      <c r="BB167" s="38"/>
      <c r="BC167" s="38"/>
      <c r="BD167" s="38"/>
      <c r="BE167" s="38"/>
      <c r="BF167" s="38"/>
    </row>
    <row r="168" spans="1:58" s="173" customFormat="1" ht="15.75" customHeight="1" hidden="1">
      <c r="A168" s="153"/>
      <c r="B168" s="154" t="s">
        <v>242</v>
      </c>
      <c r="C168" s="155" t="s">
        <v>242</v>
      </c>
      <c r="D168" s="425">
        <v>656020012</v>
      </c>
      <c r="E168" s="208">
        <v>203</v>
      </c>
      <c r="F168" s="209">
        <v>656</v>
      </c>
      <c r="G168" s="426">
        <v>13600</v>
      </c>
      <c r="H168" s="210" t="s">
        <v>91</v>
      </c>
      <c r="I168" s="210">
        <v>340</v>
      </c>
      <c r="J168" s="211" t="s">
        <v>246</v>
      </c>
      <c r="K168" s="212"/>
      <c r="L168" s="213">
        <v>4100</v>
      </c>
      <c r="M168" s="213">
        <v>0</v>
      </c>
      <c r="N168" s="213">
        <v>0</v>
      </c>
      <c r="O168" s="213">
        <v>0</v>
      </c>
      <c r="P168" s="213">
        <v>4100</v>
      </c>
      <c r="Q168" s="427"/>
      <c r="R168" s="428"/>
      <c r="S168" s="212"/>
      <c r="T168" s="212"/>
      <c r="U168" s="212"/>
      <c r="V168" s="429"/>
      <c r="W168" s="428">
        <v>0</v>
      </c>
      <c r="X168" s="430"/>
      <c r="Y168" s="194"/>
      <c r="Z168" s="195"/>
      <c r="AA168" s="195"/>
      <c r="AB168" s="168"/>
      <c r="AC168" s="168"/>
      <c r="AD168" s="168"/>
      <c r="AE168" s="168">
        <v>0</v>
      </c>
      <c r="AF168" s="168">
        <v>0</v>
      </c>
      <c r="AG168" s="168"/>
      <c r="AH168" s="169"/>
      <c r="AI168" s="170">
        <v>0</v>
      </c>
      <c r="AJ168" s="152" t="s">
        <v>143</v>
      </c>
      <c r="AK168" s="171"/>
      <c r="AL168" s="171"/>
      <c r="AM168" s="38"/>
      <c r="AN168" s="38"/>
      <c r="AO168" s="38"/>
      <c r="AP168" s="38"/>
      <c r="AQ168" s="38"/>
      <c r="AR168" s="38"/>
      <c r="AS168" s="38"/>
      <c r="AT168" s="38"/>
      <c r="AU168" s="38"/>
      <c r="AV168" s="38"/>
      <c r="AW168" s="38"/>
      <c r="AX168" s="38"/>
      <c r="AY168" s="38"/>
      <c r="AZ168" s="38"/>
      <c r="BA168" s="38"/>
      <c r="BB168" s="38"/>
      <c r="BC168" s="38"/>
      <c r="BD168" s="38"/>
      <c r="BE168" s="38"/>
      <c r="BF168" s="38"/>
    </row>
    <row r="169" spans="1:58" s="173" customFormat="1" ht="12.75" customHeight="1" hidden="1">
      <c r="A169" s="153"/>
      <c r="B169" s="154" t="s">
        <v>242</v>
      </c>
      <c r="C169" s="155" t="s">
        <v>242</v>
      </c>
      <c r="D169" s="156"/>
      <c r="E169" s="157"/>
      <c r="F169" s="158"/>
      <c r="G169" s="250"/>
      <c r="H169" s="160"/>
      <c r="I169" s="160">
        <v>340</v>
      </c>
      <c r="J169" s="161" t="s">
        <v>246</v>
      </c>
      <c r="K169" s="162"/>
      <c r="L169" s="163">
        <v>4100</v>
      </c>
      <c r="M169" s="163">
        <v>0</v>
      </c>
      <c r="N169" s="163">
        <v>0</v>
      </c>
      <c r="O169" s="163">
        <v>0</v>
      </c>
      <c r="P169" s="163">
        <v>4100</v>
      </c>
      <c r="Q169" s="167"/>
      <c r="R169" s="195"/>
      <c r="S169" s="162"/>
      <c r="T169" s="162"/>
      <c r="U169" s="162"/>
      <c r="V169" s="417"/>
      <c r="W169" s="195">
        <v>0</v>
      </c>
      <c r="X169" s="193"/>
      <c r="Y169" s="194"/>
      <c r="Z169" s="195"/>
      <c r="AA169" s="195"/>
      <c r="AB169" s="168"/>
      <c r="AC169" s="168"/>
      <c r="AD169" s="168"/>
      <c r="AE169" s="168">
        <v>0</v>
      </c>
      <c r="AF169" s="168">
        <v>0</v>
      </c>
      <c r="AG169" s="168"/>
      <c r="AH169" s="169"/>
      <c r="AI169" s="170">
        <v>0</v>
      </c>
      <c r="AJ169" s="152" t="s">
        <v>143</v>
      </c>
      <c r="AK169" s="171"/>
      <c r="AL169" s="171"/>
      <c r="AM169" s="38"/>
      <c r="AN169" s="38"/>
      <c r="AO169" s="38"/>
      <c r="AP169" s="38"/>
      <c r="AQ169" s="38"/>
      <c r="AR169" s="38"/>
      <c r="AS169" s="38"/>
      <c r="AT169" s="38"/>
      <c r="AU169" s="38"/>
      <c r="AV169" s="38"/>
      <c r="AW169" s="38"/>
      <c r="AX169" s="38"/>
      <c r="AY169" s="38"/>
      <c r="AZ169" s="38"/>
      <c r="BA169" s="38"/>
      <c r="BB169" s="38"/>
      <c r="BC169" s="38"/>
      <c r="BD169" s="38"/>
      <c r="BE169" s="38"/>
      <c r="BF169" s="38"/>
    </row>
    <row r="170" spans="1:58" s="238" customFormat="1" ht="12.75" customHeight="1" hidden="1">
      <c r="A170" s="153"/>
      <c r="B170" s="154" t="s">
        <v>242</v>
      </c>
      <c r="C170" s="155" t="s">
        <v>242</v>
      </c>
      <c r="D170" s="156"/>
      <c r="E170" s="157"/>
      <c r="F170" s="158"/>
      <c r="G170" s="250"/>
      <c r="H170" s="160"/>
      <c r="I170" s="160">
        <v>340</v>
      </c>
      <c r="J170" s="161" t="s">
        <v>246</v>
      </c>
      <c r="K170" s="162"/>
      <c r="L170" s="163">
        <v>4100</v>
      </c>
      <c r="M170" s="163">
        <v>0</v>
      </c>
      <c r="N170" s="163">
        <v>0</v>
      </c>
      <c r="O170" s="163">
        <v>0</v>
      </c>
      <c r="P170" s="163">
        <v>4100</v>
      </c>
      <c r="Q170" s="167"/>
      <c r="R170" s="195"/>
      <c r="S170" s="162"/>
      <c r="T170" s="162"/>
      <c r="U170" s="162"/>
      <c r="V170" s="417"/>
      <c r="W170" s="195">
        <v>0</v>
      </c>
      <c r="X170" s="193"/>
      <c r="Y170" s="445"/>
      <c r="Z170" s="442"/>
      <c r="AA170" s="442"/>
      <c r="AB170" s="232"/>
      <c r="AC170" s="232"/>
      <c r="AD170" s="232"/>
      <c r="AE170" s="446"/>
      <c r="AF170" s="447"/>
      <c r="AG170" s="232"/>
      <c r="AH170" s="233"/>
      <c r="AI170" s="448"/>
      <c r="AJ170" s="235"/>
      <c r="AK170" s="236"/>
      <c r="AL170" s="236"/>
      <c r="AM170" s="38"/>
      <c r="AN170" s="237"/>
      <c r="AO170" s="237"/>
      <c r="AP170" s="237"/>
      <c r="AQ170" s="237"/>
      <c r="AR170" s="237"/>
      <c r="AS170" s="237"/>
      <c r="AT170" s="237"/>
      <c r="AU170" s="237"/>
      <c r="AV170" s="237"/>
      <c r="AW170" s="237"/>
      <c r="AX170" s="237"/>
      <c r="AY170" s="237"/>
      <c r="AZ170" s="237"/>
      <c r="BA170" s="237"/>
      <c r="BB170" s="237"/>
      <c r="BC170" s="237"/>
      <c r="BD170" s="237"/>
      <c r="BE170" s="237"/>
      <c r="BF170" s="237"/>
    </row>
    <row r="171" spans="1:58" s="173" customFormat="1" ht="12.75" customHeight="1" thickBot="1">
      <c r="A171" s="221"/>
      <c r="B171" s="432"/>
      <c r="C171" s="174"/>
      <c r="D171" s="433" t="s">
        <v>234</v>
      </c>
      <c r="E171" s="434"/>
      <c r="F171" s="435"/>
      <c r="G171" s="436"/>
      <c r="H171" s="437"/>
      <c r="I171" s="437">
        <v>340</v>
      </c>
      <c r="J171" s="438"/>
      <c r="K171" s="439"/>
      <c r="L171" s="440"/>
      <c r="M171" s="226"/>
      <c r="N171" s="226"/>
      <c r="O171" s="440"/>
      <c r="P171" s="226"/>
      <c r="Q171" s="441"/>
      <c r="R171" s="442"/>
      <c r="S171" s="439"/>
      <c r="T171" s="225"/>
      <c r="U171" s="439"/>
      <c r="V171" s="443"/>
      <c r="W171" s="442">
        <f>W168+W169+W170</f>
        <v>0</v>
      </c>
      <c r="X171" s="444"/>
      <c r="Y171" s="194"/>
      <c r="Z171" s="195"/>
      <c r="AA171" s="195"/>
      <c r="AB171" s="168"/>
      <c r="AC171" s="168"/>
      <c r="AD171" s="168"/>
      <c r="AE171" s="168">
        <v>0</v>
      </c>
      <c r="AF171" s="168">
        <v>0</v>
      </c>
      <c r="AG171" s="168"/>
      <c r="AH171" s="169"/>
      <c r="AI171" s="170">
        <v>0</v>
      </c>
      <c r="AJ171" s="152" t="s">
        <v>143</v>
      </c>
      <c r="AK171" s="171"/>
      <c r="AL171" s="171"/>
      <c r="AM171" s="237"/>
      <c r="AN171" s="420" t="s">
        <v>247</v>
      </c>
      <c r="AO171" s="38"/>
      <c r="AP171" s="38"/>
      <c r="AQ171" s="38"/>
      <c r="AR171" s="38"/>
      <c r="AS171" s="38"/>
      <c r="AT171" s="38"/>
      <c r="AU171" s="38"/>
      <c r="AV171" s="38"/>
      <c r="AW171" s="38"/>
      <c r="AX171" s="38"/>
      <c r="AY171" s="38"/>
      <c r="AZ171" s="38"/>
      <c r="BA171" s="38"/>
      <c r="BB171" s="38"/>
      <c r="BC171" s="38"/>
      <c r="BD171" s="38"/>
      <c r="BE171" s="38"/>
      <c r="BF171" s="38"/>
    </row>
    <row r="172" spans="1:58" s="173" customFormat="1" ht="12.75" customHeight="1">
      <c r="A172" s="153"/>
      <c r="B172" s="154" t="s">
        <v>242</v>
      </c>
      <c r="C172" s="155" t="s">
        <v>242</v>
      </c>
      <c r="D172" s="156">
        <v>656430015</v>
      </c>
      <c r="E172" s="157">
        <v>203</v>
      </c>
      <c r="F172" s="158">
        <v>656</v>
      </c>
      <c r="G172" s="250" t="s">
        <v>549</v>
      </c>
      <c r="H172" s="160" t="s">
        <v>91</v>
      </c>
      <c r="I172" s="201">
        <v>340</v>
      </c>
      <c r="J172" s="202" t="s">
        <v>246</v>
      </c>
      <c r="K172" s="203"/>
      <c r="L172" s="204">
        <v>0</v>
      </c>
      <c r="M172" s="204">
        <v>0</v>
      </c>
      <c r="N172" s="204">
        <v>0</v>
      </c>
      <c r="O172" s="204">
        <v>0</v>
      </c>
      <c r="P172" s="204">
        <v>0</v>
      </c>
      <c r="Q172" s="419"/>
      <c r="R172" s="420">
        <v>1400</v>
      </c>
      <c r="S172" s="203"/>
      <c r="T172" s="203"/>
      <c r="U172" s="203"/>
      <c r="V172" s="421"/>
      <c r="W172" s="420" t="s">
        <v>247</v>
      </c>
      <c r="X172" s="193"/>
      <c r="Y172" s="457"/>
      <c r="Z172" s="451">
        <f>Z171</f>
        <v>0</v>
      </c>
      <c r="AA172" s="451">
        <f>AA171+AA166</f>
        <v>0</v>
      </c>
      <c r="AB172" s="1410"/>
      <c r="AC172" s="1411"/>
      <c r="AD172" s="1412"/>
      <c r="AE172" s="184">
        <v>0</v>
      </c>
      <c r="AF172" s="185">
        <v>0</v>
      </c>
      <c r="AG172" s="1410"/>
      <c r="AH172" s="1412"/>
      <c r="AI172" s="186">
        <v>0</v>
      </c>
      <c r="AJ172" s="152" t="s">
        <v>143</v>
      </c>
      <c r="AK172" s="171"/>
      <c r="AL172" s="171"/>
      <c r="AM172" s="421">
        <v>5000</v>
      </c>
      <c r="AN172" s="455"/>
      <c r="AO172" s="38"/>
      <c r="AP172" s="38"/>
      <c r="AQ172" s="38"/>
      <c r="AR172" s="38"/>
      <c r="AS172" s="38"/>
      <c r="AT172" s="38"/>
      <c r="AU172" s="38"/>
      <c r="AV172" s="38"/>
      <c r="AW172" s="38"/>
      <c r="AX172" s="38"/>
      <c r="AY172" s="38"/>
      <c r="AZ172" s="38"/>
      <c r="BA172" s="38"/>
      <c r="BB172" s="38"/>
      <c r="BC172" s="38"/>
      <c r="BD172" s="38"/>
      <c r="BE172" s="38"/>
      <c r="BF172" s="38"/>
    </row>
    <row r="173" spans="1:58" s="173" customFormat="1" ht="12.75" customHeight="1">
      <c r="A173" s="153"/>
      <c r="B173" s="1530" t="s">
        <v>161</v>
      </c>
      <c r="C173" s="1531"/>
      <c r="D173" s="1531"/>
      <c r="E173" s="1531"/>
      <c r="F173" s="1531"/>
      <c r="G173" s="1531"/>
      <c r="H173" s="1531"/>
      <c r="I173" s="1531"/>
      <c r="J173" s="1531"/>
      <c r="K173" s="1532"/>
      <c r="L173" s="449">
        <v>5100</v>
      </c>
      <c r="M173" s="450">
        <v>0</v>
      </c>
      <c r="N173" s="450">
        <v>0</v>
      </c>
      <c r="O173" s="449">
        <v>0</v>
      </c>
      <c r="P173" s="450">
        <v>5100</v>
      </c>
      <c r="Q173" s="322">
        <f>R173+S173+T173+U173</f>
        <v>2800</v>
      </c>
      <c r="R173" s="451">
        <f>R171+R167+R166</f>
        <v>2800</v>
      </c>
      <c r="S173" s="452"/>
      <c r="T173" s="453"/>
      <c r="U173" s="452"/>
      <c r="V173" s="454">
        <f>V166+V167+V172+V165</f>
        <v>0</v>
      </c>
      <c r="W173" s="455"/>
      <c r="X173" s="456"/>
      <c r="Y173" s="459"/>
      <c r="Z173" s="460"/>
      <c r="AA173" s="460"/>
      <c r="AB173" s="183"/>
      <c r="AC173" s="183"/>
      <c r="AD173" s="183"/>
      <c r="AE173" s="249"/>
      <c r="AF173" s="249"/>
      <c r="AG173" s="183"/>
      <c r="AH173" s="183"/>
      <c r="AI173" s="186"/>
      <c r="AJ173" s="152"/>
      <c r="AK173" s="171"/>
      <c r="AL173" s="171"/>
      <c r="AM173" s="454">
        <f>AM166+AM167+AM172+AM165</f>
        <v>5000</v>
      </c>
      <c r="AN173" s="38"/>
      <c r="AO173" s="38"/>
      <c r="AP173" s="38"/>
      <c r="AQ173" s="38"/>
      <c r="AR173" s="38"/>
      <c r="AS173" s="38"/>
      <c r="AT173" s="38"/>
      <c r="AU173" s="38"/>
      <c r="AV173" s="38"/>
      <c r="AW173" s="38"/>
      <c r="AX173" s="38"/>
      <c r="AY173" s="38"/>
      <c r="AZ173" s="38"/>
      <c r="BA173" s="38"/>
      <c r="BB173" s="38"/>
      <c r="BC173" s="38"/>
      <c r="BD173" s="38"/>
      <c r="BE173" s="38"/>
      <c r="BF173" s="38"/>
    </row>
    <row r="174" spans="1:58" s="173" customFormat="1" ht="22.5" customHeight="1">
      <c r="A174" s="153"/>
      <c r="B174" s="187"/>
      <c r="C174" s="188"/>
      <c r="D174" s="1533" t="s">
        <v>573</v>
      </c>
      <c r="E174" s="1533"/>
      <c r="F174" s="1533"/>
      <c r="G174" s="1533"/>
      <c r="H174" s="1533"/>
      <c r="I174" s="1533"/>
      <c r="J174" s="1533"/>
      <c r="K174" s="1533"/>
      <c r="L174" s="1533"/>
      <c r="M174" s="1533"/>
      <c r="N174" s="1533"/>
      <c r="O174" s="1533"/>
      <c r="P174" s="1533"/>
      <c r="Q174" s="1533"/>
      <c r="R174" s="1533"/>
      <c r="S174" s="1533"/>
      <c r="T174" s="1533"/>
      <c r="U174" s="1533"/>
      <c r="V174" s="1533"/>
      <c r="W174" s="1533"/>
      <c r="X174" s="458"/>
      <c r="Y174" s="175"/>
      <c r="Z174" s="175"/>
      <c r="AA174" s="175"/>
      <c r="AB174" s="175"/>
      <c r="AC174" s="175"/>
      <c r="AD174" s="175"/>
      <c r="AE174" s="175"/>
      <c r="AF174" s="175"/>
      <c r="AG174" s="175"/>
      <c r="AH174" s="175"/>
      <c r="AI174" s="190"/>
      <c r="AJ174" s="152" t="s">
        <v>143</v>
      </c>
      <c r="AK174" s="171"/>
      <c r="AL174" s="171"/>
      <c r="AM174" s="38"/>
      <c r="AN174" s="38"/>
      <c r="AO174" s="38"/>
      <c r="AP174" s="38"/>
      <c r="AQ174" s="38"/>
      <c r="AR174" s="38"/>
      <c r="AS174" s="38"/>
      <c r="AT174" s="38"/>
      <c r="AU174" s="38"/>
      <c r="AV174" s="38"/>
      <c r="AW174" s="38"/>
      <c r="AX174" s="38"/>
      <c r="AY174" s="38"/>
      <c r="AZ174" s="38"/>
      <c r="BA174" s="38"/>
      <c r="BB174" s="38"/>
      <c r="BC174" s="38"/>
      <c r="BD174" s="38"/>
      <c r="BE174" s="38"/>
      <c r="BF174" s="38"/>
    </row>
    <row r="175" spans="1:58" s="173" customFormat="1" ht="12.75" customHeight="1">
      <c r="A175" s="153"/>
      <c r="B175" s="174" t="s">
        <v>248</v>
      </c>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94"/>
      <c r="Z175" s="417">
        <v>1400</v>
      </c>
      <c r="AA175" s="417">
        <v>1400</v>
      </c>
      <c r="AB175" s="168"/>
      <c r="AC175" s="168"/>
      <c r="AD175" s="168"/>
      <c r="AE175" s="168">
        <v>6119</v>
      </c>
      <c r="AF175" s="168">
        <v>0</v>
      </c>
      <c r="AG175" s="168"/>
      <c r="AH175" s="169"/>
      <c r="AI175" s="170">
        <v>1</v>
      </c>
      <c r="AJ175" s="152" t="s">
        <v>143</v>
      </c>
      <c r="AK175" s="171"/>
      <c r="AL175" s="171"/>
      <c r="AM175" s="38"/>
      <c r="AN175" s="417">
        <f>AN177*30%</f>
        <v>3068.226</v>
      </c>
      <c r="AO175" s="417">
        <f>AO177*30%</f>
        <v>3190.956</v>
      </c>
      <c r="AP175" s="417">
        <f>AP177*30%</f>
        <v>3190.956</v>
      </c>
      <c r="AQ175" s="38"/>
      <c r="AR175" s="38"/>
      <c r="AS175" s="38"/>
      <c r="AT175" s="38"/>
      <c r="AU175" s="38"/>
      <c r="AV175" s="38"/>
      <c r="AW175" s="38"/>
      <c r="AX175" s="38"/>
      <c r="AY175" s="38"/>
      <c r="AZ175" s="38"/>
      <c r="BA175" s="38"/>
      <c r="BB175" s="38"/>
      <c r="BC175" s="38"/>
      <c r="BD175" s="38"/>
      <c r="BE175" s="38"/>
      <c r="BF175" s="38"/>
    </row>
    <row r="176" spans="1:58" s="173" customFormat="1" ht="12.75" customHeight="1">
      <c r="A176" s="153"/>
      <c r="B176" s="154" t="s">
        <v>248</v>
      </c>
      <c r="C176" s="155" t="s">
        <v>248</v>
      </c>
      <c r="D176" s="156">
        <v>656430016</v>
      </c>
      <c r="E176" s="157">
        <v>304</v>
      </c>
      <c r="F176" s="158">
        <v>656</v>
      </c>
      <c r="G176" s="998" t="s">
        <v>584</v>
      </c>
      <c r="H176" s="160" t="s">
        <v>91</v>
      </c>
      <c r="I176" s="160">
        <v>290</v>
      </c>
      <c r="J176" s="161" t="s">
        <v>246</v>
      </c>
      <c r="K176" s="162"/>
      <c r="L176" s="163">
        <v>9000</v>
      </c>
      <c r="M176" s="163">
        <v>-2881</v>
      </c>
      <c r="N176" s="163">
        <v>0</v>
      </c>
      <c r="O176" s="163">
        <v>0</v>
      </c>
      <c r="P176" s="163">
        <v>6119</v>
      </c>
      <c r="Q176" s="167">
        <f>R176+S176+T176+U176</f>
        <v>6800</v>
      </c>
      <c r="R176" s="195">
        <v>6800</v>
      </c>
      <c r="S176" s="162"/>
      <c r="T176" s="162"/>
      <c r="U176" s="162"/>
      <c r="V176" s="417">
        <v>1400</v>
      </c>
      <c r="W176" s="162" t="s">
        <v>249</v>
      </c>
      <c r="X176" s="193"/>
      <c r="Y176" s="194"/>
      <c r="Z176" s="417">
        <v>5570</v>
      </c>
      <c r="AA176" s="417">
        <v>5570</v>
      </c>
      <c r="AB176" s="168"/>
      <c r="AC176" s="168"/>
      <c r="AD176" s="168"/>
      <c r="AE176" s="168">
        <v>2881</v>
      </c>
      <c r="AF176" s="168">
        <v>0</v>
      </c>
      <c r="AG176" s="168"/>
      <c r="AH176" s="169"/>
      <c r="AI176" s="170">
        <v>1</v>
      </c>
      <c r="AJ176" s="152" t="s">
        <v>143</v>
      </c>
      <c r="AK176" s="171"/>
      <c r="AL176" s="171"/>
      <c r="AM176" s="38"/>
      <c r="AN176" s="417">
        <f>AN177-AN175</f>
        <v>7159.1939999999995</v>
      </c>
      <c r="AO176" s="417">
        <f>AO177-AO175</f>
        <v>7445.564</v>
      </c>
      <c r="AP176" s="417">
        <f>AP177-AP175</f>
        <v>7445.564</v>
      </c>
      <c r="AQ176" s="38"/>
      <c r="AR176" s="38"/>
      <c r="AS176" s="38"/>
      <c r="AT176" s="38"/>
      <c r="AU176" s="38"/>
      <c r="AV176" s="38"/>
      <c r="AW176" s="38"/>
      <c r="AX176" s="38"/>
      <c r="AY176" s="38"/>
      <c r="AZ176" s="38"/>
      <c r="BA176" s="38"/>
      <c r="BB176" s="38"/>
      <c r="BC176" s="38"/>
      <c r="BD176" s="38"/>
      <c r="BE176" s="38"/>
      <c r="BF176" s="38"/>
    </row>
    <row r="177" spans="1:58" s="173" customFormat="1" ht="12.75" customHeight="1">
      <c r="A177" s="153"/>
      <c r="B177" s="154" t="s">
        <v>248</v>
      </c>
      <c r="C177" s="155" t="s">
        <v>248</v>
      </c>
      <c r="D177" s="156">
        <v>656430016</v>
      </c>
      <c r="E177" s="157">
        <v>304</v>
      </c>
      <c r="F177" s="158">
        <v>656</v>
      </c>
      <c r="G177" s="250" t="s">
        <v>552</v>
      </c>
      <c r="H177" s="160" t="s">
        <v>91</v>
      </c>
      <c r="I177" s="160">
        <v>340</v>
      </c>
      <c r="J177" s="161" t="s">
        <v>246</v>
      </c>
      <c r="K177" s="162"/>
      <c r="L177" s="163">
        <v>0</v>
      </c>
      <c r="M177" s="163">
        <v>2881</v>
      </c>
      <c r="N177" s="163">
        <v>0</v>
      </c>
      <c r="O177" s="163">
        <v>0</v>
      </c>
      <c r="P177" s="163">
        <v>2881</v>
      </c>
      <c r="Q177" s="167">
        <f>R177+S177+T177+U177</f>
        <v>3000</v>
      </c>
      <c r="R177" s="195">
        <v>3000</v>
      </c>
      <c r="S177" s="162"/>
      <c r="T177" s="162"/>
      <c r="U177" s="162"/>
      <c r="V177" s="417">
        <v>5570</v>
      </c>
      <c r="W177" s="162" t="s">
        <v>250</v>
      </c>
      <c r="X177" s="193"/>
      <c r="Y177" s="255"/>
      <c r="Z177" s="1014">
        <f>Z175+Z176</f>
        <v>6970</v>
      </c>
      <c r="AA177" s="1014">
        <f>AA175+AA176</f>
        <v>6970</v>
      </c>
      <c r="AB177" s="1410"/>
      <c r="AC177" s="1411"/>
      <c r="AD177" s="1412"/>
      <c r="AE177" s="184">
        <v>9000</v>
      </c>
      <c r="AF177" s="185">
        <v>0</v>
      </c>
      <c r="AG177" s="1410"/>
      <c r="AH177" s="1412"/>
      <c r="AI177" s="186">
        <v>1</v>
      </c>
      <c r="AJ177" s="152" t="s">
        <v>143</v>
      </c>
      <c r="AK177" s="171"/>
      <c r="AL177" s="171"/>
      <c r="AM177" s="38"/>
      <c r="AN177" s="417">
        <v>10227.42</v>
      </c>
      <c r="AO177" s="195">
        <v>10636.52</v>
      </c>
      <c r="AP177" s="195">
        <v>10636.52</v>
      </c>
      <c r="AQ177" s="38"/>
      <c r="AR177" s="38"/>
      <c r="AS177" s="38"/>
      <c r="AT177" s="38"/>
      <c r="AU177" s="38"/>
      <c r="AV177" s="38"/>
      <c r="AW177" s="38"/>
      <c r="AX177" s="38"/>
      <c r="AY177" s="38"/>
      <c r="AZ177" s="38"/>
      <c r="BA177" s="38"/>
      <c r="BB177" s="38"/>
      <c r="BC177" s="38"/>
      <c r="BD177" s="38"/>
      <c r="BE177" s="38"/>
      <c r="BF177" s="38"/>
    </row>
    <row r="178" spans="1:58" s="173" customFormat="1" ht="33" customHeight="1">
      <c r="A178" s="153"/>
      <c r="B178" s="1413" t="s">
        <v>161</v>
      </c>
      <c r="C178" s="1414"/>
      <c r="D178" s="1414"/>
      <c r="E178" s="1414"/>
      <c r="F178" s="1414"/>
      <c r="G178" s="1414"/>
      <c r="H178" s="1414"/>
      <c r="I178" s="1414"/>
      <c r="J178" s="1414"/>
      <c r="K178" s="1415"/>
      <c r="L178" s="177">
        <v>9000</v>
      </c>
      <c r="M178" s="178">
        <v>0</v>
      </c>
      <c r="N178" s="178">
        <v>0</v>
      </c>
      <c r="O178" s="177">
        <v>0</v>
      </c>
      <c r="P178" s="178">
        <v>9000</v>
      </c>
      <c r="Q178" s="322">
        <f>R178+S178+T178+U178</f>
        <v>9800</v>
      </c>
      <c r="R178" s="252">
        <f>R176+R177</f>
        <v>9800</v>
      </c>
      <c r="S178" s="249"/>
      <c r="T178" s="251"/>
      <c r="U178" s="249"/>
      <c r="V178" s="1014">
        <f>V176+V177</f>
        <v>6970</v>
      </c>
      <c r="W178" s="253"/>
      <c r="X178" s="254"/>
      <c r="Y178" s="778"/>
      <c r="Z178" s="778"/>
      <c r="AA178" s="778"/>
      <c r="AB178" s="778"/>
      <c r="AC178" s="778"/>
      <c r="AD178" s="778"/>
      <c r="AE178" s="778"/>
      <c r="AF178" s="778"/>
      <c r="AG178" s="778"/>
      <c r="AH178" s="778"/>
      <c r="AI178" s="779"/>
      <c r="AJ178" s="152" t="s">
        <v>143</v>
      </c>
      <c r="AK178" s="171"/>
      <c r="AL178" s="171"/>
      <c r="AM178" s="38"/>
      <c r="AN178" s="38"/>
      <c r="AO178" s="38"/>
      <c r="AP178" s="38"/>
      <c r="AQ178" s="38"/>
      <c r="AR178" s="38"/>
      <c r="AS178" s="38"/>
      <c r="AT178" s="38"/>
      <c r="AU178" s="38"/>
      <c r="AV178" s="38"/>
      <c r="AW178" s="38"/>
      <c r="AX178" s="38"/>
      <c r="AY178" s="38"/>
      <c r="AZ178" s="38"/>
      <c r="BA178" s="38"/>
      <c r="BB178" s="38"/>
      <c r="BC178" s="38"/>
      <c r="BD178" s="38"/>
      <c r="BE178" s="38"/>
      <c r="BF178" s="38"/>
    </row>
    <row r="179" spans="1:58" s="173" customFormat="1" ht="14.25" customHeight="1">
      <c r="A179" s="153"/>
      <c r="B179" s="777" t="s">
        <v>453</v>
      </c>
      <c r="C179" s="778"/>
      <c r="D179" s="1499" t="s">
        <v>480</v>
      </c>
      <c r="E179" s="1499"/>
      <c r="F179" s="1499"/>
      <c r="G179" s="1499"/>
      <c r="H179" s="1499"/>
      <c r="I179" s="1499"/>
      <c r="J179" s="1499"/>
      <c r="K179" s="1499"/>
      <c r="L179" s="1499"/>
      <c r="M179" s="1499"/>
      <c r="N179" s="1499"/>
      <c r="O179" s="1499"/>
      <c r="P179" s="1499"/>
      <c r="Q179" s="1499"/>
      <c r="R179" s="1499"/>
      <c r="S179" s="1499"/>
      <c r="T179" s="1499"/>
      <c r="U179" s="1499"/>
      <c r="V179" s="1499"/>
      <c r="W179" s="1499"/>
      <c r="X179" s="778"/>
      <c r="Y179" s="808"/>
      <c r="Z179" s="808"/>
      <c r="AA179" s="808"/>
      <c r="AB179" s="462"/>
      <c r="AC179" s="462"/>
      <c r="AD179" s="462"/>
      <c r="AE179" s="462"/>
      <c r="AF179" s="462"/>
      <c r="AG179" s="462"/>
      <c r="AH179" s="462"/>
      <c r="AI179" s="463"/>
      <c r="AJ179" s="152"/>
      <c r="AK179" s="171"/>
      <c r="AL179" s="171"/>
      <c r="AM179" s="540"/>
      <c r="AN179" s="38"/>
      <c r="AO179" s="38"/>
      <c r="AP179" s="38"/>
      <c r="AQ179" s="38"/>
      <c r="AR179" s="38"/>
      <c r="AS179" s="38"/>
      <c r="AT179" s="38"/>
      <c r="AU179" s="38"/>
      <c r="AV179" s="38"/>
      <c r="AW179" s="38"/>
      <c r="AX179" s="38"/>
      <c r="AY179" s="38"/>
      <c r="AZ179" s="38"/>
      <c r="BA179" s="38"/>
      <c r="BB179" s="38"/>
      <c r="BC179" s="38"/>
      <c r="BD179" s="38"/>
      <c r="BE179" s="38"/>
      <c r="BF179" s="38"/>
    </row>
    <row r="180" spans="1:58" s="173" customFormat="1" ht="12.75" customHeight="1">
      <c r="A180" s="153"/>
      <c r="B180" s="461"/>
      <c r="C180" s="462"/>
      <c r="D180" s="808" t="s">
        <v>251</v>
      </c>
      <c r="E180" s="808"/>
      <c r="F180" s="808"/>
      <c r="G180" s="808"/>
      <c r="H180" s="808"/>
      <c r="I180" s="808"/>
      <c r="J180" s="808"/>
      <c r="K180" s="808"/>
      <c r="L180" s="808"/>
      <c r="M180" s="808"/>
      <c r="N180" s="808"/>
      <c r="O180" s="808"/>
      <c r="P180" s="808"/>
      <c r="Q180" s="808"/>
      <c r="R180" s="808"/>
      <c r="S180" s="808"/>
      <c r="T180" s="808"/>
      <c r="U180" s="808"/>
      <c r="V180" s="808"/>
      <c r="W180" s="808"/>
      <c r="X180" s="808"/>
      <c r="Y180" s="1033"/>
      <c r="Z180" s="1032">
        <v>14600</v>
      </c>
      <c r="AA180" s="1032">
        <v>14600</v>
      </c>
      <c r="AB180" s="168"/>
      <c r="AC180" s="168"/>
      <c r="AD180" s="168"/>
      <c r="AE180" s="168">
        <v>184509.84</v>
      </c>
      <c r="AF180" s="168">
        <v>0</v>
      </c>
      <c r="AG180" s="168"/>
      <c r="AH180" s="169"/>
      <c r="AI180" s="170">
        <v>0.9351600199003604</v>
      </c>
      <c r="AJ180" s="152" t="s">
        <v>143</v>
      </c>
      <c r="AK180" s="171"/>
      <c r="AL180" s="171"/>
      <c r="AM180" s="540"/>
      <c r="AN180" s="38"/>
      <c r="AO180" s="38"/>
      <c r="AP180" s="38"/>
      <c r="AQ180" s="38"/>
      <c r="AR180" s="38"/>
      <c r="AS180" s="38"/>
      <c r="AT180" s="38"/>
      <c r="AU180" s="38"/>
      <c r="AV180" s="38"/>
      <c r="AW180" s="38"/>
      <c r="AX180" s="38"/>
      <c r="AY180" s="38"/>
      <c r="AZ180" s="38"/>
      <c r="BA180" s="38"/>
      <c r="BB180" s="38"/>
      <c r="BC180" s="38"/>
      <c r="BD180" s="38"/>
      <c r="BE180" s="38"/>
      <c r="BF180" s="38"/>
    </row>
    <row r="181" spans="1:58" s="173" customFormat="1" ht="38.25" customHeight="1">
      <c r="A181" s="153"/>
      <c r="B181" s="154" t="s">
        <v>252</v>
      </c>
      <c r="C181" s="155" t="s">
        <v>252</v>
      </c>
      <c r="D181" s="1034">
        <v>656420021</v>
      </c>
      <c r="E181" s="1020">
        <v>309</v>
      </c>
      <c r="F181" s="1021">
        <v>656</v>
      </c>
      <c r="G181" s="1022" t="s">
        <v>553</v>
      </c>
      <c r="H181" s="1018" t="s">
        <v>91</v>
      </c>
      <c r="I181" s="1018">
        <v>226</v>
      </c>
      <c r="J181" s="1019">
        <v>0</v>
      </c>
      <c r="K181" s="1030"/>
      <c r="L181" s="1025"/>
      <c r="M181" s="1025"/>
      <c r="N181" s="1025"/>
      <c r="O181" s="1025"/>
      <c r="P181" s="1025"/>
      <c r="Q181" s="1031">
        <f>R181+S181+T181+U181</f>
        <v>0</v>
      </c>
      <c r="R181" s="1030"/>
      <c r="S181" s="1030"/>
      <c r="T181" s="1030">
        <v>0</v>
      </c>
      <c r="U181" s="1030"/>
      <c r="V181" s="1032">
        <v>14600</v>
      </c>
      <c r="W181" s="1031" t="s">
        <v>651</v>
      </c>
      <c r="X181" s="1033"/>
      <c r="Y181" s="369"/>
      <c r="Z181" s="417">
        <v>80000</v>
      </c>
      <c r="AA181" s="417">
        <v>80000</v>
      </c>
      <c r="AB181" s="168"/>
      <c r="AC181" s="168"/>
      <c r="AD181" s="168"/>
      <c r="AE181" s="168"/>
      <c r="AF181" s="168"/>
      <c r="AG181" s="168"/>
      <c r="AH181" s="169"/>
      <c r="AI181" s="170"/>
      <c r="AJ181" s="152"/>
      <c r="AK181" s="171"/>
      <c r="AL181" s="171"/>
      <c r="AM181" s="540"/>
      <c r="AN181" s="38"/>
      <c r="AO181" s="38"/>
      <c r="AP181" s="38"/>
      <c r="AQ181" s="38"/>
      <c r="AR181" s="38"/>
      <c r="AS181" s="38"/>
      <c r="AT181" s="38"/>
      <c r="AU181" s="38"/>
      <c r="AV181" s="38"/>
      <c r="AW181" s="38"/>
      <c r="AX181" s="38"/>
      <c r="AY181" s="38"/>
      <c r="AZ181" s="38"/>
      <c r="BA181" s="38"/>
      <c r="BB181" s="38"/>
      <c r="BC181" s="38"/>
      <c r="BD181" s="38"/>
      <c r="BE181" s="38"/>
      <c r="BF181" s="38"/>
    </row>
    <row r="182" spans="1:58" s="173" customFormat="1" ht="12.75" customHeight="1">
      <c r="A182" s="153"/>
      <c r="B182" s="154"/>
      <c r="C182" s="155"/>
      <c r="D182" s="156">
        <v>656420011</v>
      </c>
      <c r="E182" s="157">
        <v>309</v>
      </c>
      <c r="F182" s="158"/>
      <c r="G182" s="250"/>
      <c r="H182" s="825" t="s">
        <v>91</v>
      </c>
      <c r="I182" s="160"/>
      <c r="J182" s="161"/>
      <c r="K182" s="162"/>
      <c r="L182" s="163"/>
      <c r="M182" s="163"/>
      <c r="N182" s="163"/>
      <c r="O182" s="163"/>
      <c r="P182" s="163"/>
      <c r="Q182" s="167"/>
      <c r="R182" s="162"/>
      <c r="S182" s="162"/>
      <c r="T182" s="162"/>
      <c r="U182" s="162"/>
      <c r="V182" s="417">
        <v>80000</v>
      </c>
      <c r="W182" s="192" t="s">
        <v>253</v>
      </c>
      <c r="X182" s="193">
        <v>60000</v>
      </c>
      <c r="Y182" s="369" t="s">
        <v>670</v>
      </c>
      <c r="Z182" s="417">
        <v>200000</v>
      </c>
      <c r="AA182" s="417">
        <v>200000</v>
      </c>
      <c r="AB182" s="168"/>
      <c r="AC182" s="168"/>
      <c r="AD182" s="168"/>
      <c r="AE182" s="168"/>
      <c r="AF182" s="168"/>
      <c r="AG182" s="168"/>
      <c r="AH182" s="169"/>
      <c r="AI182" s="170"/>
      <c r="AJ182" s="152"/>
      <c r="AK182" s="171"/>
      <c r="AL182" s="171"/>
      <c r="AM182" s="540"/>
      <c r="AN182" s="38"/>
      <c r="AO182" s="38"/>
      <c r="AP182" s="38"/>
      <c r="AQ182" s="38"/>
      <c r="AR182" s="38"/>
      <c r="AS182" s="38"/>
      <c r="AT182" s="38"/>
      <c r="AU182" s="38"/>
      <c r="AV182" s="38"/>
      <c r="AW182" s="38"/>
      <c r="AX182" s="38"/>
      <c r="AY182" s="38"/>
      <c r="AZ182" s="38"/>
      <c r="BA182" s="38"/>
      <c r="BB182" s="38"/>
      <c r="BC182" s="38"/>
      <c r="BD182" s="38"/>
      <c r="BE182" s="38"/>
      <c r="BF182" s="38"/>
    </row>
    <row r="183" spans="1:58" s="173" customFormat="1" ht="27" customHeight="1">
      <c r="A183" s="153"/>
      <c r="B183" s="154"/>
      <c r="C183" s="155"/>
      <c r="D183" s="156"/>
      <c r="E183" s="157"/>
      <c r="F183" s="158"/>
      <c r="G183" s="250"/>
      <c r="H183" s="825"/>
      <c r="I183" s="160"/>
      <c r="J183" s="1084"/>
      <c r="K183" s="162"/>
      <c r="L183" s="163"/>
      <c r="M183" s="163"/>
      <c r="N183" s="163"/>
      <c r="O183" s="163"/>
      <c r="P183" s="163"/>
      <c r="Q183" s="167"/>
      <c r="R183" s="162"/>
      <c r="S183" s="162"/>
      <c r="T183" s="162"/>
      <c r="U183" s="162"/>
      <c r="V183" s="417"/>
      <c r="W183" s="192"/>
      <c r="X183" s="193">
        <v>100000</v>
      </c>
      <c r="Y183" s="376" t="s">
        <v>662</v>
      </c>
      <c r="Z183" s="417"/>
      <c r="AA183" s="417"/>
      <c r="AB183" s="168"/>
      <c r="AC183" s="168"/>
      <c r="AD183" s="168"/>
      <c r="AE183" s="168"/>
      <c r="AF183" s="168"/>
      <c r="AG183" s="168"/>
      <c r="AH183" s="169"/>
      <c r="AI183" s="170"/>
      <c r="AJ183" s="152"/>
      <c r="AK183" s="171"/>
      <c r="AL183" s="171"/>
      <c r="AM183" s="540"/>
      <c r="AN183" s="38"/>
      <c r="AO183" s="38"/>
      <c r="AP183" s="38"/>
      <c r="AQ183" s="38"/>
      <c r="AR183" s="38"/>
      <c r="AS183" s="38"/>
      <c r="AT183" s="38"/>
      <c r="AU183" s="38"/>
      <c r="AV183" s="38"/>
      <c r="AW183" s="38"/>
      <c r="AX183" s="38"/>
      <c r="AY183" s="38"/>
      <c r="AZ183" s="38"/>
      <c r="BA183" s="38"/>
      <c r="BB183" s="38"/>
      <c r="BC183" s="38"/>
      <c r="BD183" s="38"/>
      <c r="BE183" s="38"/>
      <c r="BF183" s="38"/>
    </row>
    <row r="184" spans="1:58" s="173" customFormat="1" ht="48" customHeight="1">
      <c r="A184" s="153"/>
      <c r="B184" s="154"/>
      <c r="C184" s="155"/>
      <c r="D184" s="156">
        <v>656420011</v>
      </c>
      <c r="E184" s="157">
        <v>309</v>
      </c>
      <c r="F184" s="158"/>
      <c r="G184" s="250"/>
      <c r="H184" s="825" t="s">
        <v>91</v>
      </c>
      <c r="I184" s="160"/>
      <c r="J184" s="987">
        <f>V182+V184+V186+V188</f>
        <v>378720</v>
      </c>
      <c r="K184" s="162"/>
      <c r="L184" s="163"/>
      <c r="M184" s="163"/>
      <c r="N184" s="163"/>
      <c r="O184" s="163"/>
      <c r="P184" s="163"/>
      <c r="Q184" s="167"/>
      <c r="R184" s="162"/>
      <c r="S184" s="162"/>
      <c r="T184" s="162"/>
      <c r="U184" s="162"/>
      <c r="V184" s="417">
        <v>200000</v>
      </c>
      <c r="W184" s="192" t="s">
        <v>254</v>
      </c>
      <c r="X184" s="193">
        <v>50000</v>
      </c>
      <c r="Y184" s="192" t="s">
        <v>254</v>
      </c>
      <c r="Z184" s="417">
        <v>297312</v>
      </c>
      <c r="AA184" s="417">
        <v>297312</v>
      </c>
      <c r="AB184" s="168"/>
      <c r="AC184" s="168"/>
      <c r="AD184" s="168"/>
      <c r="AE184" s="168"/>
      <c r="AF184" s="168"/>
      <c r="AG184" s="168"/>
      <c r="AH184" s="169"/>
      <c r="AI184" s="170"/>
      <c r="AJ184" s="152"/>
      <c r="AK184" s="171"/>
      <c r="AL184" s="171"/>
      <c r="AM184" s="540"/>
      <c r="AN184" s="38"/>
      <c r="AO184" s="38"/>
      <c r="AP184" s="38"/>
      <c r="AQ184" s="38"/>
      <c r="AR184" s="38"/>
      <c r="AS184" s="38"/>
      <c r="AT184" s="38"/>
      <c r="AU184" s="38"/>
      <c r="AV184" s="38"/>
      <c r="AW184" s="38"/>
      <c r="AX184" s="38"/>
      <c r="AY184" s="38"/>
      <c r="AZ184" s="38"/>
      <c r="BA184" s="38"/>
      <c r="BB184" s="38"/>
      <c r="BC184" s="38"/>
      <c r="BD184" s="38"/>
      <c r="BE184" s="38"/>
      <c r="BF184" s="38"/>
    </row>
    <row r="185" spans="1:58" s="173" customFormat="1" ht="45" customHeight="1">
      <c r="A185" s="153"/>
      <c r="B185" s="154"/>
      <c r="C185" s="155"/>
      <c r="D185" s="156">
        <v>656420011</v>
      </c>
      <c r="E185" s="157">
        <v>309</v>
      </c>
      <c r="F185" s="158"/>
      <c r="G185" s="250"/>
      <c r="H185" s="825" t="s">
        <v>91</v>
      </c>
      <c r="I185" s="160"/>
      <c r="J185" s="161"/>
      <c r="K185" s="162"/>
      <c r="L185" s="163"/>
      <c r="M185" s="163"/>
      <c r="N185" s="163"/>
      <c r="O185" s="163"/>
      <c r="P185" s="163"/>
      <c r="Q185" s="167"/>
      <c r="R185" s="162"/>
      <c r="S185" s="162"/>
      <c r="T185" s="162"/>
      <c r="U185" s="162"/>
      <c r="V185" s="417"/>
      <c r="W185" s="366" t="s">
        <v>669</v>
      </c>
      <c r="X185" s="417">
        <v>200000</v>
      </c>
      <c r="Y185" s="369" t="s">
        <v>692</v>
      </c>
      <c r="Z185" s="417">
        <v>35000</v>
      </c>
      <c r="AA185" s="417">
        <v>35000</v>
      </c>
      <c r="AB185" s="168"/>
      <c r="AC185" s="168"/>
      <c r="AD185" s="168"/>
      <c r="AE185" s="168">
        <v>184509.84</v>
      </c>
      <c r="AF185" s="168">
        <v>0</v>
      </c>
      <c r="AG185" s="168"/>
      <c r="AH185" s="169"/>
      <c r="AI185" s="170">
        <v>0.9351600199003604</v>
      </c>
      <c r="AJ185" s="152" t="s">
        <v>143</v>
      </c>
      <c r="AK185" s="171"/>
      <c r="AL185" s="171"/>
      <c r="AM185" s="540"/>
      <c r="AN185" s="38"/>
      <c r="AO185" s="38"/>
      <c r="AP185" s="38"/>
      <c r="AQ185" s="38"/>
      <c r="AR185" s="38"/>
      <c r="AS185" s="38"/>
      <c r="AT185" s="38"/>
      <c r="AU185" s="38"/>
      <c r="AV185" s="38"/>
      <c r="AW185" s="38"/>
      <c r="AX185" s="38"/>
      <c r="AY185" s="38"/>
      <c r="AZ185" s="38"/>
      <c r="BA185" s="38"/>
      <c r="BB185" s="38"/>
      <c r="BC185" s="38"/>
      <c r="BD185" s="38"/>
      <c r="BE185" s="38"/>
      <c r="BF185" s="38"/>
    </row>
    <row r="186" spans="1:58" s="173" customFormat="1" ht="28.5" customHeight="1">
      <c r="A186" s="153"/>
      <c r="B186" s="154" t="s">
        <v>252</v>
      </c>
      <c r="C186" s="155" t="s">
        <v>252</v>
      </c>
      <c r="D186" s="156">
        <v>656420011</v>
      </c>
      <c r="E186" s="157">
        <v>309</v>
      </c>
      <c r="F186" s="158"/>
      <c r="G186" s="250" t="s">
        <v>554</v>
      </c>
      <c r="H186" s="825" t="s">
        <v>91</v>
      </c>
      <c r="I186" s="160">
        <v>226</v>
      </c>
      <c r="J186" s="1064"/>
      <c r="K186" s="981"/>
      <c r="L186" s="982">
        <v>75370.76</v>
      </c>
      <c r="M186" s="982">
        <v>60799.97</v>
      </c>
      <c r="N186" s="982">
        <v>61132.23</v>
      </c>
      <c r="O186" s="982">
        <v>0</v>
      </c>
      <c r="P186" s="982">
        <v>197302.96</v>
      </c>
      <c r="Q186" s="983">
        <f>R186+S186+T186+U186</f>
        <v>100000</v>
      </c>
      <c r="R186" s="981">
        <v>100000</v>
      </c>
      <c r="S186" s="981"/>
      <c r="T186" s="981">
        <v>0</v>
      </c>
      <c r="U186" s="981">
        <v>0</v>
      </c>
      <c r="V186" s="984">
        <v>35000</v>
      </c>
      <c r="W186" s="983" t="s">
        <v>255</v>
      </c>
      <c r="X186" s="1065">
        <v>0</v>
      </c>
      <c r="Y186" s="1066"/>
      <c r="Z186" s="1064">
        <f>36512*2</f>
        <v>73024</v>
      </c>
      <c r="AA186" s="1064">
        <f>36512*2</f>
        <v>73024</v>
      </c>
      <c r="AB186" s="185"/>
      <c r="AC186" s="249"/>
      <c r="AD186" s="184"/>
      <c r="AE186" s="184"/>
      <c r="AF186" s="185"/>
      <c r="AG186" s="185"/>
      <c r="AH186" s="471"/>
      <c r="AI186" s="186"/>
      <c r="AJ186" s="152"/>
      <c r="AK186" s="171"/>
      <c r="AL186" s="171"/>
      <c r="AM186" s="540"/>
      <c r="AN186" s="38"/>
      <c r="AO186" s="38"/>
      <c r="AP186" s="38"/>
      <c r="AQ186" s="38"/>
      <c r="AR186" s="38"/>
      <c r="AS186" s="38"/>
      <c r="AT186" s="38"/>
      <c r="AU186" s="38"/>
      <c r="AV186" s="38"/>
      <c r="AW186" s="38"/>
      <c r="AX186" s="38"/>
      <c r="AY186" s="38"/>
      <c r="AZ186" s="38"/>
      <c r="BA186" s="38"/>
      <c r="BB186" s="38"/>
      <c r="BC186" s="38"/>
      <c r="BD186" s="38"/>
      <c r="BE186" s="38"/>
      <c r="BF186" s="38"/>
    </row>
    <row r="187" spans="1:58" s="173" customFormat="1" ht="54" customHeight="1">
      <c r="A187" s="153"/>
      <c r="B187" s="329"/>
      <c r="C187" s="175"/>
      <c r="D187" s="1034">
        <v>656420021</v>
      </c>
      <c r="E187" s="1020">
        <v>309</v>
      </c>
      <c r="F187" s="1021"/>
      <c r="G187" s="1022" t="s">
        <v>553</v>
      </c>
      <c r="H187" s="825" t="s">
        <v>91</v>
      </c>
      <c r="I187" s="1018">
        <v>226</v>
      </c>
      <c r="J187" s="1019"/>
      <c r="K187" s="1023"/>
      <c r="L187" s="1024"/>
      <c r="M187" s="1025"/>
      <c r="N187" s="1025"/>
      <c r="O187" s="1024"/>
      <c r="P187" s="1025"/>
      <c r="Q187" s="1026"/>
      <c r="R187" s="1027"/>
      <c r="S187" s="1027"/>
      <c r="T187" s="1027"/>
      <c r="U187" s="1027"/>
      <c r="V187" s="1028">
        <f>(73024)/2</f>
        <v>36512</v>
      </c>
      <c r="W187" s="1029" t="s">
        <v>661</v>
      </c>
      <c r="X187" s="1028">
        <f>79631.04-V187</f>
        <v>43119.03999999999</v>
      </c>
      <c r="Y187" s="474"/>
      <c r="Z187" s="987">
        <f>63720*2</f>
        <v>127440</v>
      </c>
      <c r="AA187" s="987">
        <f>63720*2</f>
        <v>127440</v>
      </c>
      <c r="AB187" s="1410"/>
      <c r="AC187" s="1411"/>
      <c r="AD187" s="1412"/>
      <c r="AE187" s="184">
        <v>209409.82</v>
      </c>
      <c r="AF187" s="185">
        <v>0</v>
      </c>
      <c r="AG187" s="1410"/>
      <c r="AH187" s="1412"/>
      <c r="AI187" s="186">
        <v>0.885442589964719</v>
      </c>
      <c r="AJ187" s="152" t="s">
        <v>143</v>
      </c>
      <c r="AK187" s="171"/>
      <c r="AL187" s="171"/>
      <c r="AM187" s="540"/>
      <c r="AN187" s="38"/>
      <c r="AO187" s="38"/>
      <c r="AP187" s="38"/>
      <c r="AQ187" s="38"/>
      <c r="AR187" s="38"/>
      <c r="AS187" s="38"/>
      <c r="AT187" s="38"/>
      <c r="AU187" s="38"/>
      <c r="AV187" s="38"/>
      <c r="AW187" s="38"/>
      <c r="AX187" s="38"/>
      <c r="AY187" s="38"/>
      <c r="AZ187" s="38"/>
      <c r="BA187" s="38"/>
      <c r="BB187" s="38"/>
      <c r="BC187" s="38"/>
      <c r="BD187" s="38"/>
      <c r="BE187" s="38"/>
      <c r="BF187" s="38"/>
    </row>
    <row r="188" spans="1:58" s="173" customFormat="1" ht="54" customHeight="1">
      <c r="A188" s="153"/>
      <c r="B188" s="329"/>
      <c r="C188" s="175"/>
      <c r="D188" s="156">
        <v>656420011</v>
      </c>
      <c r="E188" s="157">
        <v>309</v>
      </c>
      <c r="F188" s="158"/>
      <c r="G188" s="250" t="s">
        <v>554</v>
      </c>
      <c r="H188" s="825" t="s">
        <v>91</v>
      </c>
      <c r="I188" s="160">
        <v>226</v>
      </c>
      <c r="J188" s="1051"/>
      <c r="K188" s="1052"/>
      <c r="L188" s="1053"/>
      <c r="M188" s="1054"/>
      <c r="N188" s="1054"/>
      <c r="O188" s="1053"/>
      <c r="P188" s="1054"/>
      <c r="Q188" s="1055"/>
      <c r="R188" s="1056"/>
      <c r="S188" s="1056"/>
      <c r="T188" s="1056"/>
      <c r="U188" s="1056"/>
      <c r="V188" s="1051">
        <f>(127440)/2</f>
        <v>63720</v>
      </c>
      <c r="W188" s="1057" t="s">
        <v>634</v>
      </c>
      <c r="X188" s="1051">
        <v>63720</v>
      </c>
      <c r="Y188" s="1058"/>
      <c r="Z188" s="1059">
        <f>SUM(Z180:Z187)</f>
        <v>827376</v>
      </c>
      <c r="AA188" s="1059">
        <f>SUM(AA180:AA187)</f>
        <v>827376</v>
      </c>
      <c r="AB188" s="1527"/>
      <c r="AC188" s="1528"/>
      <c r="AD188" s="1529"/>
      <c r="AE188" s="1060">
        <v>209409.82</v>
      </c>
      <c r="AF188" s="1061">
        <v>0</v>
      </c>
      <c r="AG188" s="1527"/>
      <c r="AH188" s="1529"/>
      <c r="AI188" s="1062">
        <v>0.885442589964719</v>
      </c>
      <c r="AJ188" s="1063" t="s">
        <v>143</v>
      </c>
      <c r="AK188" s="171"/>
      <c r="AL188" s="171"/>
      <c r="AM188" s="540"/>
      <c r="AN188" s="38"/>
      <c r="AO188" s="38"/>
      <c r="AP188" s="38"/>
      <c r="AQ188" s="38"/>
      <c r="AR188" s="38"/>
      <c r="AS188" s="38"/>
      <c r="AT188" s="38"/>
      <c r="AU188" s="38"/>
      <c r="AV188" s="38"/>
      <c r="AW188" s="38"/>
      <c r="AX188" s="38"/>
      <c r="AY188" s="38"/>
      <c r="AZ188" s="38"/>
      <c r="BA188" s="38"/>
      <c r="BB188" s="38"/>
      <c r="BC188" s="38"/>
      <c r="BD188" s="38"/>
      <c r="BE188" s="38"/>
      <c r="BF188" s="38"/>
    </row>
    <row r="189" spans="1:39" ht="26.25" customHeight="1">
      <c r="A189" s="153"/>
      <c r="B189" s="1413" t="s">
        <v>161</v>
      </c>
      <c r="C189" s="1414"/>
      <c r="D189" s="1414"/>
      <c r="E189" s="1414"/>
      <c r="F189" s="1414"/>
      <c r="G189" s="1414"/>
      <c r="H189" s="1414"/>
      <c r="I189" s="1414"/>
      <c r="J189" s="1414"/>
      <c r="K189" s="1415"/>
      <c r="L189" s="177">
        <v>105370.76</v>
      </c>
      <c r="M189" s="178">
        <v>70000</v>
      </c>
      <c r="N189" s="178">
        <v>61132.23</v>
      </c>
      <c r="O189" s="177">
        <v>0</v>
      </c>
      <c r="P189" s="178">
        <v>236502.99</v>
      </c>
      <c r="Q189" s="322">
        <f>R189+S189+T189+U189</f>
        <v>100000</v>
      </c>
      <c r="R189" s="252">
        <f>R181+R186</f>
        <v>100000</v>
      </c>
      <c r="S189" s="252">
        <f>S181+S186</f>
        <v>0</v>
      </c>
      <c r="T189" s="252">
        <f>T181+T186</f>
        <v>0</v>
      </c>
      <c r="U189" s="252">
        <f>U181+U186</f>
        <v>0</v>
      </c>
      <c r="V189" s="472">
        <f>SUM(V181:V188)</f>
        <v>429832</v>
      </c>
      <c r="W189" s="473">
        <f>V189+X189</f>
        <v>946671.04</v>
      </c>
      <c r="X189" s="254">
        <f>SUM(X181:X188)</f>
        <v>516839.04</v>
      </c>
      <c r="Y189" s="478"/>
      <c r="Z189" s="476"/>
      <c r="AA189" s="476"/>
      <c r="AB189" s="476"/>
      <c r="AC189" s="476"/>
      <c r="AD189" s="476"/>
      <c r="AE189" s="476"/>
      <c r="AF189" s="476"/>
      <c r="AG189" s="476"/>
      <c r="AH189" s="476"/>
      <c r="AI189" s="479"/>
      <c r="AJ189" s="152" t="s">
        <v>143</v>
      </c>
      <c r="AK189" s="30"/>
      <c r="AL189" s="30"/>
      <c r="AM189" s="540"/>
    </row>
    <row r="190" spans="1:39" ht="12.75" customHeight="1" hidden="1">
      <c r="A190" s="151"/>
      <c r="B190" s="475"/>
      <c r="C190" s="476"/>
      <c r="D190" s="1526" t="s">
        <v>256</v>
      </c>
      <c r="E190" s="1526"/>
      <c r="F190" s="1526"/>
      <c r="G190" s="1526"/>
      <c r="H190" s="1526"/>
      <c r="I190" s="1526"/>
      <c r="J190" s="1526"/>
      <c r="K190" s="1526"/>
      <c r="L190" s="1526"/>
      <c r="M190" s="1526"/>
      <c r="N190" s="1526"/>
      <c r="O190" s="1526"/>
      <c r="P190" s="1526"/>
      <c r="Q190" s="1526"/>
      <c r="R190" s="1526"/>
      <c r="S190" s="1526"/>
      <c r="T190" s="1526"/>
      <c r="U190" s="1526"/>
      <c r="V190" s="1526"/>
      <c r="W190" s="476"/>
      <c r="X190" s="477"/>
      <c r="Y190" s="484"/>
      <c r="Z190" s="162"/>
      <c r="AA190" s="464"/>
      <c r="AB190" s="168"/>
      <c r="AC190" s="168"/>
      <c r="AD190" s="168"/>
      <c r="AE190" s="168">
        <v>22031.81</v>
      </c>
      <c r="AF190" s="168">
        <v>0</v>
      </c>
      <c r="AG190" s="168"/>
      <c r="AH190" s="169"/>
      <c r="AI190" s="170">
        <v>1</v>
      </c>
      <c r="AJ190" s="152" t="s">
        <v>143</v>
      </c>
      <c r="AK190" s="30"/>
      <c r="AL190" s="30"/>
      <c r="AM190" s="540"/>
    </row>
    <row r="191" spans="1:39" ht="12.75" customHeight="1" hidden="1">
      <c r="A191" s="151"/>
      <c r="B191" s="154" t="s">
        <v>256</v>
      </c>
      <c r="C191" s="155" t="s">
        <v>256</v>
      </c>
      <c r="D191" s="156">
        <v>656030031</v>
      </c>
      <c r="E191" s="157">
        <v>309</v>
      </c>
      <c r="F191" s="158">
        <v>656</v>
      </c>
      <c r="G191" s="250">
        <v>7953101</v>
      </c>
      <c r="H191" s="160" t="s">
        <v>91</v>
      </c>
      <c r="I191" s="160">
        <v>226</v>
      </c>
      <c r="J191" s="161">
        <v>0</v>
      </c>
      <c r="K191" s="162"/>
      <c r="L191" s="165">
        <v>13891.92</v>
      </c>
      <c r="M191" s="165">
        <v>0</v>
      </c>
      <c r="N191" s="165">
        <v>8139.89</v>
      </c>
      <c r="O191" s="165">
        <v>0</v>
      </c>
      <c r="P191" s="480">
        <v>22031.81</v>
      </c>
      <c r="Q191" s="167"/>
      <c r="R191" s="481"/>
      <c r="S191" s="481"/>
      <c r="T191" s="481"/>
      <c r="U191" s="481"/>
      <c r="V191" s="482"/>
      <c r="W191" s="483"/>
      <c r="X191" s="193"/>
      <c r="Y191" s="488"/>
      <c r="Z191" s="253"/>
      <c r="AA191" s="489"/>
      <c r="AB191" s="1410"/>
      <c r="AC191" s="1411"/>
      <c r="AD191" s="1412"/>
      <c r="AE191" s="184">
        <v>22031.81</v>
      </c>
      <c r="AF191" s="185">
        <v>0</v>
      </c>
      <c r="AG191" s="1410"/>
      <c r="AH191" s="1412"/>
      <c r="AI191" s="186">
        <v>1</v>
      </c>
      <c r="AJ191" s="152" t="s">
        <v>143</v>
      </c>
      <c r="AK191" s="30"/>
      <c r="AL191" s="30"/>
      <c r="AM191" s="540"/>
    </row>
    <row r="192" spans="1:39" ht="22.5" customHeight="1" hidden="1">
      <c r="A192" s="151"/>
      <c r="B192" s="1413" t="s">
        <v>161</v>
      </c>
      <c r="C192" s="1414"/>
      <c r="D192" s="1414"/>
      <c r="E192" s="1414"/>
      <c r="F192" s="1414"/>
      <c r="G192" s="1414"/>
      <c r="H192" s="1414"/>
      <c r="I192" s="1414"/>
      <c r="J192" s="1414"/>
      <c r="K192" s="1415"/>
      <c r="L192" s="408">
        <v>13891.92</v>
      </c>
      <c r="M192" s="180">
        <v>0</v>
      </c>
      <c r="N192" s="180">
        <v>8139.89</v>
      </c>
      <c r="O192" s="408">
        <v>0</v>
      </c>
      <c r="P192" s="485">
        <v>22031.81</v>
      </c>
      <c r="Q192" s="164"/>
      <c r="R192" s="409"/>
      <c r="S192" s="410"/>
      <c r="T192" s="409"/>
      <c r="U192" s="410"/>
      <c r="V192" s="486"/>
      <c r="W192" s="487"/>
      <c r="X192" s="254"/>
      <c r="Y192" s="175"/>
      <c r="Z192" s="175"/>
      <c r="AA192" s="175"/>
      <c r="AB192" s="175"/>
      <c r="AC192" s="175"/>
      <c r="AD192" s="175"/>
      <c r="AE192" s="175"/>
      <c r="AF192" s="175"/>
      <c r="AG192" s="175"/>
      <c r="AH192" s="175"/>
      <c r="AI192" s="190"/>
      <c r="AJ192" s="152" t="s">
        <v>143</v>
      </c>
      <c r="AK192" s="30"/>
      <c r="AL192" s="30"/>
      <c r="AM192" s="540"/>
    </row>
    <row r="193" spans="1:39" ht="12.75" customHeight="1" hidden="1">
      <c r="A193" s="151"/>
      <c r="B193" s="174" t="s">
        <v>257</v>
      </c>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484"/>
      <c r="Z193" s="162"/>
      <c r="AA193" s="464"/>
      <c r="AB193" s="168"/>
      <c r="AC193" s="168"/>
      <c r="AD193" s="168"/>
      <c r="AE193" s="168">
        <v>125027.31</v>
      </c>
      <c r="AF193" s="168">
        <v>0</v>
      </c>
      <c r="AG193" s="168"/>
      <c r="AH193" s="169"/>
      <c r="AI193" s="170">
        <v>0.9994189448441246</v>
      </c>
      <c r="AJ193" s="152" t="s">
        <v>143</v>
      </c>
      <c r="AK193" s="30"/>
      <c r="AL193" s="30"/>
      <c r="AM193" s="540"/>
    </row>
    <row r="194" spans="1:39" ht="12.75" customHeight="1" hidden="1">
      <c r="A194" s="151"/>
      <c r="B194" s="154" t="s">
        <v>257</v>
      </c>
      <c r="C194" s="155" t="s">
        <v>257</v>
      </c>
      <c r="D194" s="156">
        <v>656030032</v>
      </c>
      <c r="E194" s="157">
        <v>309</v>
      </c>
      <c r="F194" s="158">
        <v>656</v>
      </c>
      <c r="G194" s="250">
        <v>5227601</v>
      </c>
      <c r="H194" s="160" t="s">
        <v>91</v>
      </c>
      <c r="I194" s="160">
        <v>226</v>
      </c>
      <c r="J194" s="161">
        <v>0</v>
      </c>
      <c r="K194" s="162"/>
      <c r="L194" s="165">
        <v>0</v>
      </c>
      <c r="M194" s="165">
        <v>125100</v>
      </c>
      <c r="N194" s="165">
        <v>0</v>
      </c>
      <c r="O194" s="165">
        <v>0</v>
      </c>
      <c r="P194" s="480">
        <v>125100</v>
      </c>
      <c r="Q194" s="167"/>
      <c r="R194" s="481">
        <v>125100</v>
      </c>
      <c r="S194" s="481"/>
      <c r="T194" s="481"/>
      <c r="U194" s="481"/>
      <c r="V194" s="482"/>
      <c r="W194" s="483"/>
      <c r="X194" s="193"/>
      <c r="Y194" s="488"/>
      <c r="Z194" s="253"/>
      <c r="AA194" s="489"/>
      <c r="AB194" s="1410"/>
      <c r="AC194" s="1411"/>
      <c r="AD194" s="1412"/>
      <c r="AE194" s="184">
        <v>125027.31</v>
      </c>
      <c r="AF194" s="185">
        <v>0</v>
      </c>
      <c r="AG194" s="1410"/>
      <c r="AH194" s="1412"/>
      <c r="AI194" s="186">
        <v>0.9994189448441246</v>
      </c>
      <c r="AJ194" s="152" t="s">
        <v>143</v>
      </c>
      <c r="AK194" s="30"/>
      <c r="AL194" s="30"/>
      <c r="AM194" s="540"/>
    </row>
    <row r="195" spans="1:58" s="493" customFormat="1" ht="2.25" customHeight="1" hidden="1">
      <c r="A195" s="151"/>
      <c r="B195" s="1413" t="s">
        <v>161</v>
      </c>
      <c r="C195" s="1414"/>
      <c r="D195" s="1414"/>
      <c r="E195" s="1414"/>
      <c r="F195" s="1414"/>
      <c r="G195" s="1414"/>
      <c r="H195" s="1414"/>
      <c r="I195" s="1414"/>
      <c r="J195" s="1414"/>
      <c r="K195" s="1415"/>
      <c r="L195" s="408">
        <v>0</v>
      </c>
      <c r="M195" s="180">
        <v>125100</v>
      </c>
      <c r="N195" s="180">
        <v>0</v>
      </c>
      <c r="O195" s="408">
        <v>0</v>
      </c>
      <c r="P195" s="485">
        <v>125100</v>
      </c>
      <c r="Q195" s="164"/>
      <c r="R195" s="409">
        <v>125100</v>
      </c>
      <c r="S195" s="410"/>
      <c r="T195" s="409"/>
      <c r="U195" s="410"/>
      <c r="V195" s="486"/>
      <c r="W195" s="487"/>
      <c r="X195" s="254"/>
      <c r="Y195" s="806"/>
      <c r="Z195" s="806"/>
      <c r="AA195" s="806"/>
      <c r="AB195" s="806"/>
      <c r="AC195" s="806"/>
      <c r="AD195" s="806"/>
      <c r="AE195" s="806"/>
      <c r="AF195" s="806"/>
      <c r="AG195" s="806"/>
      <c r="AH195" s="806"/>
      <c r="AI195" s="807"/>
      <c r="AJ195" s="491" t="s">
        <v>143</v>
      </c>
      <c r="AK195" s="492"/>
      <c r="AL195" s="492"/>
      <c r="AM195" s="540"/>
      <c r="AN195" s="38"/>
      <c r="AO195" s="38"/>
      <c r="AP195" s="38"/>
      <c r="AQ195" s="38"/>
      <c r="AR195" s="38"/>
      <c r="AS195" s="38"/>
      <c r="AT195" s="38"/>
      <c r="AU195" s="38"/>
      <c r="AV195" s="38"/>
      <c r="AW195" s="38"/>
      <c r="AX195" s="38"/>
      <c r="AY195" s="38"/>
      <c r="AZ195" s="38"/>
      <c r="BA195" s="38"/>
      <c r="BB195" s="38"/>
      <c r="BC195" s="38"/>
      <c r="BD195" s="38"/>
      <c r="BE195" s="38"/>
      <c r="BF195" s="38"/>
    </row>
    <row r="196" spans="1:39" ht="12.75" customHeight="1" hidden="1">
      <c r="A196" s="490"/>
      <c r="B196" s="805" t="s">
        <v>258</v>
      </c>
      <c r="C196" s="806"/>
      <c r="D196" s="806"/>
      <c r="E196" s="806"/>
      <c r="F196" s="806"/>
      <c r="G196" s="806"/>
      <c r="H196" s="806"/>
      <c r="I196" s="806"/>
      <c r="J196" s="806"/>
      <c r="K196" s="806"/>
      <c r="L196" s="806"/>
      <c r="M196" s="806"/>
      <c r="N196" s="806"/>
      <c r="O196" s="806"/>
      <c r="P196" s="806"/>
      <c r="Q196" s="806"/>
      <c r="R196" s="806"/>
      <c r="S196" s="806"/>
      <c r="T196" s="806"/>
      <c r="U196" s="806"/>
      <c r="V196" s="806"/>
      <c r="W196" s="806"/>
      <c r="X196" s="806"/>
      <c r="Y196" s="498"/>
      <c r="Z196" s="162"/>
      <c r="AA196" s="464"/>
      <c r="AB196" s="168"/>
      <c r="AC196" s="168"/>
      <c r="AD196" s="168"/>
      <c r="AE196" s="168">
        <v>125027.31</v>
      </c>
      <c r="AF196" s="168">
        <v>0</v>
      </c>
      <c r="AG196" s="168"/>
      <c r="AH196" s="169"/>
      <c r="AI196" s="170">
        <v>0.9994189448441246</v>
      </c>
      <c r="AJ196" s="152" t="s">
        <v>143</v>
      </c>
      <c r="AK196" s="30"/>
      <c r="AL196" s="30"/>
      <c r="AM196" s="540"/>
    </row>
    <row r="197" spans="1:39" ht="12.75" customHeight="1" hidden="1">
      <c r="A197" s="151"/>
      <c r="B197" s="154" t="s">
        <v>257</v>
      </c>
      <c r="C197" s="155" t="s">
        <v>257</v>
      </c>
      <c r="D197" s="156">
        <v>656030032</v>
      </c>
      <c r="E197" s="157">
        <v>309</v>
      </c>
      <c r="F197" s="158">
        <v>656</v>
      </c>
      <c r="G197" s="494">
        <v>5227601</v>
      </c>
      <c r="H197" s="160" t="s">
        <v>91</v>
      </c>
      <c r="I197" s="160">
        <v>226</v>
      </c>
      <c r="J197" s="161">
        <v>0</v>
      </c>
      <c r="K197" s="162"/>
      <c r="L197" s="165">
        <v>0</v>
      </c>
      <c r="M197" s="165">
        <v>125100</v>
      </c>
      <c r="N197" s="165">
        <v>0</v>
      </c>
      <c r="O197" s="163">
        <v>0</v>
      </c>
      <c r="P197" s="163"/>
      <c r="Q197" s="167"/>
      <c r="R197" s="495"/>
      <c r="S197" s="481">
        <v>133200</v>
      </c>
      <c r="T197" s="481"/>
      <c r="U197" s="481"/>
      <c r="V197" s="496">
        <v>0</v>
      </c>
      <c r="W197" s="497"/>
      <c r="X197" s="193"/>
      <c r="Y197" s="413"/>
      <c r="Z197" s="253"/>
      <c r="AA197" s="489"/>
      <c r="AB197" s="1410"/>
      <c r="AC197" s="1411"/>
      <c r="AD197" s="1412"/>
      <c r="AE197" s="184">
        <v>125027.31</v>
      </c>
      <c r="AF197" s="185">
        <v>0</v>
      </c>
      <c r="AG197" s="1410"/>
      <c r="AH197" s="1412"/>
      <c r="AI197" s="186">
        <v>0.9994189448441246</v>
      </c>
      <c r="AJ197" s="152" t="s">
        <v>143</v>
      </c>
      <c r="AK197" s="30"/>
      <c r="AL197" s="30"/>
      <c r="AM197" s="540"/>
    </row>
    <row r="198" spans="1:58" s="173" customFormat="1" ht="12.75" customHeight="1" hidden="1">
      <c r="A198" s="151"/>
      <c r="B198" s="1413" t="s">
        <v>161</v>
      </c>
      <c r="C198" s="1414"/>
      <c r="D198" s="1414"/>
      <c r="E198" s="1414"/>
      <c r="F198" s="1414"/>
      <c r="G198" s="1414"/>
      <c r="H198" s="1414"/>
      <c r="I198" s="1414"/>
      <c r="J198" s="1414"/>
      <c r="K198" s="1415"/>
      <c r="L198" s="408">
        <v>0</v>
      </c>
      <c r="M198" s="180">
        <v>125100</v>
      </c>
      <c r="N198" s="180">
        <v>0</v>
      </c>
      <c r="O198" s="177">
        <v>0</v>
      </c>
      <c r="P198" s="178"/>
      <c r="Q198" s="164"/>
      <c r="R198" s="411"/>
      <c r="S198" s="499">
        <f>S197</f>
        <v>133200</v>
      </c>
      <c r="T198" s="409"/>
      <c r="U198" s="410"/>
      <c r="V198" s="382">
        <f>V197</f>
        <v>0</v>
      </c>
      <c r="W198" s="412"/>
      <c r="X198" s="254"/>
      <c r="Y198" s="501"/>
      <c r="Z198" s="183"/>
      <c r="AA198" s="502"/>
      <c r="AB198" s="183"/>
      <c r="AC198" s="183"/>
      <c r="AD198" s="183"/>
      <c r="AE198" s="249"/>
      <c r="AF198" s="249"/>
      <c r="AG198" s="183"/>
      <c r="AH198" s="183"/>
      <c r="AI198" s="186"/>
      <c r="AJ198" s="152"/>
      <c r="AK198" s="171"/>
      <c r="AL198" s="171"/>
      <c r="AM198" s="540"/>
      <c r="AN198" s="38"/>
      <c r="AO198" s="38"/>
      <c r="AP198" s="38"/>
      <c r="AQ198" s="38"/>
      <c r="AR198" s="38"/>
      <c r="AS198" s="38"/>
      <c r="AT198" s="38"/>
      <c r="AU198" s="38"/>
      <c r="AV198" s="38"/>
      <c r="AW198" s="38"/>
      <c r="AX198" s="38"/>
      <c r="AY198" s="38"/>
      <c r="AZ198" s="38"/>
      <c r="BA198" s="38"/>
      <c r="BB198" s="38"/>
      <c r="BC198" s="38"/>
      <c r="BD198" s="38"/>
      <c r="BE198" s="38"/>
      <c r="BF198" s="38"/>
    </row>
    <row r="199" spans="1:58" s="173" customFormat="1" ht="12.75" customHeight="1" hidden="1">
      <c r="A199" s="153"/>
      <c r="B199" s="174"/>
      <c r="C199" s="175"/>
      <c r="D199" s="175"/>
      <c r="E199" s="175"/>
      <c r="F199" s="175"/>
      <c r="G199" s="175"/>
      <c r="H199" s="175"/>
      <c r="I199" s="175"/>
      <c r="J199" s="175"/>
      <c r="K199" s="175"/>
      <c r="L199" s="394"/>
      <c r="M199" s="394"/>
      <c r="N199" s="394"/>
      <c r="O199" s="394"/>
      <c r="P199" s="394"/>
      <c r="Q199" s="164"/>
      <c r="R199" s="395"/>
      <c r="S199" s="259"/>
      <c r="T199" s="183"/>
      <c r="U199" s="249"/>
      <c r="V199" s="395"/>
      <c r="W199" s="183"/>
      <c r="X199" s="500"/>
      <c r="Y199" s="501"/>
      <c r="Z199" s="183"/>
      <c r="AA199" s="502"/>
      <c r="AB199" s="183"/>
      <c r="AC199" s="183"/>
      <c r="AD199" s="183"/>
      <c r="AE199" s="249"/>
      <c r="AF199" s="249"/>
      <c r="AG199" s="183"/>
      <c r="AH199" s="183"/>
      <c r="AI199" s="186"/>
      <c r="AJ199" s="152"/>
      <c r="AK199" s="171"/>
      <c r="AL199" s="171"/>
      <c r="AM199" s="540"/>
      <c r="AN199" s="38"/>
      <c r="AO199" s="38"/>
      <c r="AP199" s="38"/>
      <c r="AQ199" s="38"/>
      <c r="AR199" s="38"/>
      <c r="AS199" s="38"/>
      <c r="AT199" s="38"/>
      <c r="AU199" s="38"/>
      <c r="AV199" s="38"/>
      <c r="AW199" s="38"/>
      <c r="AX199" s="38"/>
      <c r="AY199" s="38"/>
      <c r="AZ199" s="38"/>
      <c r="BA199" s="38"/>
      <c r="BB199" s="38"/>
      <c r="BC199" s="38"/>
      <c r="BD199" s="38"/>
      <c r="BE199" s="38"/>
      <c r="BF199" s="38"/>
    </row>
    <row r="200" spans="1:58" s="173" customFormat="1" ht="22.5" customHeight="1" hidden="1">
      <c r="A200" s="153"/>
      <c r="B200" s="174"/>
      <c r="C200" s="175"/>
      <c r="D200" s="175"/>
      <c r="E200" s="175"/>
      <c r="F200" s="175"/>
      <c r="G200" s="175"/>
      <c r="H200" s="175"/>
      <c r="I200" s="175"/>
      <c r="J200" s="175"/>
      <c r="K200" s="175"/>
      <c r="L200" s="394"/>
      <c r="M200" s="394"/>
      <c r="N200" s="394"/>
      <c r="O200" s="394"/>
      <c r="P200" s="394"/>
      <c r="Q200" s="164"/>
      <c r="R200" s="395"/>
      <c r="S200" s="259"/>
      <c r="T200" s="183"/>
      <c r="U200" s="249"/>
      <c r="V200" s="395"/>
      <c r="W200" s="183"/>
      <c r="X200" s="500"/>
      <c r="Y200" s="778"/>
      <c r="Z200" s="778"/>
      <c r="AA200" s="778"/>
      <c r="AB200" s="778"/>
      <c r="AC200" s="778"/>
      <c r="AD200" s="778"/>
      <c r="AE200" s="778"/>
      <c r="AF200" s="778"/>
      <c r="AG200" s="778"/>
      <c r="AH200" s="778"/>
      <c r="AI200" s="779"/>
      <c r="AJ200" s="152" t="s">
        <v>143</v>
      </c>
      <c r="AK200" s="171"/>
      <c r="AL200" s="171"/>
      <c r="AM200" s="38"/>
      <c r="AN200" s="38"/>
      <c r="AO200" s="38"/>
      <c r="AP200" s="38"/>
      <c r="AQ200" s="38"/>
      <c r="AR200" s="38"/>
      <c r="AS200" s="38"/>
      <c r="AT200" s="38"/>
      <c r="AU200" s="38"/>
      <c r="AV200" s="38"/>
      <c r="AW200" s="38"/>
      <c r="AX200" s="38"/>
      <c r="AY200" s="38"/>
      <c r="AZ200" s="38"/>
      <c r="BA200" s="38"/>
      <c r="BB200" s="38"/>
      <c r="BC200" s="38"/>
      <c r="BD200" s="38"/>
      <c r="BE200" s="38"/>
      <c r="BF200" s="38"/>
    </row>
    <row r="201" spans="1:58" s="173" customFormat="1" ht="33.75" customHeight="1">
      <c r="A201" s="153"/>
      <c r="B201" s="777" t="s">
        <v>455</v>
      </c>
      <c r="C201" s="778"/>
      <c r="D201" s="1499" t="s">
        <v>476</v>
      </c>
      <c r="E201" s="1499"/>
      <c r="F201" s="1499"/>
      <c r="G201" s="1499"/>
      <c r="H201" s="1499"/>
      <c r="I201" s="1499"/>
      <c r="J201" s="1499"/>
      <c r="K201" s="1499"/>
      <c r="L201" s="1499"/>
      <c r="M201" s="1499"/>
      <c r="N201" s="1499"/>
      <c r="O201" s="1499"/>
      <c r="P201" s="1499"/>
      <c r="Q201" s="1499"/>
      <c r="R201" s="1499"/>
      <c r="S201" s="1499"/>
      <c r="T201" s="1499"/>
      <c r="U201" s="1499"/>
      <c r="V201" s="1499"/>
      <c r="W201" s="1499"/>
      <c r="X201" s="1499"/>
      <c r="Y201" s="812"/>
      <c r="Z201" s="812"/>
      <c r="AA201" s="812"/>
      <c r="AB201" s="462"/>
      <c r="AC201" s="462"/>
      <c r="AD201" s="462"/>
      <c r="AE201" s="462"/>
      <c r="AF201" s="462"/>
      <c r="AG201" s="462"/>
      <c r="AH201" s="462"/>
      <c r="AI201" s="463"/>
      <c r="AJ201" s="152"/>
      <c r="AK201" s="171"/>
      <c r="AL201" s="171"/>
      <c r="AM201" s="817"/>
      <c r="AN201" s="38"/>
      <c r="AO201" s="38"/>
      <c r="AP201" s="38"/>
      <c r="AQ201" s="38"/>
      <c r="AR201" s="38"/>
      <c r="AS201" s="38"/>
      <c r="AT201" s="38"/>
      <c r="AU201" s="38"/>
      <c r="AV201" s="38"/>
      <c r="AW201" s="38"/>
      <c r="AX201" s="38"/>
      <c r="AY201" s="38"/>
      <c r="AZ201" s="38"/>
      <c r="BA201" s="38"/>
      <c r="BB201" s="38"/>
      <c r="BC201" s="38"/>
      <c r="BD201" s="38"/>
      <c r="BE201" s="38"/>
      <c r="BF201" s="38"/>
    </row>
    <row r="202" spans="1:58" s="173" customFormat="1" ht="12.75" customHeight="1">
      <c r="A202" s="153"/>
      <c r="B202" s="461"/>
      <c r="C202" s="462"/>
      <c r="D202" s="812" t="s">
        <v>457</v>
      </c>
      <c r="E202" s="812"/>
      <c r="F202" s="812"/>
      <c r="G202" s="812"/>
      <c r="H202" s="812"/>
      <c r="I202" s="812"/>
      <c r="J202" s="812"/>
      <c r="K202" s="812"/>
      <c r="L202" s="812"/>
      <c r="M202" s="812"/>
      <c r="N202" s="812"/>
      <c r="O202" s="812"/>
      <c r="P202" s="812"/>
      <c r="Q202" s="812"/>
      <c r="R202" s="812"/>
      <c r="S202" s="812"/>
      <c r="T202" s="812"/>
      <c r="U202" s="812"/>
      <c r="V202" s="812"/>
      <c r="W202" s="812"/>
      <c r="X202" s="1138"/>
      <c r="Y202" s="194"/>
      <c r="Z202" s="417">
        <v>300000</v>
      </c>
      <c r="AA202" s="417">
        <v>300000</v>
      </c>
      <c r="AB202" s="168"/>
      <c r="AC202" s="168"/>
      <c r="AD202" s="168"/>
      <c r="AE202" s="168">
        <v>125027.31</v>
      </c>
      <c r="AF202" s="168">
        <v>0</v>
      </c>
      <c r="AG202" s="168"/>
      <c r="AH202" s="169"/>
      <c r="AI202" s="170">
        <v>0.9994189448441246</v>
      </c>
      <c r="AJ202" s="152" t="s">
        <v>143</v>
      </c>
      <c r="AK202" s="171"/>
      <c r="AL202" s="171"/>
      <c r="AM202" s="817"/>
      <c r="AN202" s="38"/>
      <c r="AO202" s="38"/>
      <c r="AP202" s="38"/>
      <c r="AQ202" s="38"/>
      <c r="AR202" s="38"/>
      <c r="AS202" s="38"/>
      <c r="AT202" s="38"/>
      <c r="AU202" s="38"/>
      <c r="AV202" s="38"/>
      <c r="AW202" s="38"/>
      <c r="AX202" s="38"/>
      <c r="AY202" s="38"/>
      <c r="AZ202" s="38"/>
      <c r="BA202" s="38"/>
      <c r="BB202" s="38"/>
      <c r="BC202" s="38"/>
      <c r="BD202" s="38"/>
      <c r="BE202" s="38"/>
      <c r="BF202" s="38"/>
    </row>
    <row r="203" spans="1:58" s="173" customFormat="1" ht="12" customHeight="1">
      <c r="A203" s="153"/>
      <c r="B203" s="154" t="s">
        <v>257</v>
      </c>
      <c r="C203" s="155" t="s">
        <v>257</v>
      </c>
      <c r="D203" s="156">
        <v>656460011</v>
      </c>
      <c r="E203" s="157">
        <v>309</v>
      </c>
      <c r="F203" s="158">
        <v>656</v>
      </c>
      <c r="G203" s="250" t="s">
        <v>76</v>
      </c>
      <c r="H203" s="160" t="s">
        <v>91</v>
      </c>
      <c r="I203" s="160">
        <v>226</v>
      </c>
      <c r="J203" s="161">
        <v>0</v>
      </c>
      <c r="K203" s="162"/>
      <c r="L203" s="163">
        <v>0</v>
      </c>
      <c r="M203" s="163">
        <v>125100</v>
      </c>
      <c r="N203" s="163">
        <v>0</v>
      </c>
      <c r="O203" s="163">
        <v>0</v>
      </c>
      <c r="P203" s="163"/>
      <c r="Q203" s="167">
        <f>R203+S203+T203+U203</f>
        <v>80000</v>
      </c>
      <c r="R203" s="195">
        <v>80000</v>
      </c>
      <c r="S203" s="162"/>
      <c r="T203" s="162"/>
      <c r="U203" s="162"/>
      <c r="V203" s="417">
        <v>300000</v>
      </c>
      <c r="W203" s="162" t="s">
        <v>259</v>
      </c>
      <c r="X203" s="542">
        <v>70000</v>
      </c>
      <c r="Y203" s="255"/>
      <c r="Z203" s="252">
        <f>Z202</f>
        <v>300000</v>
      </c>
      <c r="AA203" s="252">
        <f>AA202</f>
        <v>300000</v>
      </c>
      <c r="AB203" s="1410"/>
      <c r="AC203" s="1411"/>
      <c r="AD203" s="1412"/>
      <c r="AE203" s="184">
        <v>125027.31</v>
      </c>
      <c r="AF203" s="185">
        <v>0</v>
      </c>
      <c r="AG203" s="1410"/>
      <c r="AH203" s="1412"/>
      <c r="AI203" s="186">
        <v>0.9994189448441246</v>
      </c>
      <c r="AJ203" s="152" t="s">
        <v>143</v>
      </c>
      <c r="AK203" s="171"/>
      <c r="AL203" s="171"/>
      <c r="AM203" s="817" t="s">
        <v>260</v>
      </c>
      <c r="AN203" s="38"/>
      <c r="AO203" s="38"/>
      <c r="AP203" s="38"/>
      <c r="AQ203" s="38"/>
      <c r="AR203" s="38"/>
      <c r="AS203" s="38"/>
      <c r="AT203" s="38"/>
      <c r="AU203" s="38"/>
      <c r="AV203" s="38"/>
      <c r="AW203" s="38"/>
      <c r="AX203" s="38"/>
      <c r="AY203" s="38"/>
      <c r="AZ203" s="38"/>
      <c r="BA203" s="38"/>
      <c r="BB203" s="38"/>
      <c r="BC203" s="38"/>
      <c r="BD203" s="38"/>
      <c r="BE203" s="38"/>
      <c r="BF203" s="38"/>
    </row>
    <row r="204" spans="1:39" ht="12" customHeight="1" thickBot="1">
      <c r="A204" s="153"/>
      <c r="B204" s="1413" t="s">
        <v>161</v>
      </c>
      <c r="C204" s="1414"/>
      <c r="D204" s="1414"/>
      <c r="E204" s="1414"/>
      <c r="F204" s="1414"/>
      <c r="G204" s="1414"/>
      <c r="H204" s="1414"/>
      <c r="I204" s="1414"/>
      <c r="J204" s="1414"/>
      <c r="K204" s="1415"/>
      <c r="L204" s="177">
        <v>0</v>
      </c>
      <c r="M204" s="178">
        <v>125100</v>
      </c>
      <c r="N204" s="178">
        <v>0</v>
      </c>
      <c r="O204" s="177">
        <v>0</v>
      </c>
      <c r="P204" s="178"/>
      <c r="Q204" s="322">
        <f>R204+S204+T204+U204</f>
        <v>80000</v>
      </c>
      <c r="R204" s="252">
        <f>R203</f>
        <v>80000</v>
      </c>
      <c r="S204" s="249"/>
      <c r="T204" s="251"/>
      <c r="U204" s="249"/>
      <c r="V204" s="418">
        <f>V203</f>
        <v>300000</v>
      </c>
      <c r="W204" s="253" t="s">
        <v>261</v>
      </c>
      <c r="X204" s="382">
        <f>X203</f>
        <v>70000</v>
      </c>
      <c r="Y204" s="175"/>
      <c r="Z204" s="175"/>
      <c r="AA204" s="175"/>
      <c r="AB204" s="175"/>
      <c r="AC204" s="175"/>
      <c r="AD204" s="175"/>
      <c r="AE204" s="175"/>
      <c r="AF204" s="175"/>
      <c r="AG204" s="175"/>
      <c r="AH204" s="175"/>
      <c r="AI204" s="190"/>
      <c r="AJ204" s="152" t="s">
        <v>143</v>
      </c>
      <c r="AK204" s="30"/>
      <c r="AL204" s="30"/>
      <c r="AM204" s="817"/>
    </row>
    <row r="205" spans="1:38" ht="15" customHeight="1" hidden="1">
      <c r="A205" s="151"/>
      <c r="B205" s="174" t="s">
        <v>262</v>
      </c>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94"/>
      <c r="Z205" s="162"/>
      <c r="AA205" s="464"/>
      <c r="AB205" s="168"/>
      <c r="AC205" s="168"/>
      <c r="AD205" s="168"/>
      <c r="AE205" s="168">
        <v>0</v>
      </c>
      <c r="AF205" s="168">
        <v>0</v>
      </c>
      <c r="AG205" s="168"/>
      <c r="AH205" s="169"/>
      <c r="AI205" s="170"/>
      <c r="AJ205" s="152" t="s">
        <v>143</v>
      </c>
      <c r="AK205" s="30"/>
      <c r="AL205" s="30"/>
    </row>
    <row r="206" spans="1:38" ht="12" customHeight="1" hidden="1">
      <c r="A206" s="151"/>
      <c r="B206" s="154" t="s">
        <v>262</v>
      </c>
      <c r="C206" s="155" t="s">
        <v>262</v>
      </c>
      <c r="D206" s="156">
        <v>656030041</v>
      </c>
      <c r="E206" s="157">
        <v>314</v>
      </c>
      <c r="F206" s="158">
        <v>656</v>
      </c>
      <c r="G206" s="250">
        <v>7951600</v>
      </c>
      <c r="H206" s="160" t="s">
        <v>44</v>
      </c>
      <c r="I206" s="160">
        <v>251</v>
      </c>
      <c r="J206" s="161">
        <v>0</v>
      </c>
      <c r="K206" s="162"/>
      <c r="L206" s="165">
        <v>0</v>
      </c>
      <c r="M206" s="165">
        <v>0</v>
      </c>
      <c r="N206" s="165">
        <v>0</v>
      </c>
      <c r="O206" s="165">
        <v>0</v>
      </c>
      <c r="P206" s="165">
        <v>0</v>
      </c>
      <c r="Q206" s="167"/>
      <c r="R206" s="481">
        <v>0</v>
      </c>
      <c r="S206" s="481">
        <v>0</v>
      </c>
      <c r="T206" s="481">
        <v>0</v>
      </c>
      <c r="U206" s="481">
        <v>0</v>
      </c>
      <c r="V206" s="195"/>
      <c r="W206" s="162"/>
      <c r="X206" s="193"/>
      <c r="Y206" s="255"/>
      <c r="Z206" s="253"/>
      <c r="AA206" s="489"/>
      <c r="AB206" s="1410"/>
      <c r="AC206" s="1411"/>
      <c r="AD206" s="1412"/>
      <c r="AE206" s="184">
        <v>0</v>
      </c>
      <c r="AF206" s="185">
        <v>0</v>
      </c>
      <c r="AG206" s="1410"/>
      <c r="AH206" s="1412"/>
      <c r="AI206" s="186"/>
      <c r="AJ206" s="152" t="s">
        <v>143</v>
      </c>
      <c r="AK206" s="30"/>
      <c r="AL206" s="30"/>
    </row>
    <row r="207" spans="1:38" ht="12" customHeight="1" hidden="1">
      <c r="A207" s="151"/>
      <c r="B207" s="1413" t="s">
        <v>161</v>
      </c>
      <c r="C207" s="1414"/>
      <c r="D207" s="1414"/>
      <c r="E207" s="1414"/>
      <c r="F207" s="1414"/>
      <c r="G207" s="1414"/>
      <c r="H207" s="1414"/>
      <c r="I207" s="1414"/>
      <c r="J207" s="1414"/>
      <c r="K207" s="1415"/>
      <c r="L207" s="408">
        <v>0</v>
      </c>
      <c r="M207" s="180">
        <v>0</v>
      </c>
      <c r="N207" s="180">
        <v>0</v>
      </c>
      <c r="O207" s="408">
        <v>0</v>
      </c>
      <c r="P207" s="180">
        <v>0</v>
      </c>
      <c r="Q207" s="164"/>
      <c r="R207" s="409">
        <v>0</v>
      </c>
      <c r="S207" s="410">
        <v>0</v>
      </c>
      <c r="T207" s="409">
        <v>0</v>
      </c>
      <c r="U207" s="410">
        <v>0</v>
      </c>
      <c r="V207" s="252"/>
      <c r="W207" s="253"/>
      <c r="X207" s="254"/>
      <c r="Y207" s="175"/>
      <c r="Z207" s="175"/>
      <c r="AA207" s="175"/>
      <c r="AB207" s="175"/>
      <c r="AC207" s="175"/>
      <c r="AD207" s="175"/>
      <c r="AE207" s="175"/>
      <c r="AF207" s="175"/>
      <c r="AG207" s="175"/>
      <c r="AH207" s="175"/>
      <c r="AI207" s="190"/>
      <c r="AJ207" s="152" t="s">
        <v>143</v>
      </c>
      <c r="AK207" s="30"/>
      <c r="AL207" s="30"/>
    </row>
    <row r="208" spans="1:38" ht="12" customHeight="1" hidden="1">
      <c r="A208" s="151"/>
      <c r="B208" s="174" t="s">
        <v>263</v>
      </c>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94"/>
      <c r="Z208" s="162"/>
      <c r="AA208" s="464"/>
      <c r="AB208" s="168"/>
      <c r="AC208" s="168"/>
      <c r="AD208" s="168"/>
      <c r="AE208" s="168">
        <v>0</v>
      </c>
      <c r="AF208" s="168">
        <v>0</v>
      </c>
      <c r="AG208" s="168"/>
      <c r="AH208" s="169"/>
      <c r="AI208" s="170"/>
      <c r="AJ208" s="152" t="s">
        <v>143</v>
      </c>
      <c r="AK208" s="30"/>
      <c r="AL208" s="30"/>
    </row>
    <row r="209" spans="1:38" ht="12" customHeight="1" hidden="1">
      <c r="A209" s="151"/>
      <c r="B209" s="154" t="s">
        <v>263</v>
      </c>
      <c r="C209" s="155" t="s">
        <v>263</v>
      </c>
      <c r="D209" s="156">
        <v>656030042</v>
      </c>
      <c r="E209" s="157">
        <v>314</v>
      </c>
      <c r="F209" s="158">
        <v>656</v>
      </c>
      <c r="G209" s="250">
        <v>5220700</v>
      </c>
      <c r="H209" s="160" t="s">
        <v>44</v>
      </c>
      <c r="I209" s="160">
        <v>251</v>
      </c>
      <c r="J209" s="161">
        <v>0</v>
      </c>
      <c r="K209" s="162"/>
      <c r="L209" s="165">
        <v>0</v>
      </c>
      <c r="M209" s="165">
        <v>0</v>
      </c>
      <c r="N209" s="165">
        <v>0</v>
      </c>
      <c r="O209" s="165">
        <v>0</v>
      </c>
      <c r="P209" s="165">
        <v>0</v>
      </c>
      <c r="Q209" s="167"/>
      <c r="R209" s="481">
        <v>0</v>
      </c>
      <c r="S209" s="481">
        <v>0</v>
      </c>
      <c r="T209" s="481">
        <v>0</v>
      </c>
      <c r="U209" s="481">
        <v>0</v>
      </c>
      <c r="V209" s="195"/>
      <c r="W209" s="162"/>
      <c r="X209" s="193"/>
      <c r="Y209" s="255"/>
      <c r="Z209" s="253"/>
      <c r="AA209" s="489"/>
      <c r="AB209" s="1410"/>
      <c r="AC209" s="1411"/>
      <c r="AD209" s="1412"/>
      <c r="AE209" s="184">
        <v>0</v>
      </c>
      <c r="AF209" s="185">
        <v>0</v>
      </c>
      <c r="AG209" s="1410"/>
      <c r="AH209" s="1412"/>
      <c r="AI209" s="186"/>
      <c r="AJ209" s="152" t="s">
        <v>143</v>
      </c>
      <c r="AK209" s="30"/>
      <c r="AL209" s="30"/>
    </row>
    <row r="210" spans="1:38" ht="12" customHeight="1" hidden="1">
      <c r="A210" s="151"/>
      <c r="B210" s="1413" t="s">
        <v>161</v>
      </c>
      <c r="C210" s="1414"/>
      <c r="D210" s="1414"/>
      <c r="E210" s="1414"/>
      <c r="F210" s="1414"/>
      <c r="G210" s="1414"/>
      <c r="H210" s="1414"/>
      <c r="I210" s="1414"/>
      <c r="J210" s="1414"/>
      <c r="K210" s="1415"/>
      <c r="L210" s="408">
        <v>0</v>
      </c>
      <c r="M210" s="180">
        <v>0</v>
      </c>
      <c r="N210" s="180">
        <v>0</v>
      </c>
      <c r="O210" s="408">
        <v>0</v>
      </c>
      <c r="P210" s="180">
        <v>0</v>
      </c>
      <c r="Q210" s="164"/>
      <c r="R210" s="409">
        <v>0</v>
      </c>
      <c r="S210" s="410">
        <v>0</v>
      </c>
      <c r="T210" s="409">
        <v>0</v>
      </c>
      <c r="U210" s="410">
        <v>0</v>
      </c>
      <c r="V210" s="252"/>
      <c r="W210" s="253"/>
      <c r="X210" s="254"/>
      <c r="Y210" s="175"/>
      <c r="Z210" s="175"/>
      <c r="AA210" s="175"/>
      <c r="AB210" s="175"/>
      <c r="AC210" s="175"/>
      <c r="AD210" s="175"/>
      <c r="AE210" s="175"/>
      <c r="AF210" s="175"/>
      <c r="AG210" s="175"/>
      <c r="AH210" s="175"/>
      <c r="AI210" s="190"/>
      <c r="AJ210" s="152" t="s">
        <v>143</v>
      </c>
      <c r="AK210" s="30"/>
      <c r="AL210" s="30"/>
    </row>
    <row r="211" spans="1:38" ht="12" customHeight="1" hidden="1">
      <c r="A211" s="151"/>
      <c r="B211" s="174" t="s">
        <v>264</v>
      </c>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94"/>
      <c r="Z211" s="162"/>
      <c r="AA211" s="464"/>
      <c r="AB211" s="168"/>
      <c r="AC211" s="168"/>
      <c r="AD211" s="168"/>
      <c r="AE211" s="168">
        <v>350000</v>
      </c>
      <c r="AF211" s="168">
        <v>0</v>
      </c>
      <c r="AG211" s="168"/>
      <c r="AH211" s="169"/>
      <c r="AI211" s="170">
        <v>1</v>
      </c>
      <c r="AJ211" s="152" t="s">
        <v>143</v>
      </c>
      <c r="AK211" s="30"/>
      <c r="AL211" s="30"/>
    </row>
    <row r="212" spans="1:38" ht="12" customHeight="1" hidden="1">
      <c r="A212" s="151"/>
      <c r="B212" s="154" t="s">
        <v>264</v>
      </c>
      <c r="C212" s="155" t="s">
        <v>264</v>
      </c>
      <c r="D212" s="156">
        <v>656030043</v>
      </c>
      <c r="E212" s="157">
        <v>314</v>
      </c>
      <c r="F212" s="158">
        <v>656</v>
      </c>
      <c r="G212" s="250">
        <v>7956561</v>
      </c>
      <c r="H212" s="160" t="s">
        <v>91</v>
      </c>
      <c r="I212" s="160">
        <v>225</v>
      </c>
      <c r="J212" s="161">
        <v>0</v>
      </c>
      <c r="K212" s="162"/>
      <c r="L212" s="165">
        <v>237520</v>
      </c>
      <c r="M212" s="165">
        <v>-40470</v>
      </c>
      <c r="N212" s="165">
        <v>152950</v>
      </c>
      <c r="O212" s="165">
        <v>0</v>
      </c>
      <c r="P212" s="165">
        <v>350000</v>
      </c>
      <c r="Q212" s="167"/>
      <c r="R212" s="481"/>
      <c r="S212" s="481"/>
      <c r="T212" s="481"/>
      <c r="U212" s="481"/>
      <c r="V212" s="195"/>
      <c r="W212" s="162"/>
      <c r="X212" s="193"/>
      <c r="Y212" s="194"/>
      <c r="Z212" s="162"/>
      <c r="AA212" s="464"/>
      <c r="AB212" s="168"/>
      <c r="AC212" s="168"/>
      <c r="AD212" s="168"/>
      <c r="AE212" s="168">
        <v>19599.99</v>
      </c>
      <c r="AF212" s="168">
        <v>0</v>
      </c>
      <c r="AG212" s="168"/>
      <c r="AH212" s="169"/>
      <c r="AI212" s="170">
        <v>1</v>
      </c>
      <c r="AJ212" s="152" t="s">
        <v>143</v>
      </c>
      <c r="AK212" s="30"/>
      <c r="AL212" s="30"/>
    </row>
    <row r="213" spans="1:38" ht="12" customHeight="1" hidden="1">
      <c r="A213" s="151"/>
      <c r="B213" s="154" t="s">
        <v>264</v>
      </c>
      <c r="C213" s="155" t="s">
        <v>264</v>
      </c>
      <c r="D213" s="156">
        <v>656030043</v>
      </c>
      <c r="E213" s="157">
        <v>314</v>
      </c>
      <c r="F213" s="158">
        <v>656</v>
      </c>
      <c r="G213" s="250">
        <v>7956561</v>
      </c>
      <c r="H213" s="160" t="s">
        <v>91</v>
      </c>
      <c r="I213" s="160">
        <v>310</v>
      </c>
      <c r="J213" s="161" t="s">
        <v>265</v>
      </c>
      <c r="K213" s="162"/>
      <c r="L213" s="165">
        <v>0</v>
      </c>
      <c r="M213" s="165">
        <v>19599.99</v>
      </c>
      <c r="N213" s="165">
        <v>0</v>
      </c>
      <c r="O213" s="165">
        <v>0</v>
      </c>
      <c r="P213" s="165">
        <v>19599.99</v>
      </c>
      <c r="Q213" s="167"/>
      <c r="R213" s="481"/>
      <c r="S213" s="481"/>
      <c r="T213" s="481"/>
      <c r="U213" s="481"/>
      <c r="V213" s="195"/>
      <c r="W213" s="162"/>
      <c r="X213" s="193"/>
      <c r="Y213" s="194"/>
      <c r="Z213" s="162"/>
      <c r="AA213" s="464"/>
      <c r="AB213" s="168"/>
      <c r="AC213" s="168"/>
      <c r="AD213" s="168"/>
      <c r="AE213" s="168">
        <v>20870.01</v>
      </c>
      <c r="AF213" s="168">
        <v>0</v>
      </c>
      <c r="AG213" s="168"/>
      <c r="AH213" s="169"/>
      <c r="AI213" s="170">
        <v>1</v>
      </c>
      <c r="AJ213" s="152" t="s">
        <v>143</v>
      </c>
      <c r="AK213" s="30"/>
      <c r="AL213" s="30"/>
    </row>
    <row r="214" spans="1:38" ht="12" customHeight="1" hidden="1">
      <c r="A214" s="151"/>
      <c r="B214" s="154" t="s">
        <v>264</v>
      </c>
      <c r="C214" s="155" t="s">
        <v>264</v>
      </c>
      <c r="D214" s="156">
        <v>656030043</v>
      </c>
      <c r="E214" s="157">
        <v>314</v>
      </c>
      <c r="F214" s="158">
        <v>656</v>
      </c>
      <c r="G214" s="250">
        <v>7956561</v>
      </c>
      <c r="H214" s="160" t="s">
        <v>91</v>
      </c>
      <c r="I214" s="160">
        <v>340</v>
      </c>
      <c r="J214" s="161" t="s">
        <v>246</v>
      </c>
      <c r="K214" s="162"/>
      <c r="L214" s="165">
        <v>0</v>
      </c>
      <c r="M214" s="165">
        <v>20870.01</v>
      </c>
      <c r="N214" s="165">
        <v>0</v>
      </c>
      <c r="O214" s="165">
        <v>0</v>
      </c>
      <c r="P214" s="165">
        <v>20870.01</v>
      </c>
      <c r="Q214" s="167"/>
      <c r="R214" s="481"/>
      <c r="S214" s="481"/>
      <c r="T214" s="481"/>
      <c r="U214" s="481"/>
      <c r="V214" s="195"/>
      <c r="W214" s="162"/>
      <c r="X214" s="193"/>
      <c r="Y214" s="255"/>
      <c r="Z214" s="253"/>
      <c r="AA214" s="489"/>
      <c r="AB214" s="1410"/>
      <c r="AC214" s="1411"/>
      <c r="AD214" s="1412"/>
      <c r="AE214" s="184">
        <v>390470</v>
      </c>
      <c r="AF214" s="185">
        <v>0</v>
      </c>
      <c r="AG214" s="1410"/>
      <c r="AH214" s="1412"/>
      <c r="AI214" s="186">
        <v>1</v>
      </c>
      <c r="AJ214" s="152" t="s">
        <v>143</v>
      </c>
      <c r="AK214" s="30"/>
      <c r="AL214" s="30"/>
    </row>
    <row r="215" spans="1:38" ht="12" customHeight="1" hidden="1">
      <c r="A215" s="151"/>
      <c r="B215" s="1413" t="s">
        <v>161</v>
      </c>
      <c r="C215" s="1414"/>
      <c r="D215" s="1414"/>
      <c r="E215" s="1414"/>
      <c r="F215" s="1414"/>
      <c r="G215" s="1414"/>
      <c r="H215" s="1414"/>
      <c r="I215" s="1414"/>
      <c r="J215" s="1414"/>
      <c r="K215" s="1415"/>
      <c r="L215" s="408">
        <v>237520</v>
      </c>
      <c r="M215" s="180">
        <v>0</v>
      </c>
      <c r="N215" s="180">
        <v>152950</v>
      </c>
      <c r="O215" s="408">
        <v>0</v>
      </c>
      <c r="P215" s="180">
        <v>390470</v>
      </c>
      <c r="Q215" s="164"/>
      <c r="R215" s="409"/>
      <c r="S215" s="410"/>
      <c r="T215" s="409"/>
      <c r="U215" s="410"/>
      <c r="V215" s="252"/>
      <c r="W215" s="253"/>
      <c r="X215" s="254"/>
      <c r="Y215" s="175"/>
      <c r="Z215" s="175"/>
      <c r="AA215" s="175"/>
      <c r="AB215" s="175"/>
      <c r="AC215" s="175"/>
      <c r="AD215" s="175"/>
      <c r="AE215" s="175"/>
      <c r="AF215" s="175"/>
      <c r="AG215" s="175"/>
      <c r="AH215" s="175"/>
      <c r="AI215" s="190"/>
      <c r="AJ215" s="152" t="s">
        <v>143</v>
      </c>
      <c r="AK215" s="30"/>
      <c r="AL215" s="30"/>
    </row>
    <row r="216" spans="1:38" ht="12" customHeight="1" hidden="1">
      <c r="A216" s="151"/>
      <c r="B216" s="174" t="s">
        <v>266</v>
      </c>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94"/>
      <c r="Z216" s="162"/>
      <c r="AA216" s="464"/>
      <c r="AB216" s="168"/>
      <c r="AC216" s="168"/>
      <c r="AD216" s="168"/>
      <c r="AE216" s="168">
        <v>0</v>
      </c>
      <c r="AF216" s="168">
        <v>0</v>
      </c>
      <c r="AG216" s="168"/>
      <c r="AH216" s="169"/>
      <c r="AI216" s="170"/>
      <c r="AJ216" s="152" t="s">
        <v>143</v>
      </c>
      <c r="AK216" s="30"/>
      <c r="AL216" s="30"/>
    </row>
    <row r="217" spans="1:38" ht="12" customHeight="1" hidden="1">
      <c r="A217" s="151"/>
      <c r="B217" s="154" t="s">
        <v>266</v>
      </c>
      <c r="C217" s="155" t="s">
        <v>266</v>
      </c>
      <c r="D217" s="156">
        <v>656030051</v>
      </c>
      <c r="E217" s="157">
        <v>314</v>
      </c>
      <c r="F217" s="158">
        <v>656</v>
      </c>
      <c r="G217" s="250">
        <v>7952800</v>
      </c>
      <c r="H217" s="160" t="s">
        <v>44</v>
      </c>
      <c r="I217" s="160">
        <v>251</v>
      </c>
      <c r="J217" s="161">
        <v>0</v>
      </c>
      <c r="K217" s="162"/>
      <c r="L217" s="165">
        <v>0</v>
      </c>
      <c r="M217" s="165">
        <v>0</v>
      </c>
      <c r="N217" s="165">
        <v>0</v>
      </c>
      <c r="O217" s="165">
        <v>0</v>
      </c>
      <c r="P217" s="165">
        <v>0</v>
      </c>
      <c r="Q217" s="167"/>
      <c r="R217" s="481"/>
      <c r="S217" s="481"/>
      <c r="T217" s="481"/>
      <c r="U217" s="481"/>
      <c r="V217" s="195"/>
      <c r="W217" s="162"/>
      <c r="X217" s="193"/>
      <c r="Y217" s="255"/>
      <c r="Z217" s="253"/>
      <c r="AA217" s="489"/>
      <c r="AB217" s="1410"/>
      <c r="AC217" s="1411"/>
      <c r="AD217" s="1412"/>
      <c r="AE217" s="184">
        <v>0</v>
      </c>
      <c r="AF217" s="185">
        <v>0</v>
      </c>
      <c r="AG217" s="1410"/>
      <c r="AH217" s="1412"/>
      <c r="AI217" s="186"/>
      <c r="AJ217" s="152" t="s">
        <v>143</v>
      </c>
      <c r="AK217" s="30"/>
      <c r="AL217" s="30"/>
    </row>
    <row r="218" spans="1:38" ht="12" customHeight="1" hidden="1">
      <c r="A218" s="151"/>
      <c r="B218" s="1413" t="s">
        <v>161</v>
      </c>
      <c r="C218" s="1414"/>
      <c r="D218" s="1414"/>
      <c r="E218" s="1414"/>
      <c r="F218" s="1414"/>
      <c r="G218" s="1414"/>
      <c r="H218" s="1414"/>
      <c r="I218" s="1414"/>
      <c r="J218" s="1414"/>
      <c r="K218" s="1415"/>
      <c r="L218" s="408">
        <v>0</v>
      </c>
      <c r="M218" s="180">
        <v>0</v>
      </c>
      <c r="N218" s="180">
        <v>0</v>
      </c>
      <c r="O218" s="408">
        <v>0</v>
      </c>
      <c r="P218" s="180">
        <v>0</v>
      </c>
      <c r="Q218" s="164"/>
      <c r="R218" s="409"/>
      <c r="S218" s="410"/>
      <c r="T218" s="409"/>
      <c r="U218" s="410"/>
      <c r="V218" s="252"/>
      <c r="W218" s="253"/>
      <c r="X218" s="254"/>
      <c r="Y218" s="175"/>
      <c r="Z218" s="175"/>
      <c r="AA218" s="175"/>
      <c r="AB218" s="175"/>
      <c r="AC218" s="175"/>
      <c r="AD218" s="175"/>
      <c r="AE218" s="175"/>
      <c r="AF218" s="175"/>
      <c r="AG218" s="175"/>
      <c r="AH218" s="175"/>
      <c r="AI218" s="190"/>
      <c r="AJ218" s="152" t="s">
        <v>143</v>
      </c>
      <c r="AK218" s="30"/>
      <c r="AL218" s="30"/>
    </row>
    <row r="219" spans="1:38" ht="12" customHeight="1" hidden="1">
      <c r="A219" s="151"/>
      <c r="B219" s="174" t="s">
        <v>267</v>
      </c>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94"/>
      <c r="Z219" s="162">
        <v>0</v>
      </c>
      <c r="AA219" s="464">
        <v>-444</v>
      </c>
      <c r="AB219" s="168"/>
      <c r="AC219" s="168"/>
      <c r="AD219" s="168"/>
      <c r="AE219" s="168">
        <v>444</v>
      </c>
      <c r="AF219" s="168">
        <v>0</v>
      </c>
      <c r="AG219" s="168"/>
      <c r="AH219" s="169"/>
      <c r="AI219" s="170">
        <v>1</v>
      </c>
      <c r="AJ219" s="152" t="s">
        <v>143</v>
      </c>
      <c r="AK219" s="30"/>
      <c r="AL219" s="30"/>
    </row>
    <row r="220" spans="1:38" ht="12" customHeight="1" hidden="1">
      <c r="A220" s="151"/>
      <c r="B220" s="154" t="s">
        <v>267</v>
      </c>
      <c r="C220" s="155" t="s">
        <v>267</v>
      </c>
      <c r="D220" s="156">
        <v>656030052</v>
      </c>
      <c r="E220" s="157">
        <v>314</v>
      </c>
      <c r="F220" s="158">
        <v>656</v>
      </c>
      <c r="G220" s="250">
        <v>7952801</v>
      </c>
      <c r="H220" s="160" t="s">
        <v>91</v>
      </c>
      <c r="I220" s="160">
        <v>340</v>
      </c>
      <c r="J220" s="161" t="s">
        <v>246</v>
      </c>
      <c r="K220" s="162"/>
      <c r="L220" s="165">
        <v>0</v>
      </c>
      <c r="M220" s="165">
        <v>0</v>
      </c>
      <c r="N220" s="165">
        <v>444</v>
      </c>
      <c r="O220" s="165">
        <v>0</v>
      </c>
      <c r="P220" s="480">
        <v>444</v>
      </c>
      <c r="Q220" s="167"/>
      <c r="R220" s="481">
        <v>444</v>
      </c>
      <c r="S220" s="481"/>
      <c r="T220" s="481"/>
      <c r="U220" s="481"/>
      <c r="V220" s="195"/>
      <c r="W220" s="162"/>
      <c r="X220" s="193"/>
      <c r="Y220" s="255"/>
      <c r="Z220" s="253">
        <v>0</v>
      </c>
      <c r="AA220" s="489"/>
      <c r="AB220" s="1410"/>
      <c r="AC220" s="1411"/>
      <c r="AD220" s="1412"/>
      <c r="AE220" s="184">
        <v>444</v>
      </c>
      <c r="AF220" s="185">
        <v>0</v>
      </c>
      <c r="AG220" s="1410"/>
      <c r="AH220" s="1412"/>
      <c r="AI220" s="186">
        <v>1</v>
      </c>
      <c r="AJ220" s="152" t="s">
        <v>143</v>
      </c>
      <c r="AK220" s="30"/>
      <c r="AL220" s="30"/>
    </row>
    <row r="221" spans="1:38" ht="12" customHeight="1" hidden="1">
      <c r="A221" s="151"/>
      <c r="B221" s="1413" t="s">
        <v>161</v>
      </c>
      <c r="C221" s="1414"/>
      <c r="D221" s="1414"/>
      <c r="E221" s="1414"/>
      <c r="F221" s="1414"/>
      <c r="G221" s="1414"/>
      <c r="H221" s="1414"/>
      <c r="I221" s="1414"/>
      <c r="J221" s="1414"/>
      <c r="K221" s="1415"/>
      <c r="L221" s="408">
        <v>444</v>
      </c>
      <c r="M221" s="180">
        <v>0</v>
      </c>
      <c r="N221" s="180">
        <v>0</v>
      </c>
      <c r="O221" s="408">
        <v>0</v>
      </c>
      <c r="P221" s="485">
        <v>444</v>
      </c>
      <c r="Q221" s="164"/>
      <c r="R221" s="409">
        <v>444</v>
      </c>
      <c r="S221" s="410"/>
      <c r="T221" s="409"/>
      <c r="U221" s="410"/>
      <c r="V221" s="252"/>
      <c r="W221" s="253"/>
      <c r="X221" s="254"/>
      <c r="Y221" s="175"/>
      <c r="Z221" s="175"/>
      <c r="AA221" s="175"/>
      <c r="AB221" s="175"/>
      <c r="AC221" s="175"/>
      <c r="AD221" s="175"/>
      <c r="AE221" s="175"/>
      <c r="AF221" s="175"/>
      <c r="AG221" s="175"/>
      <c r="AH221" s="175"/>
      <c r="AI221" s="190"/>
      <c r="AJ221" s="152" t="s">
        <v>143</v>
      </c>
      <c r="AK221" s="30"/>
      <c r="AL221" s="30"/>
    </row>
    <row r="222" spans="1:38" ht="12" customHeight="1" hidden="1">
      <c r="A222" s="151"/>
      <c r="B222" s="174" t="s">
        <v>266</v>
      </c>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94"/>
      <c r="Z222" s="162"/>
      <c r="AA222" s="464"/>
      <c r="AB222" s="168"/>
      <c r="AC222" s="168"/>
      <c r="AD222" s="168"/>
      <c r="AE222" s="168">
        <v>0</v>
      </c>
      <c r="AF222" s="168">
        <v>0</v>
      </c>
      <c r="AG222" s="168"/>
      <c r="AH222" s="169"/>
      <c r="AI222" s="170"/>
      <c r="AJ222" s="152" t="s">
        <v>143</v>
      </c>
      <c r="AK222" s="30"/>
      <c r="AL222" s="30"/>
    </row>
    <row r="223" spans="1:38" ht="12" customHeight="1" hidden="1">
      <c r="A223" s="151"/>
      <c r="B223" s="154" t="s">
        <v>266</v>
      </c>
      <c r="C223" s="155" t="s">
        <v>266</v>
      </c>
      <c r="D223" s="156">
        <v>656030053</v>
      </c>
      <c r="E223" s="157">
        <v>314</v>
      </c>
      <c r="F223" s="158">
        <v>656</v>
      </c>
      <c r="G223" s="250">
        <v>7952801</v>
      </c>
      <c r="H223" s="160" t="s">
        <v>44</v>
      </c>
      <c r="I223" s="160">
        <v>251</v>
      </c>
      <c r="J223" s="161">
        <v>0</v>
      </c>
      <c r="K223" s="162"/>
      <c r="L223" s="165">
        <v>0</v>
      </c>
      <c r="M223" s="165">
        <v>225000</v>
      </c>
      <c r="N223" s="165">
        <v>225000</v>
      </c>
      <c r="O223" s="165">
        <v>-450000</v>
      </c>
      <c r="P223" s="165">
        <v>0</v>
      </c>
      <c r="Q223" s="167"/>
      <c r="R223" s="481"/>
      <c r="S223" s="481"/>
      <c r="T223" s="481"/>
      <c r="U223" s="481"/>
      <c r="V223" s="195">
        <v>0</v>
      </c>
      <c r="W223" s="162"/>
      <c r="X223" s="193"/>
      <c r="Y223" s="255"/>
      <c r="Z223" s="253"/>
      <c r="AA223" s="489"/>
      <c r="AB223" s="1410"/>
      <c r="AC223" s="1411"/>
      <c r="AD223" s="1412"/>
      <c r="AE223" s="184">
        <v>0</v>
      </c>
      <c r="AF223" s="185">
        <v>0</v>
      </c>
      <c r="AG223" s="1410"/>
      <c r="AH223" s="1412"/>
      <c r="AI223" s="186"/>
      <c r="AJ223" s="152" t="s">
        <v>143</v>
      </c>
      <c r="AK223" s="30"/>
      <c r="AL223" s="30"/>
    </row>
    <row r="224" spans="1:38" ht="12" customHeight="1" hidden="1">
      <c r="A224" s="151"/>
      <c r="B224" s="1413" t="s">
        <v>161</v>
      </c>
      <c r="C224" s="1414"/>
      <c r="D224" s="1414"/>
      <c r="E224" s="1414"/>
      <c r="F224" s="1414"/>
      <c r="G224" s="1414"/>
      <c r="H224" s="1414"/>
      <c r="I224" s="1414"/>
      <c r="J224" s="1414"/>
      <c r="K224" s="1415"/>
      <c r="L224" s="408">
        <v>0</v>
      </c>
      <c r="M224" s="180">
        <v>225000</v>
      </c>
      <c r="N224" s="180">
        <v>225000</v>
      </c>
      <c r="O224" s="408">
        <v>-450000</v>
      </c>
      <c r="P224" s="180">
        <v>0</v>
      </c>
      <c r="Q224" s="164"/>
      <c r="R224" s="409"/>
      <c r="S224" s="410"/>
      <c r="T224" s="409"/>
      <c r="U224" s="410"/>
      <c r="V224" s="252">
        <v>0</v>
      </c>
      <c r="W224" s="253"/>
      <c r="X224" s="254"/>
      <c r="Y224" s="789"/>
      <c r="Z224" s="789"/>
      <c r="AA224" s="789"/>
      <c r="AB224" s="789"/>
      <c r="AC224" s="789"/>
      <c r="AD224" s="789"/>
      <c r="AE224" s="789"/>
      <c r="AF224" s="789"/>
      <c r="AG224" s="789"/>
      <c r="AH224" s="789"/>
      <c r="AI224" s="804"/>
      <c r="AJ224" s="152" t="s">
        <v>143</v>
      </c>
      <c r="AK224" s="30"/>
      <c r="AL224" s="30"/>
    </row>
    <row r="225" spans="1:38" ht="12" customHeight="1" hidden="1">
      <c r="A225" s="151"/>
      <c r="B225" s="802" t="s">
        <v>268</v>
      </c>
      <c r="C225" s="789"/>
      <c r="D225" s="789"/>
      <c r="E225" s="789"/>
      <c r="F225" s="789"/>
      <c r="G225" s="789"/>
      <c r="H225" s="789"/>
      <c r="I225" s="789"/>
      <c r="J225" s="789"/>
      <c r="K225" s="789"/>
      <c r="L225" s="789"/>
      <c r="M225" s="789"/>
      <c r="N225" s="789"/>
      <c r="O225" s="789"/>
      <c r="P225" s="789"/>
      <c r="Q225" s="789"/>
      <c r="R225" s="789"/>
      <c r="S225" s="789"/>
      <c r="T225" s="789"/>
      <c r="U225" s="789"/>
      <c r="V225" s="789"/>
      <c r="W225" s="789"/>
      <c r="X225" s="789"/>
      <c r="Y225" s="194"/>
      <c r="Z225" s="162"/>
      <c r="AA225" s="464"/>
      <c r="AB225" s="168"/>
      <c r="AC225" s="168"/>
      <c r="AD225" s="168"/>
      <c r="AE225" s="168">
        <v>4000</v>
      </c>
      <c r="AF225" s="168">
        <v>0</v>
      </c>
      <c r="AG225" s="168"/>
      <c r="AH225" s="169"/>
      <c r="AI225" s="170">
        <v>1</v>
      </c>
      <c r="AJ225" s="152" t="s">
        <v>143</v>
      </c>
      <c r="AK225" s="30"/>
      <c r="AL225" s="30"/>
    </row>
    <row r="226" spans="1:38" ht="12" customHeight="1" hidden="1" thickBot="1">
      <c r="A226" s="151"/>
      <c r="B226" s="154" t="s">
        <v>269</v>
      </c>
      <c r="C226" s="155" t="s">
        <v>269</v>
      </c>
      <c r="D226" s="156">
        <v>656030061</v>
      </c>
      <c r="E226" s="157">
        <v>314</v>
      </c>
      <c r="F226" s="158">
        <v>656</v>
      </c>
      <c r="G226" s="250">
        <v>5222501</v>
      </c>
      <c r="H226" s="160" t="s">
        <v>91</v>
      </c>
      <c r="I226" s="160">
        <v>340</v>
      </c>
      <c r="J226" s="161" t="s">
        <v>246</v>
      </c>
      <c r="K226" s="162"/>
      <c r="L226" s="165">
        <v>0</v>
      </c>
      <c r="M226" s="165">
        <v>0</v>
      </c>
      <c r="N226" s="165">
        <v>4000</v>
      </c>
      <c r="O226" s="165">
        <v>0</v>
      </c>
      <c r="P226" s="165">
        <v>4000</v>
      </c>
      <c r="Q226" s="167"/>
      <c r="R226" s="481"/>
      <c r="S226" s="481"/>
      <c r="T226" s="481"/>
      <c r="U226" s="481"/>
      <c r="V226" s="195"/>
      <c r="W226" s="162"/>
      <c r="X226" s="193"/>
      <c r="Y226" s="398"/>
      <c r="Z226" s="397"/>
      <c r="AA226" s="508"/>
      <c r="AB226" s="1410"/>
      <c r="AC226" s="1411"/>
      <c r="AD226" s="1412"/>
      <c r="AE226" s="184">
        <v>4000</v>
      </c>
      <c r="AF226" s="185">
        <v>0</v>
      </c>
      <c r="AG226" s="1410"/>
      <c r="AH226" s="1412"/>
      <c r="AI226" s="186">
        <v>1</v>
      </c>
      <c r="AJ226" s="152" t="s">
        <v>143</v>
      </c>
      <c r="AK226" s="30"/>
      <c r="AL226" s="30"/>
    </row>
    <row r="227" spans="1:38" ht="15" customHeight="1" hidden="1" thickBot="1">
      <c r="A227" s="151"/>
      <c r="B227" s="1413" t="s">
        <v>161</v>
      </c>
      <c r="C227" s="1414"/>
      <c r="D227" s="1423"/>
      <c r="E227" s="1423"/>
      <c r="F227" s="1423"/>
      <c r="G227" s="1423"/>
      <c r="H227" s="1423"/>
      <c r="I227" s="1423"/>
      <c r="J227" s="1423"/>
      <c r="K227" s="1424"/>
      <c r="L227" s="503">
        <v>0</v>
      </c>
      <c r="M227" s="504">
        <v>4000</v>
      </c>
      <c r="N227" s="504">
        <v>0</v>
      </c>
      <c r="O227" s="503">
        <v>0</v>
      </c>
      <c r="P227" s="504">
        <v>4000</v>
      </c>
      <c r="Q227" s="392"/>
      <c r="R227" s="505"/>
      <c r="S227" s="506"/>
      <c r="T227" s="505"/>
      <c r="U227" s="506"/>
      <c r="V227" s="383"/>
      <c r="W227" s="397"/>
      <c r="X227" s="507"/>
      <c r="Y227" s="787"/>
      <c r="Z227" s="787"/>
      <c r="AA227" s="788"/>
      <c r="AB227" s="183"/>
      <c r="AC227" s="183"/>
      <c r="AD227" s="183"/>
      <c r="AE227" s="249"/>
      <c r="AF227" s="249"/>
      <c r="AG227" s="183"/>
      <c r="AH227" s="183"/>
      <c r="AI227" s="186"/>
      <c r="AJ227" s="152"/>
      <c r="AK227" s="30"/>
      <c r="AL227" s="30"/>
    </row>
    <row r="228" spans="1:40" ht="35.25" customHeight="1" thickBot="1">
      <c r="A228" s="151"/>
      <c r="B228" s="174"/>
      <c r="C228" s="175"/>
      <c r="D228" s="1497" t="s">
        <v>270</v>
      </c>
      <c r="E228" s="1498"/>
      <c r="F228" s="1498"/>
      <c r="G228" s="1498"/>
      <c r="H228" s="1498"/>
      <c r="I228" s="1498"/>
      <c r="J228" s="1498"/>
      <c r="K228" s="1498"/>
      <c r="L228" s="1498"/>
      <c r="M228" s="1498"/>
      <c r="N228" s="1498"/>
      <c r="O228" s="1498"/>
      <c r="P228" s="1498"/>
      <c r="Q228" s="1498"/>
      <c r="R228" s="1498"/>
      <c r="S228" s="1498"/>
      <c r="T228" s="1498"/>
      <c r="U228" s="1498"/>
      <c r="V228" s="1498"/>
      <c r="W228" s="1498"/>
      <c r="X228" s="787"/>
      <c r="Y228" s="509"/>
      <c r="Z228" s="510"/>
      <c r="AA228" s="510"/>
      <c r="AB228" s="183"/>
      <c r="AC228" s="183"/>
      <c r="AD228" s="183"/>
      <c r="AE228" s="249"/>
      <c r="AF228" s="249"/>
      <c r="AG228" s="183"/>
      <c r="AH228" s="183"/>
      <c r="AI228" s="186"/>
      <c r="AJ228" s="152"/>
      <c r="AK228" s="30"/>
      <c r="AL228" s="30"/>
      <c r="AN228" s="290"/>
    </row>
    <row r="229" spans="1:58" s="173" customFormat="1" ht="22.5" customHeight="1">
      <c r="A229" s="151"/>
      <c r="B229" s="174"/>
      <c r="C229" s="175"/>
      <c r="D229" s="1525" t="s">
        <v>271</v>
      </c>
      <c r="E229" s="1525"/>
      <c r="F229" s="1525"/>
      <c r="G229" s="1525"/>
      <c r="H229" s="1525"/>
      <c r="I229" s="1525"/>
      <c r="J229" s="1525"/>
      <c r="K229" s="1525"/>
      <c r="L229" s="1525"/>
      <c r="M229" s="1525"/>
      <c r="N229" s="1525"/>
      <c r="O229" s="1525"/>
      <c r="P229" s="1525"/>
      <c r="Q229" s="1525"/>
      <c r="R229" s="1525"/>
      <c r="S229" s="1525"/>
      <c r="T229" s="1525"/>
      <c r="U229" s="1525"/>
      <c r="V229" s="1525"/>
      <c r="W229" s="1525"/>
      <c r="X229" s="257"/>
      <c r="Y229" s="803"/>
      <c r="Z229" s="803"/>
      <c r="AA229" s="803"/>
      <c r="AB229" s="789"/>
      <c r="AC229" s="789"/>
      <c r="AD229" s="789"/>
      <c r="AE229" s="789"/>
      <c r="AF229" s="789"/>
      <c r="AG229" s="789"/>
      <c r="AH229" s="789"/>
      <c r="AI229" s="804"/>
      <c r="AJ229" s="152" t="s">
        <v>143</v>
      </c>
      <c r="AK229" s="171"/>
      <c r="AL229" s="171"/>
      <c r="AM229" s="38"/>
      <c r="AN229" s="290"/>
      <c r="AO229" s="38"/>
      <c r="AP229" s="38"/>
      <c r="AQ229" s="38"/>
      <c r="AR229" s="38"/>
      <c r="AS229" s="38"/>
      <c r="AT229" s="38"/>
      <c r="AU229" s="38"/>
      <c r="AV229" s="38"/>
      <c r="AW229" s="38"/>
      <c r="AX229" s="38"/>
      <c r="AY229" s="38"/>
      <c r="AZ229" s="38"/>
      <c r="BA229" s="38"/>
      <c r="BB229" s="38"/>
      <c r="BC229" s="38"/>
      <c r="BD229" s="38"/>
      <c r="BE229" s="38"/>
      <c r="BF229" s="38"/>
    </row>
    <row r="230" spans="1:58" s="173" customFormat="1" ht="12.75" customHeight="1">
      <c r="A230" s="153"/>
      <c r="B230" s="802" t="s">
        <v>272</v>
      </c>
      <c r="C230" s="789"/>
      <c r="D230" s="803"/>
      <c r="E230" s="803"/>
      <c r="F230" s="803"/>
      <c r="G230" s="803"/>
      <c r="H230" s="803"/>
      <c r="I230" s="803"/>
      <c r="J230" s="803"/>
      <c r="K230" s="803"/>
      <c r="L230" s="803"/>
      <c r="M230" s="803"/>
      <c r="N230" s="803"/>
      <c r="O230" s="803"/>
      <c r="P230" s="803"/>
      <c r="Q230" s="803"/>
      <c r="R230" s="803"/>
      <c r="S230" s="803"/>
      <c r="T230" s="803"/>
      <c r="U230" s="803"/>
      <c r="V230" s="803"/>
      <c r="W230" s="803"/>
      <c r="X230" s="803"/>
      <c r="Y230" s="194"/>
      <c r="Z230" s="999">
        <v>13580</v>
      </c>
      <c r="AA230" s="999">
        <v>13580</v>
      </c>
      <c r="AB230" s="168"/>
      <c r="AC230" s="168"/>
      <c r="AD230" s="168"/>
      <c r="AE230" s="168">
        <v>4000</v>
      </c>
      <c r="AF230" s="168">
        <v>0</v>
      </c>
      <c r="AG230" s="168"/>
      <c r="AH230" s="169"/>
      <c r="AI230" s="170">
        <v>1</v>
      </c>
      <c r="AJ230" s="152" t="s">
        <v>143</v>
      </c>
      <c r="AK230" s="171"/>
      <c r="AL230" s="171"/>
      <c r="AM230" s="38"/>
      <c r="AN230" s="290"/>
      <c r="AO230" s="38"/>
      <c r="AP230" s="38"/>
      <c r="AQ230" s="38"/>
      <c r="AR230" s="38"/>
      <c r="AS230" s="38"/>
      <c r="AT230" s="38"/>
      <c r="AU230" s="38"/>
      <c r="AV230" s="38"/>
      <c r="AW230" s="38"/>
      <c r="AX230" s="38"/>
      <c r="AY230" s="38"/>
      <c r="AZ230" s="38"/>
      <c r="BA230" s="38"/>
      <c r="BB230" s="38"/>
      <c r="BC230" s="38"/>
      <c r="BD230" s="38"/>
      <c r="BE230" s="38"/>
      <c r="BF230" s="38"/>
    </row>
    <row r="231" spans="1:58" s="173" customFormat="1" ht="12.75" customHeight="1">
      <c r="A231" s="153"/>
      <c r="B231" s="154" t="s">
        <v>269</v>
      </c>
      <c r="C231" s="155" t="s">
        <v>269</v>
      </c>
      <c r="D231" s="511">
        <v>656440011</v>
      </c>
      <c r="E231" s="157">
        <v>314</v>
      </c>
      <c r="F231" s="158">
        <v>656</v>
      </c>
      <c r="G231" s="250" t="s">
        <v>560</v>
      </c>
      <c r="H231" s="160" t="s">
        <v>91</v>
      </c>
      <c r="I231" s="160">
        <v>340</v>
      </c>
      <c r="J231" s="161" t="s">
        <v>246</v>
      </c>
      <c r="K231" s="162"/>
      <c r="L231" s="163"/>
      <c r="M231" s="163"/>
      <c r="N231" s="163"/>
      <c r="O231" s="163"/>
      <c r="P231" s="163"/>
      <c r="Q231" s="167">
        <f>R231+S231+T231+U231</f>
        <v>3643</v>
      </c>
      <c r="R231" s="195"/>
      <c r="S231" s="162"/>
      <c r="T231" s="162">
        <v>3643</v>
      </c>
      <c r="U231" s="162"/>
      <c r="V231" s="999">
        <v>13560</v>
      </c>
      <c r="W231" s="162" t="s">
        <v>273</v>
      </c>
      <c r="X231" s="193"/>
      <c r="Y231" s="255"/>
      <c r="Z231" s="418">
        <f>Z230</f>
        <v>13580</v>
      </c>
      <c r="AA231" s="418">
        <f>AA230</f>
        <v>13580</v>
      </c>
      <c r="AB231" s="1410"/>
      <c r="AC231" s="1411"/>
      <c r="AD231" s="1412"/>
      <c r="AE231" s="184">
        <v>4000</v>
      </c>
      <c r="AF231" s="185">
        <v>0</v>
      </c>
      <c r="AG231" s="1410"/>
      <c r="AH231" s="1412"/>
      <c r="AI231" s="186">
        <v>1</v>
      </c>
      <c r="AJ231" s="152" t="s">
        <v>143</v>
      </c>
      <c r="AK231" s="171"/>
      <c r="AL231" s="171"/>
      <c r="AM231" s="38"/>
      <c r="AN231" s="290"/>
      <c r="AO231" s="38"/>
      <c r="AP231" s="38"/>
      <c r="AQ231" s="38"/>
      <c r="AR231" s="38"/>
      <c r="AS231" s="38"/>
      <c r="AT231" s="38"/>
      <c r="AU231" s="38"/>
      <c r="AV231" s="38"/>
      <c r="AW231" s="38"/>
      <c r="AX231" s="38"/>
      <c r="AY231" s="38"/>
      <c r="AZ231" s="38"/>
      <c r="BA231" s="38"/>
      <c r="BB231" s="38"/>
      <c r="BC231" s="38"/>
      <c r="BD231" s="38"/>
      <c r="BE231" s="38"/>
      <c r="BF231" s="38"/>
    </row>
    <row r="232" spans="1:58" s="173" customFormat="1" ht="22.5" customHeight="1">
      <c r="A232" s="153"/>
      <c r="B232" s="1413" t="s">
        <v>161</v>
      </c>
      <c r="C232" s="1414"/>
      <c r="D232" s="1414"/>
      <c r="E232" s="1414"/>
      <c r="F232" s="1414"/>
      <c r="G232" s="1414"/>
      <c r="H232" s="1414"/>
      <c r="I232" s="1414"/>
      <c r="J232" s="1414"/>
      <c r="K232" s="1415"/>
      <c r="L232" s="177"/>
      <c r="M232" s="178"/>
      <c r="N232" s="178"/>
      <c r="O232" s="177"/>
      <c r="P232" s="178"/>
      <c r="Q232" s="322">
        <f>R232+S232+T232+U232</f>
        <v>3643</v>
      </c>
      <c r="R232" s="252"/>
      <c r="S232" s="249"/>
      <c r="T232" s="252">
        <f>T231</f>
        <v>3643</v>
      </c>
      <c r="U232" s="249"/>
      <c r="V232" s="418">
        <f>V231</f>
        <v>13560</v>
      </c>
      <c r="W232" s="253"/>
      <c r="X232" s="254"/>
      <c r="Y232" s="789"/>
      <c r="Z232" s="789"/>
      <c r="AA232" s="789"/>
      <c r="AB232" s="789"/>
      <c r="AC232" s="789"/>
      <c r="AD232" s="789"/>
      <c r="AE232" s="789"/>
      <c r="AF232" s="789"/>
      <c r="AG232" s="789"/>
      <c r="AH232" s="789"/>
      <c r="AI232" s="804"/>
      <c r="AJ232" s="152" t="s">
        <v>143</v>
      </c>
      <c r="AK232" s="171"/>
      <c r="AL232" s="171"/>
      <c r="AM232" s="172">
        <f>AA231+AA234</f>
        <v>27160</v>
      </c>
      <c r="AN232" s="290"/>
      <c r="AO232" s="38"/>
      <c r="AP232" s="38"/>
      <c r="AQ232" s="38"/>
      <c r="AR232" s="38"/>
      <c r="AS232" s="38"/>
      <c r="AT232" s="38"/>
      <c r="AU232" s="38"/>
      <c r="AV232" s="38"/>
      <c r="AW232" s="38"/>
      <c r="AX232" s="38"/>
      <c r="AY232" s="38"/>
      <c r="AZ232" s="38"/>
      <c r="BA232" s="38"/>
      <c r="BB232" s="38"/>
      <c r="BC232" s="38"/>
      <c r="BD232" s="38"/>
      <c r="BE232" s="38"/>
      <c r="BF232" s="38"/>
    </row>
    <row r="233" spans="1:58" s="173" customFormat="1" ht="12.75" customHeight="1">
      <c r="A233" s="153"/>
      <c r="B233" s="802" t="s">
        <v>274</v>
      </c>
      <c r="C233" s="789"/>
      <c r="D233" s="789"/>
      <c r="E233" s="789"/>
      <c r="F233" s="789"/>
      <c r="G233" s="789"/>
      <c r="H233" s="789"/>
      <c r="I233" s="789"/>
      <c r="J233" s="789"/>
      <c r="K233" s="789"/>
      <c r="L233" s="789"/>
      <c r="M233" s="789"/>
      <c r="N233" s="789"/>
      <c r="O233" s="789"/>
      <c r="P233" s="789"/>
      <c r="Q233" s="789"/>
      <c r="R233" s="789"/>
      <c r="S233" s="789"/>
      <c r="T233" s="789"/>
      <c r="U233" s="789"/>
      <c r="V233" s="789"/>
      <c r="W233" s="789"/>
      <c r="X233" s="789"/>
      <c r="Y233" s="194"/>
      <c r="Z233" s="999">
        <v>13580</v>
      </c>
      <c r="AA233" s="1000">
        <v>13580</v>
      </c>
      <c r="AB233" s="168"/>
      <c r="AC233" s="168"/>
      <c r="AD233" s="168"/>
      <c r="AE233" s="168">
        <v>4000</v>
      </c>
      <c r="AF233" s="168">
        <v>0</v>
      </c>
      <c r="AG233" s="168"/>
      <c r="AH233" s="169"/>
      <c r="AI233" s="170">
        <v>1</v>
      </c>
      <c r="AJ233" s="152" t="s">
        <v>143</v>
      </c>
      <c r="AK233" s="171"/>
      <c r="AL233" s="171"/>
      <c r="AM233" s="38"/>
      <c r="AN233" s="290"/>
      <c r="AO233" s="38"/>
      <c r="AP233" s="38"/>
      <c r="AQ233" s="38"/>
      <c r="AR233" s="38"/>
      <c r="AS233" s="38"/>
      <c r="AT233" s="38"/>
      <c r="AU233" s="38"/>
      <c r="AV233" s="38"/>
      <c r="AW233" s="38"/>
      <c r="AX233" s="38"/>
      <c r="AY233" s="38"/>
      <c r="AZ233" s="38"/>
      <c r="BA233" s="38"/>
      <c r="BB233" s="38"/>
      <c r="BC233" s="38"/>
      <c r="BD233" s="38"/>
      <c r="BE233" s="38"/>
      <c r="BF233" s="38"/>
    </row>
    <row r="234" spans="1:58" s="173" customFormat="1" ht="12.75" customHeight="1">
      <c r="A234" s="153"/>
      <c r="B234" s="154" t="s">
        <v>269</v>
      </c>
      <c r="C234" s="155" t="s">
        <v>269</v>
      </c>
      <c r="D234" s="511">
        <v>656440011</v>
      </c>
      <c r="E234" s="157">
        <v>314</v>
      </c>
      <c r="F234" s="158">
        <v>656</v>
      </c>
      <c r="G234" s="512" t="s">
        <v>561</v>
      </c>
      <c r="H234" s="160" t="s">
        <v>91</v>
      </c>
      <c r="I234" s="160">
        <v>340</v>
      </c>
      <c r="J234" s="161" t="s">
        <v>246</v>
      </c>
      <c r="K234" s="162"/>
      <c r="L234" s="163"/>
      <c r="M234" s="163"/>
      <c r="N234" s="163"/>
      <c r="O234" s="163"/>
      <c r="P234" s="163"/>
      <c r="Q234" s="167">
        <f>R234+S234+T234+U234</f>
        <v>8500</v>
      </c>
      <c r="R234" s="195"/>
      <c r="S234" s="162"/>
      <c r="T234" s="195">
        <v>8500</v>
      </c>
      <c r="U234" s="162"/>
      <c r="V234" s="999">
        <f>13560-V235</f>
        <v>7560</v>
      </c>
      <c r="W234" s="162" t="s">
        <v>273</v>
      </c>
      <c r="X234" s="193"/>
      <c r="Y234" s="255"/>
      <c r="Z234" s="418">
        <f>Z233</f>
        <v>13580</v>
      </c>
      <c r="AA234" s="418">
        <f>AA233</f>
        <v>13580</v>
      </c>
      <c r="AB234" s="1410"/>
      <c r="AC234" s="1411"/>
      <c r="AD234" s="1412"/>
      <c r="AE234" s="184">
        <v>4000</v>
      </c>
      <c r="AF234" s="185">
        <v>0</v>
      </c>
      <c r="AG234" s="1410"/>
      <c r="AH234" s="1412"/>
      <c r="AI234" s="186">
        <v>1</v>
      </c>
      <c r="AJ234" s="152" t="s">
        <v>143</v>
      </c>
      <c r="AK234" s="171"/>
      <c r="AL234" s="171"/>
      <c r="AM234" s="38"/>
      <c r="AN234" s="290"/>
      <c r="AO234" s="38"/>
      <c r="AP234" s="38"/>
      <c r="AQ234" s="38"/>
      <c r="AR234" s="38"/>
      <c r="AS234" s="38"/>
      <c r="AT234" s="38"/>
      <c r="AU234" s="38"/>
      <c r="AV234" s="38"/>
      <c r="AW234" s="38"/>
      <c r="AX234" s="38"/>
      <c r="AY234" s="38"/>
      <c r="AZ234" s="38"/>
      <c r="BA234" s="38"/>
      <c r="BB234" s="38"/>
      <c r="BC234" s="38"/>
      <c r="BD234" s="38"/>
      <c r="BE234" s="38"/>
      <c r="BF234" s="38"/>
    </row>
    <row r="235" spans="1:58" s="173" customFormat="1" ht="12.75" customHeight="1">
      <c r="A235" s="153"/>
      <c r="B235" s="329"/>
      <c r="C235" s="175"/>
      <c r="D235" s="988"/>
      <c r="E235" s="465"/>
      <c r="F235" s="466"/>
      <c r="G235" s="989"/>
      <c r="H235" s="468">
        <v>244</v>
      </c>
      <c r="I235" s="468">
        <v>227</v>
      </c>
      <c r="J235" s="469"/>
      <c r="K235" s="470"/>
      <c r="L235" s="334"/>
      <c r="M235" s="163"/>
      <c r="N235" s="163"/>
      <c r="O235" s="334"/>
      <c r="P235" s="163"/>
      <c r="Q235" s="164"/>
      <c r="R235" s="335"/>
      <c r="S235" s="249"/>
      <c r="T235" s="335"/>
      <c r="U235" s="249"/>
      <c r="V235" s="1068">
        <v>6000</v>
      </c>
      <c r="W235" s="340"/>
      <c r="X235" s="337"/>
      <c r="Y235" s="501"/>
      <c r="Z235" s="1069"/>
      <c r="AA235" s="1069"/>
      <c r="AB235" s="183"/>
      <c r="AC235" s="183"/>
      <c r="AD235" s="183"/>
      <c r="AE235" s="249"/>
      <c r="AF235" s="249"/>
      <c r="AG235" s="183"/>
      <c r="AH235" s="183"/>
      <c r="AI235" s="186"/>
      <c r="AJ235" s="152"/>
      <c r="AK235" s="171"/>
      <c r="AL235" s="171"/>
      <c r="AM235" s="38"/>
      <c r="AN235" s="290"/>
      <c r="AO235" s="38"/>
      <c r="AP235" s="38"/>
      <c r="AQ235" s="38"/>
      <c r="AR235" s="38"/>
      <c r="AS235" s="38"/>
      <c r="AT235" s="38"/>
      <c r="AU235" s="38"/>
      <c r="AV235" s="38"/>
      <c r="AW235" s="38"/>
      <c r="AX235" s="38"/>
      <c r="AY235" s="38"/>
      <c r="AZ235" s="38"/>
      <c r="BA235" s="38"/>
      <c r="BB235" s="38"/>
      <c r="BC235" s="38"/>
      <c r="BD235" s="38"/>
      <c r="BE235" s="38"/>
      <c r="BF235" s="38"/>
    </row>
    <row r="236" spans="1:40" ht="24.75" customHeight="1" thickBot="1">
      <c r="A236" s="153"/>
      <c r="B236" s="1413" t="s">
        <v>161</v>
      </c>
      <c r="C236" s="1414"/>
      <c r="D236" s="1414"/>
      <c r="E236" s="1414"/>
      <c r="F236" s="1414"/>
      <c r="G236" s="1414"/>
      <c r="H236" s="1414"/>
      <c r="I236" s="1414"/>
      <c r="J236" s="1414"/>
      <c r="K236" s="1415"/>
      <c r="L236" s="177"/>
      <c r="M236" s="178"/>
      <c r="N236" s="178"/>
      <c r="O236" s="177"/>
      <c r="P236" s="178"/>
      <c r="Q236" s="322">
        <f>R236+S236+T236+U236</f>
        <v>8500</v>
      </c>
      <c r="R236" s="252"/>
      <c r="S236" s="249"/>
      <c r="T236" s="252">
        <f>T234</f>
        <v>8500</v>
      </c>
      <c r="U236" s="249"/>
      <c r="V236" s="418">
        <f>V234+V235</f>
        <v>13560</v>
      </c>
      <c r="W236" s="253">
        <f>V232+V236</f>
        <v>27120</v>
      </c>
      <c r="X236" s="254"/>
      <c r="Y236" s="789"/>
      <c r="Z236" s="789"/>
      <c r="AA236" s="789"/>
      <c r="AB236" s="183"/>
      <c r="AC236" s="183"/>
      <c r="AD236" s="183"/>
      <c r="AE236" s="249"/>
      <c r="AF236" s="249"/>
      <c r="AG236" s="183"/>
      <c r="AH236" s="183"/>
      <c r="AI236" s="186"/>
      <c r="AJ236" s="152"/>
      <c r="AK236" s="30"/>
      <c r="AL236" s="30"/>
      <c r="AN236" s="290"/>
    </row>
    <row r="237" spans="1:58" s="493" customFormat="1" ht="37.5" customHeight="1" hidden="1">
      <c r="A237" s="151"/>
      <c r="B237" s="174"/>
      <c r="C237" s="175"/>
      <c r="D237" s="789" t="s">
        <v>275</v>
      </c>
      <c r="E237" s="789"/>
      <c r="F237" s="789"/>
      <c r="G237" s="789"/>
      <c r="H237" s="789"/>
      <c r="I237" s="789"/>
      <c r="J237" s="789"/>
      <c r="K237" s="789"/>
      <c r="L237" s="789"/>
      <c r="M237" s="789"/>
      <c r="N237" s="789"/>
      <c r="O237" s="789"/>
      <c r="P237" s="789"/>
      <c r="Q237" s="789"/>
      <c r="R237" s="789"/>
      <c r="S237" s="789"/>
      <c r="T237" s="789"/>
      <c r="U237" s="789"/>
      <c r="V237" s="789"/>
      <c r="W237" s="789"/>
      <c r="X237" s="789"/>
      <c r="Y237" s="797"/>
      <c r="Z237" s="797"/>
      <c r="AA237" s="797"/>
      <c r="AB237" s="797"/>
      <c r="AC237" s="797"/>
      <c r="AD237" s="797"/>
      <c r="AE237" s="797"/>
      <c r="AF237" s="797"/>
      <c r="AG237" s="797"/>
      <c r="AH237" s="797"/>
      <c r="AI237" s="798"/>
      <c r="AJ237" s="152" t="s">
        <v>143</v>
      </c>
      <c r="AK237" s="171"/>
      <c r="AL237" s="171"/>
      <c r="AM237" s="38"/>
      <c r="AN237" s="38"/>
      <c r="AO237" s="38"/>
      <c r="AP237" s="38"/>
      <c r="AQ237" s="38"/>
      <c r="AR237" s="38"/>
      <c r="AS237" s="38"/>
      <c r="AT237" s="38"/>
      <c r="AU237" s="38"/>
      <c r="AV237" s="38"/>
      <c r="AW237" s="38"/>
      <c r="AX237" s="38"/>
      <c r="AY237" s="38"/>
      <c r="AZ237" s="38"/>
      <c r="BA237" s="38"/>
      <c r="BB237" s="38"/>
      <c r="BC237" s="38"/>
      <c r="BD237" s="38"/>
      <c r="BE237" s="38"/>
      <c r="BF237" s="38"/>
    </row>
    <row r="238" spans="1:38" ht="12.75" customHeight="1" hidden="1">
      <c r="A238" s="490"/>
      <c r="B238" s="796" t="s">
        <v>276</v>
      </c>
      <c r="C238" s="797"/>
      <c r="D238" s="797"/>
      <c r="E238" s="797"/>
      <c r="F238" s="797"/>
      <c r="G238" s="797"/>
      <c r="H238" s="797"/>
      <c r="I238" s="797"/>
      <c r="J238" s="797"/>
      <c r="K238" s="797"/>
      <c r="L238" s="797"/>
      <c r="M238" s="797"/>
      <c r="N238" s="797"/>
      <c r="O238" s="797"/>
      <c r="P238" s="797"/>
      <c r="Q238" s="797"/>
      <c r="R238" s="797"/>
      <c r="S238" s="797"/>
      <c r="T238" s="797"/>
      <c r="U238" s="797"/>
      <c r="V238" s="797"/>
      <c r="W238" s="797"/>
      <c r="X238" s="797"/>
      <c r="Y238" s="369"/>
      <c r="Z238" s="192"/>
      <c r="AA238" s="514"/>
      <c r="AB238" s="370"/>
      <c r="AC238" s="370"/>
      <c r="AD238" s="370"/>
      <c r="AE238" s="370">
        <v>4000</v>
      </c>
      <c r="AF238" s="370">
        <v>0</v>
      </c>
      <c r="AG238" s="370"/>
      <c r="AH238" s="371"/>
      <c r="AI238" s="372">
        <v>1</v>
      </c>
      <c r="AJ238" s="515" t="s">
        <v>143</v>
      </c>
      <c r="AK238" s="30"/>
      <c r="AL238" s="30"/>
    </row>
    <row r="239" spans="1:38" ht="12.75" customHeight="1" hidden="1">
      <c r="A239" s="151"/>
      <c r="B239" s="359" t="s">
        <v>269</v>
      </c>
      <c r="C239" s="360" t="s">
        <v>269</v>
      </c>
      <c r="D239" s="361">
        <v>656570021</v>
      </c>
      <c r="E239" s="362">
        <v>314</v>
      </c>
      <c r="F239" s="363">
        <v>656</v>
      </c>
      <c r="G239" s="513" t="s">
        <v>277</v>
      </c>
      <c r="H239" s="364" t="s">
        <v>44</v>
      </c>
      <c r="I239" s="364">
        <v>251</v>
      </c>
      <c r="J239" s="365">
        <v>0</v>
      </c>
      <c r="K239" s="192"/>
      <c r="L239" s="366"/>
      <c r="M239" s="366"/>
      <c r="N239" s="366"/>
      <c r="O239" s="366"/>
      <c r="P239" s="366"/>
      <c r="Q239" s="368">
        <v>597000</v>
      </c>
      <c r="R239" s="368">
        <v>597000</v>
      </c>
      <c r="S239" s="192"/>
      <c r="T239" s="192"/>
      <c r="U239" s="192"/>
      <c r="V239" s="368"/>
      <c r="W239" s="192"/>
      <c r="X239" s="193"/>
      <c r="Y239" s="369"/>
      <c r="Z239" s="192"/>
      <c r="AA239" s="514"/>
      <c r="AB239" s="370"/>
      <c r="AC239" s="370"/>
      <c r="AD239" s="370"/>
      <c r="AE239" s="370">
        <v>4000</v>
      </c>
      <c r="AF239" s="370">
        <v>0</v>
      </c>
      <c r="AG239" s="370"/>
      <c r="AH239" s="371"/>
      <c r="AI239" s="372">
        <v>1</v>
      </c>
      <c r="AJ239" s="515" t="s">
        <v>143</v>
      </c>
      <c r="AK239" s="30"/>
      <c r="AL239" s="30"/>
    </row>
    <row r="240" spans="1:38" ht="12.75" customHeight="1" hidden="1">
      <c r="A240" s="151"/>
      <c r="B240" s="359" t="s">
        <v>269</v>
      </c>
      <c r="C240" s="360" t="s">
        <v>269</v>
      </c>
      <c r="D240" s="361">
        <v>656570022</v>
      </c>
      <c r="E240" s="362">
        <v>314</v>
      </c>
      <c r="F240" s="363">
        <v>656</v>
      </c>
      <c r="G240" s="513" t="s">
        <v>278</v>
      </c>
      <c r="H240" s="364" t="s">
        <v>44</v>
      </c>
      <c r="I240" s="364">
        <v>251</v>
      </c>
      <c r="J240" s="365">
        <v>0</v>
      </c>
      <c r="K240" s="192"/>
      <c r="L240" s="366"/>
      <c r="M240" s="366"/>
      <c r="N240" s="366"/>
      <c r="O240" s="366"/>
      <c r="P240" s="366"/>
      <c r="Q240" s="368">
        <v>10965003</v>
      </c>
      <c r="R240" s="368">
        <v>10965003</v>
      </c>
      <c r="S240" s="192"/>
      <c r="T240" s="192"/>
      <c r="U240" s="192"/>
      <c r="V240" s="368"/>
      <c r="W240" s="192"/>
      <c r="X240" s="193"/>
      <c r="Y240" s="474"/>
      <c r="Z240" s="473"/>
      <c r="AA240" s="520"/>
      <c r="AB240" s="1518"/>
      <c r="AC240" s="1524"/>
      <c r="AD240" s="1519"/>
      <c r="AE240" s="521">
        <v>4000</v>
      </c>
      <c r="AF240" s="522">
        <v>0</v>
      </c>
      <c r="AG240" s="1518"/>
      <c r="AH240" s="1519"/>
      <c r="AI240" s="523">
        <v>1</v>
      </c>
      <c r="AJ240" s="515" t="s">
        <v>143</v>
      </c>
      <c r="AK240" s="30"/>
      <c r="AL240" s="30"/>
    </row>
    <row r="241" spans="1:38" ht="17.25" customHeight="1" hidden="1">
      <c r="A241" s="151"/>
      <c r="B241" s="1420" t="s">
        <v>161</v>
      </c>
      <c r="C241" s="1421"/>
      <c r="D241" s="1421"/>
      <c r="E241" s="1421"/>
      <c r="F241" s="1421"/>
      <c r="G241" s="1421"/>
      <c r="H241" s="1421"/>
      <c r="I241" s="1421"/>
      <c r="J241" s="1421"/>
      <c r="K241" s="1422"/>
      <c r="L241" s="516"/>
      <c r="M241" s="517"/>
      <c r="N241" s="517"/>
      <c r="O241" s="516"/>
      <c r="P241" s="517"/>
      <c r="Q241" s="518">
        <f>R241+S241+T241+U241</f>
        <v>11562003</v>
      </c>
      <c r="R241" s="472">
        <f>R239+R240</f>
        <v>11562003</v>
      </c>
      <c r="S241" s="519"/>
      <c r="T241" s="373"/>
      <c r="U241" s="519"/>
      <c r="V241" s="472">
        <f>V239+V240</f>
        <v>0</v>
      </c>
      <c r="W241" s="473"/>
      <c r="X241" s="254"/>
      <c r="Y241" s="800"/>
      <c r="Z241" s="800"/>
      <c r="AA241" s="800"/>
      <c r="AB241" s="800"/>
      <c r="AC241" s="800"/>
      <c r="AD241" s="800"/>
      <c r="AE241" s="800"/>
      <c r="AF241" s="800"/>
      <c r="AG241" s="800"/>
      <c r="AH241" s="800"/>
      <c r="AI241" s="801"/>
      <c r="AJ241" s="515" t="s">
        <v>143</v>
      </c>
      <c r="AK241" s="30"/>
      <c r="AL241" s="30"/>
    </row>
    <row r="242" spans="1:38" ht="12.75" customHeight="1" hidden="1">
      <c r="A242" s="151"/>
      <c r="B242" s="799" t="s">
        <v>279</v>
      </c>
      <c r="C242" s="800"/>
      <c r="D242" s="800"/>
      <c r="E242" s="800"/>
      <c r="F242" s="800"/>
      <c r="G242" s="800"/>
      <c r="H242" s="800"/>
      <c r="I242" s="800"/>
      <c r="J242" s="800"/>
      <c r="K242" s="800"/>
      <c r="L242" s="800"/>
      <c r="M242" s="800"/>
      <c r="N242" s="800"/>
      <c r="O242" s="800"/>
      <c r="P242" s="800"/>
      <c r="Q242" s="800"/>
      <c r="R242" s="800"/>
      <c r="S242" s="800"/>
      <c r="T242" s="800"/>
      <c r="U242" s="800"/>
      <c r="V242" s="800"/>
      <c r="W242" s="800"/>
      <c r="X242" s="800"/>
      <c r="Y242" s="369"/>
      <c r="Z242" s="192"/>
      <c r="AA242" s="514"/>
      <c r="AB242" s="370"/>
      <c r="AC242" s="370"/>
      <c r="AD242" s="370"/>
      <c r="AE242" s="370">
        <v>4000</v>
      </c>
      <c r="AF242" s="370">
        <v>0</v>
      </c>
      <c r="AG242" s="370"/>
      <c r="AH242" s="371"/>
      <c r="AI242" s="372">
        <v>1</v>
      </c>
      <c r="AJ242" s="515" t="s">
        <v>143</v>
      </c>
      <c r="AK242" s="30"/>
      <c r="AL242" s="30"/>
    </row>
    <row r="243" spans="1:38" ht="12.75" customHeight="1" hidden="1">
      <c r="A243" s="151"/>
      <c r="B243" s="359" t="s">
        <v>269</v>
      </c>
      <c r="C243" s="360" t="s">
        <v>269</v>
      </c>
      <c r="D243" s="361">
        <v>656030061</v>
      </c>
      <c r="E243" s="362">
        <v>314</v>
      </c>
      <c r="F243" s="363">
        <v>656</v>
      </c>
      <c r="G243" s="513">
        <v>5222501</v>
      </c>
      <c r="H243" s="364" t="s">
        <v>91</v>
      </c>
      <c r="I243" s="364">
        <v>340</v>
      </c>
      <c r="J243" s="365" t="s">
        <v>246</v>
      </c>
      <c r="K243" s="192"/>
      <c r="L243" s="366"/>
      <c r="M243" s="366"/>
      <c r="N243" s="366"/>
      <c r="O243" s="366"/>
      <c r="P243" s="366"/>
      <c r="Q243" s="367"/>
      <c r="R243" s="368"/>
      <c r="S243" s="192"/>
      <c r="T243" s="192"/>
      <c r="U243" s="192"/>
      <c r="V243" s="368">
        <v>0</v>
      </c>
      <c r="W243" s="192"/>
      <c r="X243" s="193"/>
      <c r="Y243" s="474"/>
      <c r="Z243" s="473"/>
      <c r="AA243" s="520"/>
      <c r="AB243" s="1518"/>
      <c r="AC243" s="1524"/>
      <c r="AD243" s="1519"/>
      <c r="AE243" s="521">
        <v>4000</v>
      </c>
      <c r="AF243" s="522">
        <v>0</v>
      </c>
      <c r="AG243" s="1518"/>
      <c r="AH243" s="1519"/>
      <c r="AI243" s="523">
        <v>1</v>
      </c>
      <c r="AJ243" s="515" t="s">
        <v>143</v>
      </c>
      <c r="AK243" s="30"/>
      <c r="AL243" s="30"/>
    </row>
    <row r="244" spans="1:38" ht="12.75" customHeight="1" hidden="1">
      <c r="A244" s="151"/>
      <c r="B244" s="1420" t="s">
        <v>161</v>
      </c>
      <c r="C244" s="1421"/>
      <c r="D244" s="1421"/>
      <c r="E244" s="1421"/>
      <c r="F244" s="1421"/>
      <c r="G244" s="1421"/>
      <c r="H244" s="1421"/>
      <c r="I244" s="1421"/>
      <c r="J244" s="1421"/>
      <c r="K244" s="1422"/>
      <c r="L244" s="516"/>
      <c r="M244" s="517"/>
      <c r="N244" s="517"/>
      <c r="O244" s="516"/>
      <c r="P244" s="517"/>
      <c r="Q244" s="524"/>
      <c r="R244" s="472">
        <v>3030.3</v>
      </c>
      <c r="S244" s="519"/>
      <c r="T244" s="373"/>
      <c r="U244" s="519"/>
      <c r="V244" s="472">
        <f>V243</f>
        <v>0</v>
      </c>
      <c r="W244" s="473"/>
      <c r="X244" s="254"/>
      <c r="Y244" s="175"/>
      <c r="Z244" s="175"/>
      <c r="AA244" s="175"/>
      <c r="AB244" s="175"/>
      <c r="AC244" s="175"/>
      <c r="AD244" s="175"/>
      <c r="AE244" s="175"/>
      <c r="AF244" s="175"/>
      <c r="AG244" s="175"/>
      <c r="AH244" s="175"/>
      <c r="AI244" s="190"/>
      <c r="AJ244" s="152" t="s">
        <v>143</v>
      </c>
      <c r="AK244" s="30"/>
      <c r="AL244" s="30"/>
    </row>
    <row r="245" spans="1:38" ht="12.75" customHeight="1" hidden="1">
      <c r="A245" s="151"/>
      <c r="B245" s="174" t="s">
        <v>280</v>
      </c>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94"/>
      <c r="Z245" s="162"/>
      <c r="AA245" s="464"/>
      <c r="AB245" s="168"/>
      <c r="AC245" s="168"/>
      <c r="AD245" s="168"/>
      <c r="AE245" s="168">
        <v>0</v>
      </c>
      <c r="AF245" s="168">
        <v>0</v>
      </c>
      <c r="AG245" s="168"/>
      <c r="AH245" s="169"/>
      <c r="AI245" s="170"/>
      <c r="AJ245" s="152" t="s">
        <v>143</v>
      </c>
      <c r="AK245" s="30"/>
      <c r="AL245" s="30"/>
    </row>
    <row r="246" spans="1:38" ht="12.75" customHeight="1" hidden="1" thickBot="1">
      <c r="A246" s="151"/>
      <c r="B246" s="154" t="s">
        <v>280</v>
      </c>
      <c r="C246" s="155" t="s">
        <v>280</v>
      </c>
      <c r="D246" s="156">
        <v>656040011</v>
      </c>
      <c r="E246" s="157">
        <v>409</v>
      </c>
      <c r="F246" s="158">
        <v>656</v>
      </c>
      <c r="G246" s="250">
        <v>3150100</v>
      </c>
      <c r="H246" s="160" t="s">
        <v>44</v>
      </c>
      <c r="I246" s="160">
        <v>251</v>
      </c>
      <c r="J246" s="161">
        <v>0</v>
      </c>
      <c r="K246" s="162"/>
      <c r="L246" s="165">
        <v>0</v>
      </c>
      <c r="M246" s="165">
        <v>0</v>
      </c>
      <c r="N246" s="165">
        <v>0</v>
      </c>
      <c r="O246" s="165">
        <v>0</v>
      </c>
      <c r="P246" s="165">
        <v>0</v>
      </c>
      <c r="Q246" s="167"/>
      <c r="R246" s="481"/>
      <c r="S246" s="481"/>
      <c r="T246" s="481"/>
      <c r="U246" s="481"/>
      <c r="V246" s="195"/>
      <c r="W246" s="162"/>
      <c r="X246" s="193"/>
      <c r="Y246" s="398"/>
      <c r="Z246" s="397"/>
      <c r="AA246" s="508"/>
      <c r="AB246" s="1410"/>
      <c r="AC246" s="1411"/>
      <c r="AD246" s="1412"/>
      <c r="AE246" s="184">
        <v>0</v>
      </c>
      <c r="AF246" s="185">
        <v>0</v>
      </c>
      <c r="AG246" s="1410"/>
      <c r="AH246" s="1412"/>
      <c r="AI246" s="186"/>
      <c r="AJ246" s="152" t="s">
        <v>143</v>
      </c>
      <c r="AK246" s="30"/>
      <c r="AL246" s="30"/>
    </row>
    <row r="247" spans="1:38" ht="12.75" customHeight="1" hidden="1" thickBot="1">
      <c r="A247" s="151"/>
      <c r="B247" s="1413" t="s">
        <v>161</v>
      </c>
      <c r="C247" s="1414"/>
      <c r="D247" s="1423"/>
      <c r="E247" s="1423"/>
      <c r="F247" s="1423"/>
      <c r="G247" s="1423"/>
      <c r="H247" s="1423"/>
      <c r="I247" s="1423"/>
      <c r="J247" s="1423"/>
      <c r="K247" s="1424"/>
      <c r="L247" s="503">
        <v>0</v>
      </c>
      <c r="M247" s="504">
        <v>0</v>
      </c>
      <c r="N247" s="504">
        <v>0</v>
      </c>
      <c r="O247" s="503">
        <v>0</v>
      </c>
      <c r="P247" s="504">
        <v>0</v>
      </c>
      <c r="Q247" s="392"/>
      <c r="R247" s="505"/>
      <c r="S247" s="506"/>
      <c r="T247" s="505"/>
      <c r="U247" s="506"/>
      <c r="V247" s="383"/>
      <c r="W247" s="397"/>
      <c r="X247" s="507"/>
      <c r="Y247" s="787"/>
      <c r="Z247" s="787"/>
      <c r="AA247" s="788"/>
      <c r="AB247" s="183"/>
      <c r="AC247" s="183"/>
      <c r="AD247" s="183"/>
      <c r="AE247" s="249"/>
      <c r="AF247" s="249"/>
      <c r="AG247" s="183"/>
      <c r="AH247" s="183"/>
      <c r="AI247" s="186"/>
      <c r="AJ247" s="152"/>
      <c r="AK247" s="30"/>
      <c r="AL247" s="30"/>
    </row>
    <row r="248" spans="1:39" ht="30" customHeight="1" thickBot="1">
      <c r="A248" s="151"/>
      <c r="B248" s="174"/>
      <c r="C248" s="175"/>
      <c r="D248" s="1522" t="s">
        <v>454</v>
      </c>
      <c r="E248" s="1523"/>
      <c r="F248" s="1523"/>
      <c r="G248" s="1523"/>
      <c r="H248" s="1523"/>
      <c r="I248" s="1523"/>
      <c r="J248" s="1523"/>
      <c r="K248" s="1523"/>
      <c r="L248" s="1523"/>
      <c r="M248" s="1523"/>
      <c r="N248" s="1523"/>
      <c r="O248" s="1523"/>
      <c r="P248" s="1523"/>
      <c r="Q248" s="1523"/>
      <c r="R248" s="1523"/>
      <c r="S248" s="1523"/>
      <c r="T248" s="1523"/>
      <c r="U248" s="1523"/>
      <c r="V248" s="1523"/>
      <c r="W248" s="1523"/>
      <c r="X248" s="787"/>
      <c r="Y248" s="258"/>
      <c r="Z248" s="256"/>
      <c r="AA248" s="256"/>
      <c r="AB248" s="183"/>
      <c r="AC248" s="183"/>
      <c r="AD248" s="183"/>
      <c r="AE248" s="249"/>
      <c r="AF248" s="249"/>
      <c r="AG248" s="183"/>
      <c r="AH248" s="183"/>
      <c r="AI248" s="186"/>
      <c r="AJ248" s="152"/>
      <c r="AK248" s="30"/>
      <c r="AL248" s="30"/>
      <c r="AM248" s="818"/>
    </row>
    <row r="249" spans="1:58" s="173" customFormat="1" ht="12.75" customHeight="1">
      <c r="A249" s="151"/>
      <c r="B249" s="174"/>
      <c r="C249" s="175"/>
      <c r="D249" s="1525" t="s">
        <v>282</v>
      </c>
      <c r="E249" s="1525"/>
      <c r="F249" s="1525"/>
      <c r="G249" s="1525"/>
      <c r="H249" s="1525"/>
      <c r="I249" s="1525"/>
      <c r="J249" s="1525"/>
      <c r="K249" s="1525"/>
      <c r="L249" s="1525"/>
      <c r="M249" s="1525"/>
      <c r="N249" s="1525"/>
      <c r="O249" s="1525"/>
      <c r="P249" s="1525"/>
      <c r="Q249" s="1525"/>
      <c r="R249" s="1525"/>
      <c r="S249" s="1525"/>
      <c r="T249" s="1525"/>
      <c r="U249" s="1525"/>
      <c r="V249" s="1525"/>
      <c r="W249" s="1525"/>
      <c r="X249" s="257"/>
      <c r="Y249" s="188"/>
      <c r="Z249" s="188"/>
      <c r="AA249" s="188"/>
      <c r="AB249" s="175"/>
      <c r="AC249" s="175"/>
      <c r="AD249" s="175"/>
      <c r="AE249" s="175"/>
      <c r="AF249" s="175"/>
      <c r="AG249" s="175"/>
      <c r="AH249" s="175"/>
      <c r="AI249" s="190"/>
      <c r="AJ249" s="152" t="s">
        <v>143</v>
      </c>
      <c r="AK249" s="171"/>
      <c r="AL249" s="171"/>
      <c r="AM249" s="818"/>
      <c r="AN249" s="38"/>
      <c r="AO249" s="38"/>
      <c r="AP249" s="38"/>
      <c r="AQ249" s="38"/>
      <c r="AR249" s="38"/>
      <c r="AS249" s="38"/>
      <c r="AT249" s="38"/>
      <c r="AU249" s="38"/>
      <c r="AV249" s="38"/>
      <c r="AW249" s="38"/>
      <c r="AX249" s="38"/>
      <c r="AY249" s="38"/>
      <c r="AZ249" s="38"/>
      <c r="BA249" s="38"/>
      <c r="BB249" s="38"/>
      <c r="BC249" s="38"/>
      <c r="BD249" s="38"/>
      <c r="BE249" s="38"/>
      <c r="BF249" s="38"/>
    </row>
    <row r="250" spans="1:58" s="173" customFormat="1" ht="12.75" customHeight="1">
      <c r="A250" s="153"/>
      <c r="B250" s="174" t="s">
        <v>283</v>
      </c>
      <c r="C250" s="175"/>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94" t="s">
        <v>585</v>
      </c>
      <c r="Z250" s="314">
        <v>5000000</v>
      </c>
      <c r="AA250" s="195"/>
      <c r="AB250" s="168"/>
      <c r="AC250" s="168"/>
      <c r="AD250" s="168"/>
      <c r="AE250" s="168">
        <v>1073842.07</v>
      </c>
      <c r="AF250" s="168">
        <v>0</v>
      </c>
      <c r="AG250" s="168"/>
      <c r="AH250" s="169"/>
      <c r="AI250" s="170">
        <v>0.4349299594977724</v>
      </c>
      <c r="AJ250" s="152" t="s">
        <v>143</v>
      </c>
      <c r="AK250" s="171"/>
      <c r="AL250" s="171"/>
      <c r="AM250" s="818"/>
      <c r="AN250" s="38"/>
      <c r="AO250" s="38"/>
      <c r="AP250" s="38"/>
      <c r="AQ250" s="38"/>
      <c r="AR250" s="38"/>
      <c r="AS250" s="38"/>
      <c r="AT250" s="38"/>
      <c r="AU250" s="38"/>
      <c r="AV250" s="38"/>
      <c r="AW250" s="38"/>
      <c r="AX250" s="38"/>
      <c r="AY250" s="38"/>
      <c r="AZ250" s="38"/>
      <c r="BA250" s="38"/>
      <c r="BB250" s="38"/>
      <c r="BC250" s="38"/>
      <c r="BD250" s="38"/>
      <c r="BE250" s="38"/>
      <c r="BF250" s="38"/>
    </row>
    <row r="251" spans="1:58" s="173" customFormat="1" ht="33" customHeight="1">
      <c r="A251" s="153"/>
      <c r="B251" s="154" t="s">
        <v>284</v>
      </c>
      <c r="C251" s="155" t="s">
        <v>284</v>
      </c>
      <c r="D251" s="511">
        <v>656450011</v>
      </c>
      <c r="E251" s="157">
        <v>409</v>
      </c>
      <c r="F251" s="158">
        <v>656</v>
      </c>
      <c r="G251" s="250" t="s">
        <v>74</v>
      </c>
      <c r="H251" s="160" t="s">
        <v>91</v>
      </c>
      <c r="I251" s="160">
        <v>225</v>
      </c>
      <c r="J251" s="161" t="s">
        <v>287</v>
      </c>
      <c r="K251" s="162"/>
      <c r="L251" s="163">
        <v>484000</v>
      </c>
      <c r="M251" s="163">
        <v>663000</v>
      </c>
      <c r="N251" s="163">
        <v>800000</v>
      </c>
      <c r="O251" s="163">
        <v>522000</v>
      </c>
      <c r="P251" s="163">
        <v>2469000</v>
      </c>
      <c r="Q251" s="167">
        <f>R251+S251+T251+U251</f>
        <v>993100</v>
      </c>
      <c r="R251" s="162">
        <v>248275</v>
      </c>
      <c r="S251" s="162">
        <v>248275</v>
      </c>
      <c r="T251" s="162">
        <v>248275</v>
      </c>
      <c r="U251" s="162">
        <v>248275</v>
      </c>
      <c r="V251" s="195"/>
      <c r="W251" s="163"/>
      <c r="X251" s="193"/>
      <c r="Y251" s="167" t="s">
        <v>588</v>
      </c>
      <c r="Z251" s="314">
        <v>1806634</v>
      </c>
      <c r="AA251" s="314">
        <v>1896965</v>
      </c>
      <c r="AB251" s="168"/>
      <c r="AC251" s="168"/>
      <c r="AD251" s="168"/>
      <c r="AE251" s="168">
        <v>1073842.07</v>
      </c>
      <c r="AF251" s="168">
        <v>0</v>
      </c>
      <c r="AG251" s="168"/>
      <c r="AH251" s="169"/>
      <c r="AI251" s="170">
        <v>0.4349299594977724</v>
      </c>
      <c r="AJ251" s="152" t="s">
        <v>143</v>
      </c>
      <c r="AK251" s="171"/>
      <c r="AL251" s="171"/>
      <c r="AM251" s="818"/>
      <c r="AN251" s="38"/>
      <c r="AO251" s="38"/>
      <c r="AP251" s="38"/>
      <c r="AQ251" s="38"/>
      <c r="AR251" s="38"/>
      <c r="AS251" s="38"/>
      <c r="AT251" s="38"/>
      <c r="AU251" s="38"/>
      <c r="AV251" s="38"/>
      <c r="AW251" s="38"/>
      <c r="AX251" s="38"/>
      <c r="AY251" s="38"/>
      <c r="AZ251" s="38"/>
      <c r="BA251" s="38"/>
      <c r="BB251" s="38"/>
      <c r="BC251" s="38"/>
      <c r="BD251" s="38"/>
      <c r="BE251" s="38"/>
      <c r="BF251" s="38"/>
    </row>
    <row r="252" spans="1:58" s="173" customFormat="1" ht="25.5" customHeight="1">
      <c r="A252" s="153"/>
      <c r="B252" s="154" t="s">
        <v>284</v>
      </c>
      <c r="C252" s="155" t="s">
        <v>284</v>
      </c>
      <c r="D252" s="511">
        <v>656450011</v>
      </c>
      <c r="E252" s="157">
        <v>409</v>
      </c>
      <c r="F252" s="158">
        <v>656</v>
      </c>
      <c r="G252" s="250" t="s">
        <v>74</v>
      </c>
      <c r="H252" s="160" t="s">
        <v>91</v>
      </c>
      <c r="I252" s="160">
        <v>225</v>
      </c>
      <c r="J252" s="161" t="s">
        <v>287</v>
      </c>
      <c r="K252" s="162"/>
      <c r="L252" s="163">
        <v>484000</v>
      </c>
      <c r="M252" s="163">
        <v>663000</v>
      </c>
      <c r="N252" s="163">
        <v>800000</v>
      </c>
      <c r="O252" s="163">
        <v>522000</v>
      </c>
      <c r="P252" s="163">
        <v>2469000</v>
      </c>
      <c r="Q252" s="167">
        <f>R252+S252+T252+U252</f>
        <v>993100</v>
      </c>
      <c r="R252" s="162">
        <v>248275</v>
      </c>
      <c r="S252" s="162">
        <v>248275</v>
      </c>
      <c r="T252" s="162">
        <v>248275</v>
      </c>
      <c r="U252" s="162">
        <v>248275</v>
      </c>
      <c r="V252" s="314">
        <v>1718966</v>
      </c>
      <c r="W252" s="312" t="s">
        <v>588</v>
      </c>
      <c r="X252" s="193"/>
      <c r="Y252" s="194"/>
      <c r="Z252" s="191">
        <v>7562677</v>
      </c>
      <c r="AA252" s="191">
        <v>7244968</v>
      </c>
      <c r="AB252" s="168"/>
      <c r="AC252" s="168"/>
      <c r="AD252" s="168"/>
      <c r="AE252" s="168">
        <v>1073842.07</v>
      </c>
      <c r="AF252" s="168">
        <v>0</v>
      </c>
      <c r="AG252" s="168"/>
      <c r="AH252" s="169"/>
      <c r="AI252" s="170">
        <v>0.4349299594977724</v>
      </c>
      <c r="AJ252" s="152" t="s">
        <v>143</v>
      </c>
      <c r="AK252" s="171"/>
      <c r="AL252" s="171"/>
      <c r="AM252" s="818"/>
      <c r="AN252" s="38"/>
      <c r="AO252" s="38"/>
      <c r="AP252" s="38"/>
      <c r="AQ252" s="38"/>
      <c r="AR252" s="38"/>
      <c r="AS252" s="38"/>
      <c r="AT252" s="38"/>
      <c r="AU252" s="38"/>
      <c r="AV252" s="38"/>
      <c r="AW252" s="38"/>
      <c r="AX252" s="38"/>
      <c r="AY252" s="38"/>
      <c r="AZ252" s="38"/>
      <c r="BA252" s="38"/>
      <c r="BB252" s="38"/>
      <c r="BC252" s="38"/>
      <c r="BD252" s="38"/>
      <c r="BE252" s="38"/>
      <c r="BF252" s="38"/>
    </row>
    <row r="253" spans="1:58" s="173" customFormat="1" ht="12.75" customHeight="1">
      <c r="A253" s="153"/>
      <c r="B253" s="154" t="s">
        <v>284</v>
      </c>
      <c r="C253" s="155" t="s">
        <v>284</v>
      </c>
      <c r="D253" s="511">
        <v>656450011</v>
      </c>
      <c r="E253" s="157">
        <v>409</v>
      </c>
      <c r="F253" s="158">
        <v>656</v>
      </c>
      <c r="G253" s="250" t="s">
        <v>74</v>
      </c>
      <c r="H253" s="160" t="s">
        <v>91</v>
      </c>
      <c r="I253" s="160">
        <v>225</v>
      </c>
      <c r="J253" s="161" t="s">
        <v>287</v>
      </c>
      <c r="K253" s="162"/>
      <c r="L253" s="163">
        <v>484000</v>
      </c>
      <c r="M253" s="163">
        <v>663000</v>
      </c>
      <c r="N253" s="163">
        <v>800000</v>
      </c>
      <c r="O253" s="163"/>
      <c r="P253" s="163"/>
      <c r="Q253" s="167">
        <f>R253+S253+T253+U253</f>
        <v>1617900</v>
      </c>
      <c r="R253" s="162">
        <v>404475</v>
      </c>
      <c r="S253" s="162">
        <v>404475</v>
      </c>
      <c r="T253" s="162">
        <v>404475</v>
      </c>
      <c r="U253" s="162">
        <v>404475</v>
      </c>
      <c r="V253" s="191">
        <v>7021150</v>
      </c>
      <c r="W253" s="162" t="s">
        <v>288</v>
      </c>
      <c r="X253" s="193"/>
      <c r="Y253" s="255"/>
      <c r="Z253" s="252">
        <f>Z252+Z250+Z251</f>
        <v>14369311</v>
      </c>
      <c r="AA253" s="252">
        <f>AA252+AA251</f>
        <v>9141933</v>
      </c>
      <c r="AB253" s="1410"/>
      <c r="AC253" s="1411"/>
      <c r="AD253" s="1412"/>
      <c r="AE253" s="184">
        <v>1073842.07</v>
      </c>
      <c r="AF253" s="185">
        <v>0</v>
      </c>
      <c r="AG253" s="1410"/>
      <c r="AH253" s="1412"/>
      <c r="AI253" s="186">
        <v>0.4349299594977724</v>
      </c>
      <c r="AJ253" s="152" t="s">
        <v>143</v>
      </c>
      <c r="AK253" s="171"/>
      <c r="AL253" s="171"/>
      <c r="AM253" s="818"/>
      <c r="AN253" s="38"/>
      <c r="AO253" s="38"/>
      <c r="AP253" s="38"/>
      <c r="AQ253" s="38"/>
      <c r="AR253" s="38"/>
      <c r="AS253" s="38"/>
      <c r="AT253" s="38"/>
      <c r="AU253" s="38"/>
      <c r="AV253" s="38"/>
      <c r="AW253" s="38"/>
      <c r="AX253" s="38"/>
      <c r="AY253" s="38"/>
      <c r="AZ253" s="38"/>
      <c r="BA253" s="38"/>
      <c r="BB253" s="38"/>
      <c r="BC253" s="38"/>
      <c r="BD253" s="38"/>
      <c r="BE253" s="38"/>
      <c r="BF253" s="38"/>
    </row>
    <row r="254" spans="1:39" ht="12" customHeight="1">
      <c r="A254" s="153"/>
      <c r="B254" s="1413" t="s">
        <v>161</v>
      </c>
      <c r="C254" s="1414"/>
      <c r="D254" s="1414"/>
      <c r="E254" s="1414"/>
      <c r="F254" s="1414"/>
      <c r="G254" s="1414"/>
      <c r="H254" s="1414"/>
      <c r="I254" s="1414"/>
      <c r="J254" s="1414"/>
      <c r="K254" s="1415"/>
      <c r="L254" s="177">
        <v>484000</v>
      </c>
      <c r="M254" s="178">
        <v>663000</v>
      </c>
      <c r="N254" s="178">
        <v>800000</v>
      </c>
      <c r="O254" s="177">
        <v>522000</v>
      </c>
      <c r="P254" s="178">
        <v>2469000</v>
      </c>
      <c r="Q254" s="322">
        <f>R254+S254+T254+U254</f>
        <v>2611000</v>
      </c>
      <c r="R254" s="252">
        <f>R252+R253</f>
        <v>652750</v>
      </c>
      <c r="S254" s="252">
        <f>S252+S253</f>
        <v>652750</v>
      </c>
      <c r="T254" s="252">
        <f>T252+T253</f>
        <v>652750</v>
      </c>
      <c r="U254" s="252">
        <f>U252+U253</f>
        <v>652750</v>
      </c>
      <c r="V254" s="252">
        <f>V253+V252</f>
        <v>8740116</v>
      </c>
      <c r="W254" s="253"/>
      <c r="X254" s="254"/>
      <c r="Y254" s="175"/>
      <c r="Z254" s="175"/>
      <c r="AA254" s="175"/>
      <c r="AB254" s="175"/>
      <c r="AC254" s="175"/>
      <c r="AD254" s="175"/>
      <c r="AE254" s="175"/>
      <c r="AF254" s="175"/>
      <c r="AG254" s="175"/>
      <c r="AH254" s="175"/>
      <c r="AI254" s="190"/>
      <c r="AJ254" s="152" t="s">
        <v>143</v>
      </c>
      <c r="AK254" s="30"/>
      <c r="AL254" s="30"/>
      <c r="AM254" s="818"/>
    </row>
    <row r="255" spans="1:38" ht="12.75" customHeight="1" hidden="1">
      <c r="A255" s="151"/>
      <c r="B255" s="174" t="s">
        <v>289</v>
      </c>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94"/>
      <c r="Z255" s="162"/>
      <c r="AA255" s="464"/>
      <c r="AB255" s="168"/>
      <c r="AC255" s="168"/>
      <c r="AD255" s="168"/>
      <c r="AE255" s="168">
        <v>0</v>
      </c>
      <c r="AF255" s="168">
        <v>0</v>
      </c>
      <c r="AG255" s="168"/>
      <c r="AH255" s="169"/>
      <c r="AI255" s="170">
        <v>0</v>
      </c>
      <c r="AJ255" s="152" t="s">
        <v>143</v>
      </c>
      <c r="AK255" s="30"/>
      <c r="AL255" s="30"/>
    </row>
    <row r="256" spans="1:38" ht="12.75" customHeight="1" hidden="1">
      <c r="A256" s="151"/>
      <c r="B256" s="154" t="s">
        <v>289</v>
      </c>
      <c r="C256" s="155" t="s">
        <v>289</v>
      </c>
      <c r="D256" s="156">
        <v>656040021</v>
      </c>
      <c r="E256" s="157">
        <v>410</v>
      </c>
      <c r="F256" s="158">
        <v>656</v>
      </c>
      <c r="G256" s="250">
        <v>3300200</v>
      </c>
      <c r="H256" s="160" t="s">
        <v>194</v>
      </c>
      <c r="I256" s="160">
        <v>226</v>
      </c>
      <c r="J256" s="161">
        <v>0</v>
      </c>
      <c r="K256" s="162"/>
      <c r="L256" s="165">
        <v>423242.71</v>
      </c>
      <c r="M256" s="165">
        <v>-56977.67</v>
      </c>
      <c r="N256" s="165">
        <v>-206855.41</v>
      </c>
      <c r="O256" s="165">
        <v>-56000</v>
      </c>
      <c r="P256" s="165">
        <v>103409.63</v>
      </c>
      <c r="Q256" s="167"/>
      <c r="R256" s="481"/>
      <c r="S256" s="481"/>
      <c r="T256" s="481"/>
      <c r="U256" s="481"/>
      <c r="V256" s="195">
        <v>0</v>
      </c>
      <c r="W256" s="162"/>
      <c r="X256" s="193"/>
      <c r="Y256" s="255"/>
      <c r="Z256" s="253"/>
      <c r="AA256" s="489"/>
      <c r="AB256" s="1410"/>
      <c r="AC256" s="1411"/>
      <c r="AD256" s="1412"/>
      <c r="AE256" s="184">
        <v>0</v>
      </c>
      <c r="AF256" s="185">
        <v>0</v>
      </c>
      <c r="AG256" s="1410"/>
      <c r="AH256" s="1412"/>
      <c r="AI256" s="186">
        <v>0</v>
      </c>
      <c r="AJ256" s="152" t="s">
        <v>143</v>
      </c>
      <c r="AK256" s="30"/>
      <c r="AL256" s="30"/>
    </row>
    <row r="257" spans="1:58" s="173" customFormat="1" ht="12.75" customHeight="1" hidden="1">
      <c r="A257" s="151"/>
      <c r="B257" s="1413" t="s">
        <v>161</v>
      </c>
      <c r="C257" s="1414"/>
      <c r="D257" s="1414"/>
      <c r="E257" s="1414"/>
      <c r="F257" s="1414"/>
      <c r="G257" s="1414"/>
      <c r="H257" s="1414"/>
      <c r="I257" s="1414"/>
      <c r="J257" s="1414"/>
      <c r="K257" s="1415"/>
      <c r="L257" s="408">
        <v>423242.71</v>
      </c>
      <c r="M257" s="180">
        <v>-56977.67</v>
      </c>
      <c r="N257" s="180">
        <v>-206855.41</v>
      </c>
      <c r="O257" s="408">
        <v>-56000</v>
      </c>
      <c r="P257" s="180">
        <v>103409.63</v>
      </c>
      <c r="Q257" s="164"/>
      <c r="R257" s="409"/>
      <c r="S257" s="410"/>
      <c r="T257" s="409"/>
      <c r="U257" s="410"/>
      <c r="V257" s="252">
        <v>0</v>
      </c>
      <c r="W257" s="253"/>
      <c r="X257" s="254"/>
      <c r="Y257" s="188"/>
      <c r="Z257" s="188"/>
      <c r="AA257" s="188"/>
      <c r="AB257" s="175"/>
      <c r="AC257" s="175"/>
      <c r="AD257" s="175"/>
      <c r="AE257" s="175"/>
      <c r="AF257" s="175"/>
      <c r="AG257" s="175"/>
      <c r="AH257" s="175"/>
      <c r="AI257" s="190"/>
      <c r="AJ257" s="152" t="s">
        <v>143</v>
      </c>
      <c r="AK257" s="171"/>
      <c r="AL257" s="171"/>
      <c r="AM257" s="38"/>
      <c r="AN257" s="38"/>
      <c r="AO257" s="38"/>
      <c r="AP257" s="38"/>
      <c r="AQ257" s="38"/>
      <c r="AR257" s="38"/>
      <c r="AS257" s="38"/>
      <c r="AT257" s="38"/>
      <c r="AU257" s="38"/>
      <c r="AV257" s="38"/>
      <c r="AW257" s="38"/>
      <c r="AX257" s="38"/>
      <c r="AY257" s="38"/>
      <c r="AZ257" s="38"/>
      <c r="BA257" s="38"/>
      <c r="BB257" s="38"/>
      <c r="BC257" s="38"/>
      <c r="BD257" s="38"/>
      <c r="BE257" s="38"/>
      <c r="BF257" s="38"/>
    </row>
    <row r="258" spans="1:58" s="173" customFormat="1" ht="12.75" customHeight="1" hidden="1">
      <c r="A258" s="153"/>
      <c r="B258" s="174" t="s">
        <v>290</v>
      </c>
      <c r="C258" s="175"/>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94"/>
      <c r="Z258" s="195"/>
      <c r="AA258" s="195"/>
      <c r="AB258" s="168"/>
      <c r="AC258" s="168"/>
      <c r="AD258" s="168"/>
      <c r="AE258" s="168">
        <v>1073842.07</v>
      </c>
      <c r="AF258" s="168">
        <v>0</v>
      </c>
      <c r="AG258" s="168"/>
      <c r="AH258" s="169"/>
      <c r="AI258" s="170">
        <v>0.4349299594977724</v>
      </c>
      <c r="AJ258" s="152" t="s">
        <v>143</v>
      </c>
      <c r="AK258" s="171"/>
      <c r="AL258" s="171"/>
      <c r="AM258" s="38"/>
      <c r="AN258" s="38"/>
      <c r="AO258" s="38"/>
      <c r="AP258" s="38"/>
      <c r="AQ258" s="38"/>
      <c r="AR258" s="38"/>
      <c r="AS258" s="38"/>
      <c r="AT258" s="38"/>
      <c r="AU258" s="38"/>
      <c r="AV258" s="38"/>
      <c r="AW258" s="38"/>
      <c r="AX258" s="38"/>
      <c r="AY258" s="38"/>
      <c r="AZ258" s="38"/>
      <c r="BA258" s="38"/>
      <c r="BB258" s="38"/>
      <c r="BC258" s="38"/>
      <c r="BD258" s="38"/>
      <c r="BE258" s="38"/>
      <c r="BF258" s="38"/>
    </row>
    <row r="259" spans="1:58" s="173" customFormat="1" ht="12.75" customHeight="1" hidden="1">
      <c r="A259" s="153"/>
      <c r="B259" s="154" t="s">
        <v>284</v>
      </c>
      <c r="C259" s="155" t="s">
        <v>284</v>
      </c>
      <c r="D259" s="156">
        <v>656400012</v>
      </c>
      <c r="E259" s="157">
        <v>409</v>
      </c>
      <c r="F259" s="158">
        <v>656</v>
      </c>
      <c r="G259" s="525" t="s">
        <v>291</v>
      </c>
      <c r="H259" s="160" t="s">
        <v>91</v>
      </c>
      <c r="I259" s="160">
        <v>225</v>
      </c>
      <c r="J259" s="161" t="s">
        <v>285</v>
      </c>
      <c r="K259" s="162"/>
      <c r="L259" s="163">
        <v>484000</v>
      </c>
      <c r="M259" s="163">
        <v>663000</v>
      </c>
      <c r="N259" s="163">
        <v>800000</v>
      </c>
      <c r="O259" s="163">
        <v>522000</v>
      </c>
      <c r="P259" s="163">
        <v>2469000</v>
      </c>
      <c r="Q259" s="167">
        <f>R259+S259+T259+U259</f>
        <v>993100</v>
      </c>
      <c r="R259" s="162">
        <v>248275</v>
      </c>
      <c r="S259" s="162">
        <v>248275</v>
      </c>
      <c r="T259" s="162">
        <v>248275</v>
      </c>
      <c r="U259" s="162">
        <v>248275</v>
      </c>
      <c r="V259" s="526"/>
      <c r="W259" s="162" t="s">
        <v>286</v>
      </c>
      <c r="X259" s="193"/>
      <c r="Y259" s="194"/>
      <c r="Z259" s="195"/>
      <c r="AA259" s="195"/>
      <c r="AB259" s="168"/>
      <c r="AC259" s="168"/>
      <c r="AD259" s="168"/>
      <c r="AE259" s="168">
        <v>1073842.07</v>
      </c>
      <c r="AF259" s="168">
        <v>0</v>
      </c>
      <c r="AG259" s="168"/>
      <c r="AH259" s="169"/>
      <c r="AI259" s="170">
        <v>0.4349299594977724</v>
      </c>
      <c r="AJ259" s="152" t="s">
        <v>143</v>
      </c>
      <c r="AK259" s="171"/>
      <c r="AL259" s="171"/>
      <c r="AM259" s="38"/>
      <c r="AN259" s="38"/>
      <c r="AO259" s="38"/>
      <c r="AP259" s="38"/>
      <c r="AQ259" s="38"/>
      <c r="AR259" s="38"/>
      <c r="AS259" s="38"/>
      <c r="AT259" s="38"/>
      <c r="AU259" s="38"/>
      <c r="AV259" s="38"/>
      <c r="AW259" s="38"/>
      <c r="AX259" s="38"/>
      <c r="AY259" s="38"/>
      <c r="AZ259" s="38"/>
      <c r="BA259" s="38"/>
      <c r="BB259" s="38"/>
      <c r="BC259" s="38"/>
      <c r="BD259" s="38"/>
      <c r="BE259" s="38"/>
      <c r="BF259" s="38"/>
    </row>
    <row r="260" spans="1:58" s="173" customFormat="1" ht="12" customHeight="1" hidden="1">
      <c r="A260" s="153"/>
      <c r="B260" s="154" t="s">
        <v>284</v>
      </c>
      <c r="C260" s="155" t="s">
        <v>284</v>
      </c>
      <c r="D260" s="156">
        <v>656400012</v>
      </c>
      <c r="E260" s="157">
        <v>409</v>
      </c>
      <c r="F260" s="158">
        <v>656</v>
      </c>
      <c r="G260" s="525" t="s">
        <v>291</v>
      </c>
      <c r="H260" s="160" t="s">
        <v>91</v>
      </c>
      <c r="I260" s="160">
        <v>225</v>
      </c>
      <c r="J260" s="161" t="s">
        <v>287</v>
      </c>
      <c r="K260" s="162"/>
      <c r="L260" s="163">
        <v>484000</v>
      </c>
      <c r="M260" s="163">
        <v>663000</v>
      </c>
      <c r="N260" s="163">
        <v>800000</v>
      </c>
      <c r="O260" s="163"/>
      <c r="P260" s="163"/>
      <c r="Q260" s="167">
        <f>R260+S260+T260+U260</f>
        <v>1617900</v>
      </c>
      <c r="R260" s="162">
        <v>404475</v>
      </c>
      <c r="S260" s="162">
        <v>404475</v>
      </c>
      <c r="T260" s="162">
        <v>404475</v>
      </c>
      <c r="U260" s="162">
        <v>404475</v>
      </c>
      <c r="V260" s="526"/>
      <c r="W260" s="162" t="s">
        <v>288</v>
      </c>
      <c r="X260" s="193"/>
      <c r="Y260" s="255"/>
      <c r="Z260" s="252"/>
      <c r="AA260" s="252"/>
      <c r="AB260" s="1410"/>
      <c r="AC260" s="1411"/>
      <c r="AD260" s="1412"/>
      <c r="AE260" s="184">
        <v>1073842.07</v>
      </c>
      <c r="AF260" s="185">
        <v>0</v>
      </c>
      <c r="AG260" s="1410"/>
      <c r="AH260" s="1412"/>
      <c r="AI260" s="186">
        <v>0.4349299594977724</v>
      </c>
      <c r="AJ260" s="152" t="s">
        <v>143</v>
      </c>
      <c r="AK260" s="171"/>
      <c r="AL260" s="171"/>
      <c r="AM260" s="38"/>
      <c r="AN260" s="38"/>
      <c r="AO260" s="38"/>
      <c r="AP260" s="38"/>
      <c r="AQ260" s="38"/>
      <c r="AR260" s="38"/>
      <c r="AS260" s="38"/>
      <c r="AT260" s="38"/>
      <c r="AU260" s="38"/>
      <c r="AV260" s="38"/>
      <c r="AW260" s="38"/>
      <c r="AX260" s="38"/>
      <c r="AY260" s="38"/>
      <c r="AZ260" s="38"/>
      <c r="BA260" s="38"/>
      <c r="BB260" s="38"/>
      <c r="BC260" s="38"/>
      <c r="BD260" s="38"/>
      <c r="BE260" s="38"/>
      <c r="BF260" s="38"/>
    </row>
    <row r="261" spans="1:38" ht="12.75" customHeight="1" hidden="1">
      <c r="A261" s="153"/>
      <c r="B261" s="1413" t="s">
        <v>161</v>
      </c>
      <c r="C261" s="1414"/>
      <c r="D261" s="1414"/>
      <c r="E261" s="1414"/>
      <c r="F261" s="1414"/>
      <c r="G261" s="1414"/>
      <c r="H261" s="1414"/>
      <c r="I261" s="1414"/>
      <c r="J261" s="1414"/>
      <c r="K261" s="1415"/>
      <c r="L261" s="177">
        <v>484000</v>
      </c>
      <c r="M261" s="178">
        <v>663000</v>
      </c>
      <c r="N261" s="178">
        <v>800000</v>
      </c>
      <c r="O261" s="177">
        <v>522000</v>
      </c>
      <c r="P261" s="178">
        <v>2469000</v>
      </c>
      <c r="Q261" s="322">
        <f>R261+S261+T261+U261</f>
        <v>2611000</v>
      </c>
      <c r="R261" s="252">
        <f>R259+R260</f>
        <v>652750</v>
      </c>
      <c r="S261" s="252">
        <f>S259+S260</f>
        <v>652750</v>
      </c>
      <c r="T261" s="252">
        <f>T259+T260</f>
        <v>652750</v>
      </c>
      <c r="U261" s="252">
        <f>U259+U260</f>
        <v>652750</v>
      </c>
      <c r="V261" s="527">
        <f>V259+V260</f>
        <v>0</v>
      </c>
      <c r="W261" s="253"/>
      <c r="X261" s="254"/>
      <c r="Y261" s="791"/>
      <c r="Z261" s="791"/>
      <c r="AA261" s="791"/>
      <c r="AB261" s="183"/>
      <c r="AC261" s="183"/>
      <c r="AD261" s="183"/>
      <c r="AE261" s="249"/>
      <c r="AF261" s="249"/>
      <c r="AG261" s="183"/>
      <c r="AH261" s="183"/>
      <c r="AI261" s="186"/>
      <c r="AJ261" s="152"/>
      <c r="AK261" s="30"/>
      <c r="AL261" s="30"/>
    </row>
    <row r="262" spans="1:38" ht="12.75" customHeight="1" hidden="1">
      <c r="A262" s="151"/>
      <c r="B262" s="174"/>
      <c r="C262" s="175"/>
      <c r="D262" s="791" t="s">
        <v>292</v>
      </c>
      <c r="E262" s="791"/>
      <c r="F262" s="791"/>
      <c r="G262" s="791"/>
      <c r="H262" s="791"/>
      <c r="I262" s="791"/>
      <c r="J262" s="791"/>
      <c r="K262" s="791"/>
      <c r="L262" s="791"/>
      <c r="M262" s="791"/>
      <c r="N262" s="791"/>
      <c r="O262" s="791"/>
      <c r="P262" s="791"/>
      <c r="Q262" s="791"/>
      <c r="R262" s="791"/>
      <c r="S262" s="791"/>
      <c r="T262" s="791"/>
      <c r="U262" s="791"/>
      <c r="V262" s="791"/>
      <c r="W262" s="791"/>
      <c r="X262" s="791"/>
      <c r="Y262" s="530"/>
      <c r="Z262" s="528"/>
      <c r="AA262" s="528"/>
      <c r="AB262" s="183"/>
      <c r="AC262" s="183"/>
      <c r="AD262" s="183"/>
      <c r="AE262" s="249"/>
      <c r="AF262" s="249"/>
      <c r="AG262" s="183"/>
      <c r="AH262" s="183"/>
      <c r="AI262" s="186"/>
      <c r="AJ262" s="152"/>
      <c r="AK262" s="30"/>
      <c r="AL262" s="30"/>
    </row>
    <row r="263" spans="1:58" s="173" customFormat="1" ht="15" customHeight="1">
      <c r="A263" s="151"/>
      <c r="B263" s="174"/>
      <c r="C263" s="175"/>
      <c r="D263" s="1431" t="s">
        <v>293</v>
      </c>
      <c r="E263" s="1431"/>
      <c r="F263" s="1431"/>
      <c r="G263" s="1431"/>
      <c r="H263" s="1431"/>
      <c r="I263" s="1431"/>
      <c r="J263" s="1431"/>
      <c r="K263" s="528"/>
      <c r="L263" s="528"/>
      <c r="M263" s="528"/>
      <c r="N263" s="528"/>
      <c r="O263" s="528"/>
      <c r="P263" s="528"/>
      <c r="Q263" s="528"/>
      <c r="R263" s="528"/>
      <c r="S263" s="528"/>
      <c r="T263" s="528"/>
      <c r="U263" s="528"/>
      <c r="V263" s="528"/>
      <c r="W263" s="528"/>
      <c r="X263" s="529"/>
      <c r="Y263" s="175"/>
      <c r="Z263" s="175"/>
      <c r="AA263" s="175"/>
      <c r="AB263" s="175"/>
      <c r="AC263" s="175"/>
      <c r="AD263" s="175"/>
      <c r="AE263" s="175"/>
      <c r="AF263" s="175"/>
      <c r="AG263" s="175"/>
      <c r="AH263" s="175"/>
      <c r="AI263" s="190"/>
      <c r="AJ263" s="152" t="s">
        <v>143</v>
      </c>
      <c r="AK263" s="171"/>
      <c r="AL263" s="171"/>
      <c r="AM263" s="38"/>
      <c r="AN263" s="38"/>
      <c r="AO263" s="38"/>
      <c r="AP263" s="38"/>
      <c r="AQ263" s="38"/>
      <c r="AR263" s="38"/>
      <c r="AS263" s="38"/>
      <c r="AT263" s="38"/>
      <c r="AU263" s="38"/>
      <c r="AV263" s="38"/>
      <c r="AW263" s="38"/>
      <c r="AX263" s="38"/>
      <c r="AY263" s="38"/>
      <c r="AZ263" s="38"/>
      <c r="BA263" s="38"/>
      <c r="BB263" s="38"/>
      <c r="BC263" s="38"/>
      <c r="BD263" s="38"/>
      <c r="BE263" s="38"/>
      <c r="BF263" s="38"/>
    </row>
    <row r="264" spans="1:58" s="173" customFormat="1" ht="12.75" customHeight="1">
      <c r="A264" s="153"/>
      <c r="B264" s="174" t="s">
        <v>294</v>
      </c>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92"/>
      <c r="Z264" s="399"/>
      <c r="AA264" s="399"/>
      <c r="AB264" s="168"/>
      <c r="AC264" s="168"/>
      <c r="AD264" s="168"/>
      <c r="AE264" s="168">
        <v>201514.5</v>
      </c>
      <c r="AF264" s="168">
        <v>0</v>
      </c>
      <c r="AG264" s="168"/>
      <c r="AH264" s="169"/>
      <c r="AI264" s="170">
        <v>0.7667979452054795</v>
      </c>
      <c r="AJ264" s="152" t="s">
        <v>143</v>
      </c>
      <c r="AK264" s="171"/>
      <c r="AL264" s="171"/>
      <c r="AM264" s="38"/>
      <c r="AN264" s="38"/>
      <c r="AO264" s="38"/>
      <c r="AP264" s="38"/>
      <c r="AQ264" s="38"/>
      <c r="AR264" s="38"/>
      <c r="AS264" s="38"/>
      <c r="AT264" s="38"/>
      <c r="AU264" s="38"/>
      <c r="AV264" s="38"/>
      <c r="AW264" s="38"/>
      <c r="AX264" s="38"/>
      <c r="AY264" s="38"/>
      <c r="AZ264" s="38"/>
      <c r="BA264" s="38"/>
      <c r="BB264" s="38"/>
      <c r="BC264" s="38"/>
      <c r="BD264" s="38"/>
      <c r="BE264" s="38"/>
      <c r="BF264" s="38"/>
    </row>
    <row r="265" spans="1:58" s="173" customFormat="1" ht="12.75" customHeight="1">
      <c r="A265" s="153"/>
      <c r="B265" s="154" t="s">
        <v>294</v>
      </c>
      <c r="C265" s="155" t="s">
        <v>294</v>
      </c>
      <c r="D265" s="156">
        <v>656560011</v>
      </c>
      <c r="E265" s="157">
        <v>410</v>
      </c>
      <c r="F265" s="158">
        <v>656</v>
      </c>
      <c r="G265" s="250">
        <v>3000120070</v>
      </c>
      <c r="H265" s="160">
        <v>811</v>
      </c>
      <c r="I265" s="160">
        <v>245</v>
      </c>
      <c r="J265" s="161">
        <v>0</v>
      </c>
      <c r="K265" s="162"/>
      <c r="L265" s="163">
        <v>65700</v>
      </c>
      <c r="M265" s="163">
        <v>65700</v>
      </c>
      <c r="N265" s="163">
        <v>65700</v>
      </c>
      <c r="O265" s="163">
        <v>65700</v>
      </c>
      <c r="P265" s="163">
        <v>262800</v>
      </c>
      <c r="Q265" s="167">
        <f>R265+S265+T265+U265</f>
        <v>90000</v>
      </c>
      <c r="R265" s="162">
        <v>30000</v>
      </c>
      <c r="S265" s="162">
        <v>30000</v>
      </c>
      <c r="T265" s="162">
        <v>30000</v>
      </c>
      <c r="U265" s="162"/>
      <c r="V265" s="399">
        <f>25056*3</f>
        <v>75168</v>
      </c>
      <c r="W265" s="366" t="s">
        <v>591</v>
      </c>
      <c r="X265" s="193">
        <v>80000</v>
      </c>
      <c r="Y265" s="192" t="s">
        <v>295</v>
      </c>
      <c r="Z265" s="252">
        <f>Z264</f>
        <v>0</v>
      </c>
      <c r="AA265" s="252">
        <f>AA264</f>
        <v>0</v>
      </c>
      <c r="AB265" s="1410"/>
      <c r="AC265" s="1411"/>
      <c r="AD265" s="1412"/>
      <c r="AE265" s="184">
        <v>201514.5</v>
      </c>
      <c r="AF265" s="185">
        <v>0</v>
      </c>
      <c r="AG265" s="1410"/>
      <c r="AH265" s="1412"/>
      <c r="AI265" s="186">
        <v>0.7667979452054795</v>
      </c>
      <c r="AJ265" s="152" t="s">
        <v>143</v>
      </c>
      <c r="AK265" s="171"/>
      <c r="AL265" s="171"/>
      <c r="AM265" s="38"/>
      <c r="AN265" s="38"/>
      <c r="AO265" s="38"/>
      <c r="AP265" s="38"/>
      <c r="AQ265" s="38"/>
      <c r="AR265" s="38"/>
      <c r="AS265" s="38"/>
      <c r="AT265" s="38"/>
      <c r="AU265" s="38"/>
      <c r="AV265" s="38"/>
      <c r="AW265" s="38"/>
      <c r="AX265" s="38"/>
      <c r="AY265" s="38"/>
      <c r="AZ265" s="38"/>
      <c r="BA265" s="38"/>
      <c r="BB265" s="38"/>
      <c r="BC265" s="38"/>
      <c r="BD265" s="38"/>
      <c r="BE265" s="38"/>
      <c r="BF265" s="38"/>
    </row>
    <row r="266" spans="1:58" s="173" customFormat="1" ht="19.5" customHeight="1">
      <c r="A266" s="153"/>
      <c r="B266" s="1413" t="s">
        <v>161</v>
      </c>
      <c r="C266" s="1414"/>
      <c r="D266" s="1414"/>
      <c r="E266" s="1414"/>
      <c r="F266" s="1414"/>
      <c r="G266" s="1414"/>
      <c r="H266" s="1414"/>
      <c r="I266" s="1414"/>
      <c r="J266" s="1414"/>
      <c r="K266" s="1415"/>
      <c r="L266" s="177">
        <v>65700</v>
      </c>
      <c r="M266" s="178">
        <v>65700</v>
      </c>
      <c r="N266" s="178">
        <v>65700</v>
      </c>
      <c r="O266" s="177">
        <v>65700</v>
      </c>
      <c r="P266" s="178">
        <v>262800</v>
      </c>
      <c r="Q266" s="322">
        <f>R266+S266+T266+U266</f>
        <v>90000</v>
      </c>
      <c r="R266" s="252">
        <f>R265</f>
        <v>30000</v>
      </c>
      <c r="S266" s="252">
        <f>S265</f>
        <v>30000</v>
      </c>
      <c r="T266" s="252">
        <f>T265</f>
        <v>30000</v>
      </c>
      <c r="U266" s="252">
        <f>U265</f>
        <v>0</v>
      </c>
      <c r="V266" s="323">
        <f>V265</f>
        <v>75168</v>
      </c>
      <c r="W266" s="253"/>
      <c r="X266" s="382">
        <f>X265</f>
        <v>80000</v>
      </c>
      <c r="Y266" s="175"/>
      <c r="Z266" s="175"/>
      <c r="AA266" s="175"/>
      <c r="AB266" s="175"/>
      <c r="AC266" s="175"/>
      <c r="AD266" s="175"/>
      <c r="AE266" s="175"/>
      <c r="AF266" s="175"/>
      <c r="AG266" s="175"/>
      <c r="AH266" s="175"/>
      <c r="AI266" s="190"/>
      <c r="AJ266" s="152" t="s">
        <v>143</v>
      </c>
      <c r="AK266" s="171"/>
      <c r="AL266" s="171"/>
      <c r="AM266" s="38"/>
      <c r="AN266" s="38"/>
      <c r="AO266" s="38"/>
      <c r="AP266" s="38"/>
      <c r="AQ266" s="38"/>
      <c r="AR266" s="38"/>
      <c r="AS266" s="38"/>
      <c r="AT266" s="38"/>
      <c r="AU266" s="38"/>
      <c r="AV266" s="38"/>
      <c r="AW266" s="38"/>
      <c r="AX266" s="38"/>
      <c r="AY266" s="38"/>
      <c r="AZ266" s="38"/>
      <c r="BA266" s="38"/>
      <c r="BB266" s="38"/>
      <c r="BC266" s="38"/>
      <c r="BD266" s="38"/>
      <c r="BE266" s="38"/>
      <c r="BF266" s="38"/>
    </row>
    <row r="267" spans="1:58" s="1109" customFormat="1" ht="12.75" customHeight="1">
      <c r="A267" s="1088"/>
      <c r="B267" s="1118" t="s">
        <v>296</v>
      </c>
      <c r="C267" s="1119"/>
      <c r="D267" s="1520" t="s">
        <v>497</v>
      </c>
      <c r="E267" s="1520"/>
      <c r="F267" s="1520"/>
      <c r="G267" s="1520"/>
      <c r="H267" s="1520"/>
      <c r="I267" s="1520"/>
      <c r="J267" s="1520"/>
      <c r="K267" s="1520"/>
      <c r="L267" s="1520"/>
      <c r="M267" s="1520"/>
      <c r="N267" s="1520"/>
      <c r="O267" s="1520"/>
      <c r="P267" s="1520"/>
      <c r="Q267" s="1520"/>
      <c r="R267" s="1520"/>
      <c r="S267" s="1520"/>
      <c r="T267" s="1520"/>
      <c r="U267" s="1520"/>
      <c r="V267" s="1520"/>
      <c r="W267" s="1520"/>
      <c r="X267" s="1520"/>
      <c r="Y267" s="1521"/>
      <c r="Z267" s="1097">
        <v>2600000</v>
      </c>
      <c r="AA267" s="1120"/>
      <c r="AB267" s="1102"/>
      <c r="AC267" s="1102"/>
      <c r="AD267" s="1102"/>
      <c r="AE267" s="1102">
        <v>0</v>
      </c>
      <c r="AF267" s="1102">
        <v>0</v>
      </c>
      <c r="AG267" s="1102"/>
      <c r="AH267" s="1103"/>
      <c r="AI267" s="1104"/>
      <c r="AJ267" s="1105" t="s">
        <v>143</v>
      </c>
      <c r="AK267" s="1106"/>
      <c r="AL267" s="1106"/>
      <c r="AM267" s="1107"/>
      <c r="AN267" s="1107"/>
      <c r="AO267" s="1107"/>
      <c r="AP267" s="1107"/>
      <c r="AQ267" s="1107"/>
      <c r="AR267" s="1107"/>
      <c r="AS267" s="1107"/>
      <c r="AT267" s="1107"/>
      <c r="AU267" s="1107"/>
      <c r="AV267" s="1107"/>
      <c r="AW267" s="1107"/>
      <c r="AX267" s="1107"/>
      <c r="AY267" s="1107"/>
      <c r="AZ267" s="1107"/>
      <c r="BA267" s="1107"/>
      <c r="BB267" s="1107"/>
      <c r="BC267" s="1107"/>
      <c r="BD267" s="1107"/>
      <c r="BE267" s="1107"/>
      <c r="BF267" s="1107"/>
    </row>
    <row r="268" spans="1:58" s="1109" customFormat="1" ht="14.25" customHeight="1">
      <c r="A268" s="1088"/>
      <c r="B268" s="1089" t="s">
        <v>297</v>
      </c>
      <c r="C268" s="1090" t="s">
        <v>297</v>
      </c>
      <c r="D268" s="1091">
        <v>656400011</v>
      </c>
      <c r="E268" s="1092">
        <v>412</v>
      </c>
      <c r="F268" s="1093">
        <v>656</v>
      </c>
      <c r="G268" s="1094" t="s">
        <v>587</v>
      </c>
      <c r="H268" s="1095" t="s">
        <v>44</v>
      </c>
      <c r="I268" s="1095">
        <v>251</v>
      </c>
      <c r="J268" s="1096">
        <v>0</v>
      </c>
      <c r="K268" s="1097"/>
      <c r="L268" s="1098">
        <v>0</v>
      </c>
      <c r="M268" s="1098">
        <v>0</v>
      </c>
      <c r="N268" s="1098">
        <v>0</v>
      </c>
      <c r="O268" s="1098">
        <v>0</v>
      </c>
      <c r="P268" s="1098">
        <v>0</v>
      </c>
      <c r="Q268" s="1099"/>
      <c r="R268" s="1100">
        <v>200000</v>
      </c>
      <c r="S268" s="1097"/>
      <c r="T268" s="1097"/>
      <c r="U268" s="1097"/>
      <c r="V268" s="1100">
        <v>333902</v>
      </c>
      <c r="W268" s="1097"/>
      <c r="X268" s="1101"/>
      <c r="Y268" s="1110"/>
      <c r="Z268" s="1121">
        <v>2600000</v>
      </c>
      <c r="AA268" s="1122"/>
      <c r="AB268" s="1515"/>
      <c r="AC268" s="1516"/>
      <c r="AD268" s="1517"/>
      <c r="AE268" s="1112">
        <v>0</v>
      </c>
      <c r="AF268" s="1113">
        <v>0</v>
      </c>
      <c r="AG268" s="1515"/>
      <c r="AH268" s="1517"/>
      <c r="AI268" s="1114"/>
      <c r="AJ268" s="1105" t="s">
        <v>143</v>
      </c>
      <c r="AK268" s="1106"/>
      <c r="AL268" s="1106"/>
      <c r="AM268" s="1107"/>
      <c r="AN268" s="1107"/>
      <c r="AO268" s="1107"/>
      <c r="AP268" s="1107"/>
      <c r="AQ268" s="1107"/>
      <c r="AR268" s="1107"/>
      <c r="AS268" s="1107"/>
      <c r="AT268" s="1107"/>
      <c r="AU268" s="1107"/>
      <c r="AV268" s="1107"/>
      <c r="AW268" s="1107"/>
      <c r="AX268" s="1107"/>
      <c r="AY268" s="1107"/>
      <c r="AZ268" s="1107"/>
      <c r="BA268" s="1107"/>
      <c r="BB268" s="1107"/>
      <c r="BC268" s="1107"/>
      <c r="BD268" s="1107"/>
      <c r="BE268" s="1107"/>
      <c r="BF268" s="1107"/>
    </row>
    <row r="269" spans="1:58" s="173" customFormat="1" ht="12.75" customHeight="1">
      <c r="A269" s="153"/>
      <c r="B269" s="1413" t="s">
        <v>161</v>
      </c>
      <c r="C269" s="1414"/>
      <c r="D269" s="1414"/>
      <c r="E269" s="1414"/>
      <c r="F269" s="1414"/>
      <c r="G269" s="1414"/>
      <c r="H269" s="1414"/>
      <c r="I269" s="1414"/>
      <c r="J269" s="1414"/>
      <c r="K269" s="1415"/>
      <c r="L269" s="177">
        <v>0</v>
      </c>
      <c r="M269" s="178">
        <v>0</v>
      </c>
      <c r="N269" s="178">
        <v>0</v>
      </c>
      <c r="O269" s="177">
        <v>0</v>
      </c>
      <c r="P269" s="178">
        <v>0</v>
      </c>
      <c r="Q269" s="164"/>
      <c r="R269" s="252">
        <f>R268</f>
        <v>200000</v>
      </c>
      <c r="S269" s="249"/>
      <c r="T269" s="251"/>
      <c r="U269" s="249"/>
      <c r="V269" s="252">
        <f>V268</f>
        <v>333902</v>
      </c>
      <c r="W269" s="253"/>
      <c r="X269" s="254"/>
      <c r="Y269" s="795"/>
      <c r="Z269" s="795"/>
      <c r="AA269" s="795"/>
      <c r="AB269" s="183"/>
      <c r="AC269" s="183"/>
      <c r="AD269" s="183"/>
      <c r="AE269" s="249"/>
      <c r="AF269" s="249"/>
      <c r="AG269" s="183"/>
      <c r="AH269" s="183"/>
      <c r="AI269" s="186"/>
      <c r="AJ269" s="152"/>
      <c r="AK269" s="171"/>
      <c r="AL269" s="171"/>
      <c r="AM269" s="38"/>
      <c r="AN269" s="38"/>
      <c r="AO269" s="38"/>
      <c r="AP269" s="38"/>
      <c r="AQ269" s="38"/>
      <c r="AR269" s="38"/>
      <c r="AS269" s="38"/>
      <c r="AT269" s="38"/>
      <c r="AU269" s="38"/>
      <c r="AV269" s="38"/>
      <c r="AW269" s="38"/>
      <c r="AX269" s="38"/>
      <c r="AY269" s="38"/>
      <c r="AZ269" s="38"/>
      <c r="BA269" s="38"/>
      <c r="BB269" s="38"/>
      <c r="BC269" s="38"/>
      <c r="BD269" s="38"/>
      <c r="BE269" s="38"/>
      <c r="BF269" s="38"/>
    </row>
    <row r="270" spans="1:58" s="173" customFormat="1" ht="30" customHeight="1">
      <c r="A270" s="153"/>
      <c r="B270" s="174"/>
      <c r="C270" s="175"/>
      <c r="D270" s="1570" t="str">
        <f>'[2]приложение 5'!$A$141</f>
        <v>Муниципальная программа "Жилищно-коммунальный комплекс и городская среда в сельском поселении Зайцева Речка"</v>
      </c>
      <c r="E270" s="1570"/>
      <c r="F270" s="1570"/>
      <c r="G270" s="1570"/>
      <c r="H270" s="1570"/>
      <c r="I270" s="1570"/>
      <c r="J270" s="1570"/>
      <c r="K270" s="1570"/>
      <c r="L270" s="1570"/>
      <c r="M270" s="1570"/>
      <c r="N270" s="1570"/>
      <c r="O270" s="1570"/>
      <c r="P270" s="1570"/>
      <c r="Q270" s="1570"/>
      <c r="R270" s="1570"/>
      <c r="S270" s="1570"/>
      <c r="T270" s="1570"/>
      <c r="U270" s="1570"/>
      <c r="V270" s="1570"/>
      <c r="W270" s="1570"/>
      <c r="X270" s="1570"/>
      <c r="Y270" s="175"/>
      <c r="Z270" s="175"/>
      <c r="AA270" s="175"/>
      <c r="AB270" s="175"/>
      <c r="AC270" s="175"/>
      <c r="AD270" s="175"/>
      <c r="AE270" s="175"/>
      <c r="AF270" s="175"/>
      <c r="AG270" s="175"/>
      <c r="AH270" s="175"/>
      <c r="AI270" s="190"/>
      <c r="AJ270" s="152" t="s">
        <v>143</v>
      </c>
      <c r="AK270" s="171"/>
      <c r="AL270" s="171"/>
      <c r="AM270" s="38"/>
      <c r="AN270" s="38"/>
      <c r="AO270" s="38"/>
      <c r="AP270" s="38"/>
      <c r="AQ270" s="38"/>
      <c r="AR270" s="38"/>
      <c r="AS270" s="38"/>
      <c r="AT270" s="38"/>
      <c r="AU270" s="38"/>
      <c r="AV270" s="38"/>
      <c r="AW270" s="38"/>
      <c r="AX270" s="38"/>
      <c r="AY270" s="38"/>
      <c r="AZ270" s="38"/>
      <c r="BA270" s="38"/>
      <c r="BB270" s="38"/>
      <c r="BC270" s="38"/>
      <c r="BD270" s="38"/>
      <c r="BE270" s="38"/>
      <c r="BF270" s="38"/>
    </row>
    <row r="271" spans="1:58" s="173" customFormat="1" ht="16.5" customHeight="1" hidden="1">
      <c r="A271" s="153"/>
      <c r="B271" s="174" t="s">
        <v>298</v>
      </c>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94"/>
      <c r="Z271" s="533">
        <v>3943720</v>
      </c>
      <c r="AA271" s="533">
        <v>3943720</v>
      </c>
      <c r="AB271" s="168"/>
      <c r="AC271" s="168"/>
      <c r="AD271" s="168"/>
      <c r="AE271" s="168">
        <v>2881781.63</v>
      </c>
      <c r="AF271" s="168">
        <v>141293.16</v>
      </c>
      <c r="AG271" s="168"/>
      <c r="AH271" s="169"/>
      <c r="AI271" s="170">
        <v>0.7778848907181377</v>
      </c>
      <c r="AJ271" s="152" t="s">
        <v>143</v>
      </c>
      <c r="AK271" s="171"/>
      <c r="AL271" s="171"/>
      <c r="AM271" s="38"/>
      <c r="AN271" s="38"/>
      <c r="AO271" s="38"/>
      <c r="AP271" s="38"/>
      <c r="AQ271" s="38"/>
      <c r="AR271" s="38"/>
      <c r="AS271" s="38"/>
      <c r="AT271" s="38"/>
      <c r="AU271" s="38"/>
      <c r="AV271" s="38"/>
      <c r="AW271" s="38"/>
      <c r="AX271" s="38"/>
      <c r="AY271" s="38"/>
      <c r="AZ271" s="38"/>
      <c r="BA271" s="38"/>
      <c r="BB271" s="38"/>
      <c r="BC271" s="38"/>
      <c r="BD271" s="38"/>
      <c r="BE271" s="38"/>
      <c r="BF271" s="38"/>
    </row>
    <row r="272" spans="1:58" s="173" customFormat="1" ht="12.75" customHeight="1">
      <c r="A272" s="153"/>
      <c r="B272" s="359" t="s">
        <v>298</v>
      </c>
      <c r="C272" s="360" t="s">
        <v>298</v>
      </c>
      <c r="D272" s="361">
        <v>656470011</v>
      </c>
      <c r="E272" s="362">
        <v>501</v>
      </c>
      <c r="F272" s="363">
        <v>656</v>
      </c>
      <c r="G272" s="531" t="s">
        <v>510</v>
      </c>
      <c r="H272" s="364">
        <v>811</v>
      </c>
      <c r="I272" s="364">
        <v>249</v>
      </c>
      <c r="J272" s="365">
        <v>0</v>
      </c>
      <c r="K272" s="192"/>
      <c r="L272" s="366">
        <v>1082478.92</v>
      </c>
      <c r="M272" s="366">
        <v>144000</v>
      </c>
      <c r="N272" s="366">
        <v>2296521.08</v>
      </c>
      <c r="O272" s="366">
        <v>0</v>
      </c>
      <c r="P272" s="366">
        <v>3523000</v>
      </c>
      <c r="Q272" s="367">
        <f>R272+S272+T272+U272</f>
        <v>1881960</v>
      </c>
      <c r="R272" s="192">
        <f>V272-S272-T272-U272</f>
        <v>-1714578.98</v>
      </c>
      <c r="S272" s="192">
        <f>1265514-150000</f>
        <v>1115514</v>
      </c>
      <c r="T272" s="192">
        <f>1265514-150000</f>
        <v>1115514</v>
      </c>
      <c r="U272" s="192">
        <f>1265514-3.02+100000</f>
        <v>1365510.98</v>
      </c>
      <c r="V272" s="999">
        <v>1881960</v>
      </c>
      <c r="W272" s="532"/>
      <c r="X272" s="193"/>
      <c r="Y272" s="255"/>
      <c r="Z272" s="418">
        <v>1957240</v>
      </c>
      <c r="AA272" s="418">
        <v>2035520</v>
      </c>
      <c r="AB272" s="1410"/>
      <c r="AC272" s="1411"/>
      <c r="AD272" s="1412"/>
      <c r="AE272" s="184">
        <v>2881781.63</v>
      </c>
      <c r="AF272" s="185">
        <v>141293.16</v>
      </c>
      <c r="AG272" s="1410"/>
      <c r="AH272" s="1412"/>
      <c r="AI272" s="186">
        <v>0.7778848907181377</v>
      </c>
      <c r="AJ272" s="152" t="s">
        <v>143</v>
      </c>
      <c r="AK272" s="171"/>
      <c r="AL272" s="171"/>
      <c r="AM272" s="38"/>
      <c r="AN272" s="38"/>
      <c r="AO272" s="38"/>
      <c r="AP272" s="38"/>
      <c r="AQ272" s="38"/>
      <c r="AR272" s="38"/>
      <c r="AS272" s="38"/>
      <c r="AT272" s="38"/>
      <c r="AU272" s="38"/>
      <c r="AV272" s="38"/>
      <c r="AW272" s="38"/>
      <c r="AX272" s="38"/>
      <c r="AY272" s="38"/>
      <c r="AZ272" s="38"/>
      <c r="BA272" s="38"/>
      <c r="BB272" s="38"/>
      <c r="BC272" s="38"/>
      <c r="BD272" s="38"/>
      <c r="BE272" s="38"/>
      <c r="BF272" s="38"/>
    </row>
    <row r="273" spans="1:38" ht="15" customHeight="1">
      <c r="A273" s="153"/>
      <c r="B273" s="1420" t="s">
        <v>161</v>
      </c>
      <c r="C273" s="1421"/>
      <c r="D273" s="1421"/>
      <c r="E273" s="1421"/>
      <c r="F273" s="1421"/>
      <c r="G273" s="1421"/>
      <c r="H273" s="1421"/>
      <c r="I273" s="1421"/>
      <c r="J273" s="1421"/>
      <c r="K273" s="1422"/>
      <c r="L273" s="516">
        <v>1082478.92</v>
      </c>
      <c r="M273" s="517">
        <v>144000</v>
      </c>
      <c r="N273" s="517">
        <v>2296521.08</v>
      </c>
      <c r="O273" s="516">
        <v>0</v>
      </c>
      <c r="P273" s="517">
        <v>3523000</v>
      </c>
      <c r="Q273" s="518">
        <f>R273+S273+T273+U273</f>
        <v>1881960</v>
      </c>
      <c r="R273" s="472">
        <f>R272</f>
        <v>-1714578.98</v>
      </c>
      <c r="S273" s="472">
        <f>S272</f>
        <v>1115514</v>
      </c>
      <c r="T273" s="472">
        <f>T272</f>
        <v>1115514</v>
      </c>
      <c r="U273" s="472">
        <f>U272</f>
        <v>1365510.98</v>
      </c>
      <c r="V273" s="418">
        <f>V272</f>
        <v>1881960</v>
      </c>
      <c r="W273" s="535"/>
      <c r="X273" s="254"/>
      <c r="Y273" s="791"/>
      <c r="Z273" s="791"/>
      <c r="AA273" s="791"/>
      <c r="AB273" s="183"/>
      <c r="AC273" s="183"/>
      <c r="AD273" s="183"/>
      <c r="AE273" s="249"/>
      <c r="AF273" s="249"/>
      <c r="AG273" s="183"/>
      <c r="AH273" s="183"/>
      <c r="AI273" s="186"/>
      <c r="AJ273" s="152"/>
      <c r="AK273" s="30"/>
      <c r="AL273" s="30"/>
    </row>
    <row r="274" spans="1:58" s="173" customFormat="1" ht="27" customHeight="1">
      <c r="A274" s="151"/>
      <c r="B274" s="174"/>
      <c r="C274" s="175"/>
      <c r="D274" s="1571" t="s">
        <v>455</v>
      </c>
      <c r="E274" s="1571"/>
      <c r="F274" s="1571"/>
      <c r="G274" s="1571"/>
      <c r="H274" s="1571"/>
      <c r="I274" s="1571"/>
      <c r="J274" s="1571"/>
      <c r="K274" s="1571"/>
      <c r="L274" s="1571"/>
      <c r="M274" s="1571"/>
      <c r="N274" s="1571"/>
      <c r="O274" s="1571"/>
      <c r="P274" s="1571"/>
      <c r="Q274" s="1571"/>
      <c r="R274" s="1571"/>
      <c r="S274" s="1571"/>
      <c r="T274" s="1571"/>
      <c r="U274" s="1571"/>
      <c r="V274" s="1571"/>
      <c r="W274" s="1571"/>
      <c r="X274" s="791"/>
      <c r="Y274" s="175"/>
      <c r="Z274" s="175"/>
      <c r="AA274" s="175"/>
      <c r="AB274" s="175"/>
      <c r="AC274" s="175"/>
      <c r="AD274" s="175"/>
      <c r="AE274" s="175"/>
      <c r="AF274" s="175"/>
      <c r="AG274" s="175"/>
      <c r="AH274" s="175"/>
      <c r="AI274" s="190"/>
      <c r="AJ274" s="152" t="s">
        <v>143</v>
      </c>
      <c r="AK274" s="171"/>
      <c r="AL274" s="171"/>
      <c r="AM274" s="817"/>
      <c r="AN274" s="38"/>
      <c r="AO274" s="38"/>
      <c r="AP274" s="38"/>
      <c r="AQ274" s="38"/>
      <c r="AR274" s="38"/>
      <c r="AS274" s="38"/>
      <c r="AT274" s="38"/>
      <c r="AU274" s="38"/>
      <c r="AV274" s="38"/>
      <c r="AW274" s="38"/>
      <c r="AX274" s="38"/>
      <c r="AY274" s="38"/>
      <c r="AZ274" s="38"/>
      <c r="BA274" s="38"/>
      <c r="BB274" s="38"/>
      <c r="BC274" s="38"/>
      <c r="BD274" s="38"/>
      <c r="BE274" s="38"/>
      <c r="BF274" s="38"/>
    </row>
    <row r="275" spans="1:58" s="173" customFormat="1" ht="26.25" customHeight="1">
      <c r="A275" s="153"/>
      <c r="B275" s="174" t="s">
        <v>459</v>
      </c>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368"/>
      <c r="AA275" s="368"/>
      <c r="AB275" s="175"/>
      <c r="AC275" s="175"/>
      <c r="AD275" s="175"/>
      <c r="AE275" s="175"/>
      <c r="AF275" s="175"/>
      <c r="AG275" s="175"/>
      <c r="AH275" s="175"/>
      <c r="AI275" s="190"/>
      <c r="AJ275" s="152"/>
      <c r="AK275" s="171"/>
      <c r="AL275" s="171"/>
      <c r="AM275" s="817"/>
      <c r="AN275" s="38"/>
      <c r="AO275" s="38"/>
      <c r="AP275" s="38"/>
      <c r="AQ275" s="38"/>
      <c r="AR275" s="38"/>
      <c r="AS275" s="38"/>
      <c r="AT275" s="38"/>
      <c r="AU275" s="38"/>
      <c r="AV275" s="38"/>
      <c r="AW275" s="38"/>
      <c r="AX275" s="38"/>
      <c r="AY275" s="38"/>
      <c r="AZ275" s="38"/>
      <c r="BA275" s="38"/>
      <c r="BB275" s="38"/>
      <c r="BC275" s="38"/>
      <c r="BD275" s="38"/>
      <c r="BE275" s="38"/>
      <c r="BF275" s="38"/>
    </row>
    <row r="276" spans="1:58" s="173" customFormat="1" ht="23.25" customHeight="1">
      <c r="A276" s="153"/>
      <c r="B276" s="174"/>
      <c r="C276" s="175"/>
      <c r="D276" s="361">
        <v>656460011</v>
      </c>
      <c r="E276" s="362">
        <v>501</v>
      </c>
      <c r="F276" s="363">
        <v>656</v>
      </c>
      <c r="G276" s="536" t="s">
        <v>76</v>
      </c>
      <c r="H276" s="364" t="s">
        <v>91</v>
      </c>
      <c r="I276" s="364">
        <v>224</v>
      </c>
      <c r="J276" s="365">
        <v>0</v>
      </c>
      <c r="K276" s="192"/>
      <c r="L276" s="366">
        <v>50000</v>
      </c>
      <c r="M276" s="366">
        <v>0</v>
      </c>
      <c r="N276" s="366">
        <v>72736.33</v>
      </c>
      <c r="O276" s="366">
        <v>0</v>
      </c>
      <c r="P276" s="366">
        <v>122736.33</v>
      </c>
      <c r="Q276" s="367">
        <f>R276+S276+T276+U276</f>
        <v>100000</v>
      </c>
      <c r="R276" s="368">
        <v>50000</v>
      </c>
      <c r="S276" s="192">
        <v>50000</v>
      </c>
      <c r="T276" s="472">
        <v>0</v>
      </c>
      <c r="U276" s="192">
        <v>0</v>
      </c>
      <c r="V276" s="368"/>
      <c r="W276" s="537"/>
      <c r="X276" s="538"/>
      <c r="Y276" s="369"/>
      <c r="Z276" s="368"/>
      <c r="AA276" s="368"/>
      <c r="AB276" s="370"/>
      <c r="AC276" s="370"/>
      <c r="AD276" s="370"/>
      <c r="AE276" s="370">
        <v>0</v>
      </c>
      <c r="AF276" s="370">
        <v>0</v>
      </c>
      <c r="AG276" s="370"/>
      <c r="AH276" s="371"/>
      <c r="AI276" s="372">
        <v>0</v>
      </c>
      <c r="AJ276" s="152" t="s">
        <v>143</v>
      </c>
      <c r="AK276" s="171"/>
      <c r="AL276" s="171"/>
      <c r="AM276" s="817"/>
      <c r="AN276" s="38"/>
      <c r="AO276" s="38"/>
      <c r="AP276" s="38"/>
      <c r="AQ276" s="38"/>
      <c r="AR276" s="38"/>
      <c r="AS276" s="38"/>
      <c r="AT276" s="38"/>
      <c r="AU276" s="38"/>
      <c r="AV276" s="38"/>
      <c r="AW276" s="38"/>
      <c r="AX276" s="38"/>
      <c r="AY276" s="38"/>
      <c r="AZ276" s="38"/>
      <c r="BA276" s="38"/>
      <c r="BB276" s="38"/>
      <c r="BC276" s="38"/>
      <c r="BD276" s="38"/>
      <c r="BE276" s="38"/>
      <c r="BF276" s="38"/>
    </row>
    <row r="277" spans="1:58" s="173" customFormat="1" ht="23.25" customHeight="1">
      <c r="A277" s="153"/>
      <c r="B277" s="174"/>
      <c r="C277" s="175"/>
      <c r="D277" s="361"/>
      <c r="E277" s="362"/>
      <c r="F277" s="363"/>
      <c r="G277" s="536"/>
      <c r="H277" s="364"/>
      <c r="I277" s="364">
        <v>223</v>
      </c>
      <c r="J277" s="365"/>
      <c r="K277" s="192"/>
      <c r="L277" s="366"/>
      <c r="M277" s="366"/>
      <c r="N277" s="366"/>
      <c r="O277" s="366"/>
      <c r="P277" s="366"/>
      <c r="Q277" s="367"/>
      <c r="R277" s="368"/>
      <c r="S277" s="192"/>
      <c r="T277" s="472"/>
      <c r="U277" s="192"/>
      <c r="V277" s="368">
        <v>15000</v>
      </c>
      <c r="W277" s="537" t="s">
        <v>460</v>
      </c>
      <c r="X277" s="542">
        <f>15000+54700+30000</f>
        <v>99700</v>
      </c>
      <c r="Y277" s="537" t="s">
        <v>460</v>
      </c>
      <c r="Z277" s="368"/>
      <c r="AA277" s="368"/>
      <c r="AB277" s="370"/>
      <c r="AC277" s="370"/>
      <c r="AD277" s="370"/>
      <c r="AE277" s="370"/>
      <c r="AF277" s="370"/>
      <c r="AG277" s="370"/>
      <c r="AH277" s="371"/>
      <c r="AI277" s="372"/>
      <c r="AJ277" s="152"/>
      <c r="AK277" s="171"/>
      <c r="AL277" s="171"/>
      <c r="AM277" s="817"/>
      <c r="AN277" s="38"/>
      <c r="AO277" s="38"/>
      <c r="AP277" s="38"/>
      <c r="AQ277" s="38"/>
      <c r="AR277" s="38"/>
      <c r="AS277" s="38"/>
      <c r="AT277" s="38"/>
      <c r="AU277" s="38"/>
      <c r="AV277" s="38"/>
      <c r="AW277" s="38"/>
      <c r="AX277" s="38"/>
      <c r="AY277" s="38"/>
      <c r="AZ277" s="38"/>
      <c r="BA277" s="38"/>
      <c r="BB277" s="38"/>
      <c r="BC277" s="38"/>
      <c r="BD277" s="38"/>
      <c r="BE277" s="38"/>
      <c r="BF277" s="38"/>
    </row>
    <row r="278" spans="1:58" s="173" customFormat="1" ht="34.5" customHeight="1">
      <c r="A278" s="153"/>
      <c r="B278" s="359" t="s">
        <v>300</v>
      </c>
      <c r="C278" s="360" t="s">
        <v>300</v>
      </c>
      <c r="D278" s="361"/>
      <c r="E278" s="362">
        <v>501</v>
      </c>
      <c r="F278" s="363">
        <v>656</v>
      </c>
      <c r="G278" s="536" t="s">
        <v>76</v>
      </c>
      <c r="H278" s="364" t="s">
        <v>91</v>
      </c>
      <c r="I278" s="364">
        <v>225</v>
      </c>
      <c r="J278" s="365">
        <v>0</v>
      </c>
      <c r="K278" s="192"/>
      <c r="L278" s="366">
        <v>50000</v>
      </c>
      <c r="M278" s="366">
        <v>0</v>
      </c>
      <c r="N278" s="366">
        <v>72736.33</v>
      </c>
      <c r="O278" s="366">
        <v>0</v>
      </c>
      <c r="P278" s="366">
        <v>122736.33</v>
      </c>
      <c r="Q278" s="367">
        <f>R278+S278+T278+U278</f>
        <v>100000</v>
      </c>
      <c r="R278" s="368">
        <v>50000</v>
      </c>
      <c r="S278" s="192">
        <v>50000</v>
      </c>
      <c r="T278" s="472">
        <v>0</v>
      </c>
      <c r="U278" s="192">
        <v>0</v>
      </c>
      <c r="V278" s="368">
        <v>15000</v>
      </c>
      <c r="W278" s="539" t="s">
        <v>460</v>
      </c>
      <c r="X278" s="542">
        <f>15000+6851.7</f>
        <v>21851.7</v>
      </c>
      <c r="Y278" s="539" t="s">
        <v>460</v>
      </c>
      <c r="Z278" s="984"/>
      <c r="AA278" s="984"/>
      <c r="AB278" s="370"/>
      <c r="AC278" s="370"/>
      <c r="AD278" s="370"/>
      <c r="AE278" s="370"/>
      <c r="AF278" s="370"/>
      <c r="AG278" s="370"/>
      <c r="AH278" s="371"/>
      <c r="AI278" s="372"/>
      <c r="AJ278" s="152"/>
      <c r="AK278" s="171"/>
      <c r="AL278" s="171"/>
      <c r="AM278" s="817"/>
      <c r="AN278" s="38"/>
      <c r="AO278" s="38"/>
      <c r="AP278" s="38"/>
      <c r="AQ278" s="38"/>
      <c r="AR278" s="38"/>
      <c r="AS278" s="38"/>
      <c r="AT278" s="38"/>
      <c r="AU278" s="38"/>
      <c r="AV278" s="38"/>
      <c r="AW278" s="38"/>
      <c r="AX278" s="38"/>
      <c r="AY278" s="38"/>
      <c r="AZ278" s="38"/>
      <c r="BA278" s="38"/>
      <c r="BB278" s="38"/>
      <c r="BC278" s="38"/>
      <c r="BD278" s="38"/>
      <c r="BE278" s="38"/>
      <c r="BF278" s="38"/>
    </row>
    <row r="279" spans="1:58" s="173" customFormat="1" ht="39.75" customHeight="1">
      <c r="A279" s="153"/>
      <c r="B279" s="359"/>
      <c r="C279" s="360"/>
      <c r="D279" s="975"/>
      <c r="E279" s="976"/>
      <c r="F279" s="977"/>
      <c r="G279" s="978" t="s">
        <v>77</v>
      </c>
      <c r="H279" s="979" t="s">
        <v>91</v>
      </c>
      <c r="I279" s="979">
        <v>226</v>
      </c>
      <c r="J279" s="980"/>
      <c r="K279" s="981"/>
      <c r="L279" s="982"/>
      <c r="M279" s="982"/>
      <c r="N279" s="982"/>
      <c r="O279" s="982"/>
      <c r="P279" s="982"/>
      <c r="Q279" s="983"/>
      <c r="R279" s="984"/>
      <c r="S279" s="981"/>
      <c r="T279" s="985"/>
      <c r="U279" s="981"/>
      <c r="V279" s="984">
        <v>0</v>
      </c>
      <c r="W279" s="986" t="s">
        <v>301</v>
      </c>
      <c r="X279" s="193"/>
      <c r="Y279" s="369"/>
      <c r="Z279" s="368"/>
      <c r="AA279" s="368"/>
      <c r="AB279" s="370"/>
      <c r="AC279" s="370"/>
      <c r="AD279" s="370"/>
      <c r="AE279" s="370"/>
      <c r="AF279" s="370"/>
      <c r="AG279" s="370"/>
      <c r="AH279" s="371"/>
      <c r="AI279" s="372"/>
      <c r="AJ279" s="152"/>
      <c r="AK279" s="171"/>
      <c r="AL279" s="171"/>
      <c r="AM279" s="817"/>
      <c r="AN279" s="38"/>
      <c r="AO279" s="38"/>
      <c r="AP279" s="38"/>
      <c r="AQ279" s="38"/>
      <c r="AR279" s="38"/>
      <c r="AS279" s="38"/>
      <c r="AT279" s="38"/>
      <c r="AU279" s="38"/>
      <c r="AV279" s="38"/>
      <c r="AW279" s="38"/>
      <c r="AX279" s="38"/>
      <c r="AY279" s="38"/>
      <c r="AZ279" s="38"/>
      <c r="BA279" s="38"/>
      <c r="BB279" s="38"/>
      <c r="BC279" s="38"/>
      <c r="BD279" s="38"/>
      <c r="BE279" s="38"/>
      <c r="BF279" s="38"/>
    </row>
    <row r="280" spans="1:58" s="173" customFormat="1" ht="21.75" customHeight="1">
      <c r="A280" s="153"/>
      <c r="B280" s="359"/>
      <c r="C280" s="360"/>
      <c r="D280" s="361"/>
      <c r="E280" s="362"/>
      <c r="F280" s="363"/>
      <c r="G280" s="536"/>
      <c r="H280" s="364" t="s">
        <v>91</v>
      </c>
      <c r="I280" s="364">
        <v>226</v>
      </c>
      <c r="J280" s="365"/>
      <c r="K280" s="192"/>
      <c r="L280" s="366"/>
      <c r="M280" s="366"/>
      <c r="N280" s="366"/>
      <c r="O280" s="366"/>
      <c r="P280" s="366"/>
      <c r="Q280" s="367"/>
      <c r="R280" s="368"/>
      <c r="S280" s="192"/>
      <c r="T280" s="472"/>
      <c r="U280" s="192"/>
      <c r="V280" s="368">
        <v>0</v>
      </c>
      <c r="W280" s="539"/>
      <c r="X280" s="193"/>
      <c r="Y280" s="369"/>
      <c r="Z280" s="368"/>
      <c r="AA280" s="368"/>
      <c r="AB280" s="370"/>
      <c r="AC280" s="370"/>
      <c r="AD280" s="370"/>
      <c r="AE280" s="370">
        <v>71268.36</v>
      </c>
      <c r="AF280" s="370">
        <v>0</v>
      </c>
      <c r="AG280" s="370"/>
      <c r="AH280" s="371"/>
      <c r="AI280" s="372"/>
      <c r="AJ280" s="152" t="s">
        <v>143</v>
      </c>
      <c r="AK280" s="171"/>
      <c r="AL280" s="171"/>
      <c r="AM280" s="817"/>
      <c r="AN280" s="38"/>
      <c r="AO280" s="38"/>
      <c r="AP280" s="38"/>
      <c r="AQ280" s="38"/>
      <c r="AR280" s="38"/>
      <c r="AS280" s="38"/>
      <c r="AT280" s="38"/>
      <c r="AU280" s="38"/>
      <c r="AV280" s="38"/>
      <c r="AW280" s="38"/>
      <c r="AX280" s="38"/>
      <c r="AY280" s="38"/>
      <c r="AZ280" s="38"/>
      <c r="BA280" s="38"/>
      <c r="BB280" s="38"/>
      <c r="BC280" s="38"/>
      <c r="BD280" s="38"/>
      <c r="BE280" s="38"/>
      <c r="BF280" s="38"/>
    </row>
    <row r="281" spans="1:58" s="173" customFormat="1" ht="26.25" customHeight="1">
      <c r="A281" s="153"/>
      <c r="B281" s="359" t="s">
        <v>300</v>
      </c>
      <c r="C281" s="360" t="s">
        <v>300</v>
      </c>
      <c r="D281" s="361"/>
      <c r="E281" s="362"/>
      <c r="F281" s="363"/>
      <c r="G281" s="536"/>
      <c r="H281" s="364" t="s">
        <v>91</v>
      </c>
      <c r="I281" s="364">
        <v>226</v>
      </c>
      <c r="J281" s="365">
        <v>0</v>
      </c>
      <c r="K281" s="192"/>
      <c r="L281" s="366">
        <v>0</v>
      </c>
      <c r="M281" s="366">
        <v>0</v>
      </c>
      <c r="N281" s="366">
        <v>0</v>
      </c>
      <c r="O281" s="366">
        <v>0</v>
      </c>
      <c r="P281" s="366">
        <v>0</v>
      </c>
      <c r="Q281" s="367">
        <f aca="true" t="shared" si="3" ref="Q281:Q287">R281+S281+T281+U281</f>
        <v>0</v>
      </c>
      <c r="R281" s="192"/>
      <c r="S281" s="192"/>
      <c r="T281" s="192"/>
      <c r="U281" s="192"/>
      <c r="V281" s="368">
        <v>0</v>
      </c>
      <c r="W281" s="366" t="s">
        <v>302</v>
      </c>
      <c r="X281" s="542">
        <v>70000</v>
      </c>
      <c r="Y281" s="369"/>
      <c r="Z281" s="368"/>
      <c r="AA281" s="368"/>
      <c r="AB281" s="370"/>
      <c r="AC281" s="370"/>
      <c r="AD281" s="370"/>
      <c r="AE281" s="370">
        <v>0</v>
      </c>
      <c r="AF281" s="370">
        <v>0</v>
      </c>
      <c r="AG281" s="370"/>
      <c r="AH281" s="371"/>
      <c r="AI281" s="372">
        <v>0</v>
      </c>
      <c r="AJ281" s="152" t="s">
        <v>143</v>
      </c>
      <c r="AK281" s="171"/>
      <c r="AL281" s="171"/>
      <c r="AM281" s="817"/>
      <c r="AN281" s="38"/>
      <c r="AO281" s="38"/>
      <c r="AP281" s="38"/>
      <c r="AQ281" s="38"/>
      <c r="AR281" s="38"/>
      <c r="AS281" s="38"/>
      <c r="AT281" s="38"/>
      <c r="AU281" s="38"/>
      <c r="AV281" s="38"/>
      <c r="AW281" s="38"/>
      <c r="AX281" s="38"/>
      <c r="AY281" s="38"/>
      <c r="AZ281" s="38"/>
      <c r="BA281" s="38"/>
      <c r="BB281" s="38"/>
      <c r="BC281" s="38"/>
      <c r="BD281" s="38"/>
      <c r="BE281" s="38"/>
      <c r="BF281" s="38"/>
    </row>
    <row r="282" spans="1:58" s="173" customFormat="1" ht="12.75" customHeight="1">
      <c r="A282" s="153"/>
      <c r="B282" s="359" t="s">
        <v>300</v>
      </c>
      <c r="C282" s="360" t="s">
        <v>300</v>
      </c>
      <c r="D282" s="361"/>
      <c r="E282" s="362">
        <v>501</v>
      </c>
      <c r="F282" s="363">
        <v>656</v>
      </c>
      <c r="G282" s="536" t="s">
        <v>76</v>
      </c>
      <c r="H282" s="364" t="s">
        <v>91</v>
      </c>
      <c r="I282" s="364">
        <v>226</v>
      </c>
      <c r="J282" s="365">
        <v>0</v>
      </c>
      <c r="K282" s="192"/>
      <c r="L282" s="366">
        <v>50000</v>
      </c>
      <c r="M282" s="366">
        <v>0</v>
      </c>
      <c r="N282" s="366">
        <v>72736.33</v>
      </c>
      <c r="O282" s="366">
        <v>0</v>
      </c>
      <c r="P282" s="366">
        <v>122736.33</v>
      </c>
      <c r="Q282" s="367">
        <f t="shared" si="3"/>
        <v>100000</v>
      </c>
      <c r="R282" s="368">
        <v>50000</v>
      </c>
      <c r="S282" s="192">
        <v>50000</v>
      </c>
      <c r="T282" s="472">
        <v>0</v>
      </c>
      <c r="U282" s="192">
        <v>0</v>
      </c>
      <c r="V282" s="368">
        <v>120000</v>
      </c>
      <c r="W282" s="192" t="s">
        <v>590</v>
      </c>
      <c r="X282" s="193">
        <v>100000</v>
      </c>
      <c r="Y282" s="192" t="s">
        <v>590</v>
      </c>
      <c r="Z282" s="368"/>
      <c r="AA282" s="368"/>
      <c r="AB282" s="370"/>
      <c r="AC282" s="370"/>
      <c r="AD282" s="370"/>
      <c r="AE282" s="370">
        <v>0</v>
      </c>
      <c r="AF282" s="370">
        <v>0</v>
      </c>
      <c r="AG282" s="370"/>
      <c r="AH282" s="371"/>
      <c r="AI282" s="372">
        <v>0</v>
      </c>
      <c r="AJ282" s="152" t="s">
        <v>143</v>
      </c>
      <c r="AK282" s="171"/>
      <c r="AL282" s="171"/>
      <c r="AM282" s="817"/>
      <c r="AN282" s="38"/>
      <c r="AO282" s="38"/>
      <c r="AP282" s="38"/>
      <c r="AQ282" s="38"/>
      <c r="AR282" s="38"/>
      <c r="AS282" s="38"/>
      <c r="AT282" s="38"/>
      <c r="AU282" s="38"/>
      <c r="AV282" s="38"/>
      <c r="AW282" s="38"/>
      <c r="AX282" s="38"/>
      <c r="AY282" s="38"/>
      <c r="AZ282" s="38"/>
      <c r="BA282" s="38"/>
      <c r="BB282" s="38"/>
      <c r="BC282" s="38"/>
      <c r="BD282" s="38"/>
      <c r="BE282" s="38"/>
      <c r="BF282" s="38"/>
    </row>
    <row r="283" spans="1:58" s="173" customFormat="1" ht="12.75" customHeight="1">
      <c r="A283" s="153"/>
      <c r="B283" s="359" t="s">
        <v>300</v>
      </c>
      <c r="C283" s="360" t="s">
        <v>300</v>
      </c>
      <c r="D283" s="361"/>
      <c r="E283" s="362">
        <v>501</v>
      </c>
      <c r="F283" s="363">
        <v>656</v>
      </c>
      <c r="G283" s="536" t="s">
        <v>76</v>
      </c>
      <c r="H283" s="364" t="s">
        <v>91</v>
      </c>
      <c r="I283" s="364">
        <v>226</v>
      </c>
      <c r="J283" s="365">
        <v>0</v>
      </c>
      <c r="K283" s="192"/>
      <c r="L283" s="366">
        <v>50000</v>
      </c>
      <c r="M283" s="366">
        <v>0</v>
      </c>
      <c r="N283" s="366">
        <v>72736.33</v>
      </c>
      <c r="O283" s="366">
        <v>0</v>
      </c>
      <c r="P283" s="366">
        <v>122736.33</v>
      </c>
      <c r="Q283" s="367">
        <f t="shared" si="3"/>
        <v>100000</v>
      </c>
      <c r="R283" s="368">
        <v>50000</v>
      </c>
      <c r="S283" s="192">
        <v>50000</v>
      </c>
      <c r="T283" s="472">
        <v>0</v>
      </c>
      <c r="U283" s="192">
        <v>0</v>
      </c>
      <c r="V283" s="368">
        <v>50000</v>
      </c>
      <c r="W283" s="192" t="s">
        <v>303</v>
      </c>
      <c r="X283" s="193">
        <v>30000</v>
      </c>
      <c r="Y283" s="192" t="s">
        <v>303</v>
      </c>
      <c r="Z283" s="368"/>
      <c r="AA283" s="368"/>
      <c r="AB283" s="370"/>
      <c r="AC283" s="370"/>
      <c r="AD283" s="370"/>
      <c r="AE283" s="370">
        <v>0</v>
      </c>
      <c r="AF283" s="370">
        <v>0</v>
      </c>
      <c r="AG283" s="370"/>
      <c r="AH283" s="371"/>
      <c r="AI283" s="372">
        <v>0</v>
      </c>
      <c r="AJ283" s="152" t="s">
        <v>143</v>
      </c>
      <c r="AK283" s="171"/>
      <c r="AL283" s="171"/>
      <c r="AM283" s="817"/>
      <c r="AN283" s="38"/>
      <c r="AO283" s="38"/>
      <c r="AP283" s="38"/>
      <c r="AQ283" s="38"/>
      <c r="AR283" s="38"/>
      <c r="AS283" s="38"/>
      <c r="AT283" s="38"/>
      <c r="AU283" s="38"/>
      <c r="AV283" s="38"/>
      <c r="AW283" s="38"/>
      <c r="AX283" s="38"/>
      <c r="AY283" s="38"/>
      <c r="AZ283" s="38"/>
      <c r="BA283" s="38"/>
      <c r="BB283" s="38"/>
      <c r="BC283" s="38"/>
      <c r="BD283" s="38"/>
      <c r="BE283" s="38"/>
      <c r="BF283" s="38"/>
    </row>
    <row r="284" spans="1:58" s="173" customFormat="1" ht="21.75" customHeight="1">
      <c r="A284" s="153"/>
      <c r="B284" s="359" t="s">
        <v>300</v>
      </c>
      <c r="C284" s="360" t="s">
        <v>300</v>
      </c>
      <c r="D284" s="361"/>
      <c r="E284" s="362"/>
      <c r="F284" s="363"/>
      <c r="G284" s="536"/>
      <c r="H284" s="364" t="s">
        <v>91</v>
      </c>
      <c r="I284" s="364">
        <v>226</v>
      </c>
      <c r="J284" s="365">
        <v>0</v>
      </c>
      <c r="K284" s="192"/>
      <c r="L284" s="366">
        <v>50000</v>
      </c>
      <c r="M284" s="366">
        <v>0</v>
      </c>
      <c r="N284" s="366">
        <v>72736.33</v>
      </c>
      <c r="O284" s="366">
        <v>0</v>
      </c>
      <c r="P284" s="366">
        <v>122736.33</v>
      </c>
      <c r="Q284" s="367">
        <f t="shared" si="3"/>
        <v>100000</v>
      </c>
      <c r="R284" s="368">
        <v>50000</v>
      </c>
      <c r="S284" s="192">
        <v>50000</v>
      </c>
      <c r="T284" s="472">
        <v>0</v>
      </c>
      <c r="U284" s="192">
        <v>0</v>
      </c>
      <c r="V284" s="368">
        <v>0</v>
      </c>
      <c r="W284" s="192" t="s">
        <v>304</v>
      </c>
      <c r="X284" s="193"/>
      <c r="Y284" s="369"/>
      <c r="Z284" s="368"/>
      <c r="AA284" s="368"/>
      <c r="AB284" s="370"/>
      <c r="AC284" s="370"/>
      <c r="AD284" s="370"/>
      <c r="AE284" s="370">
        <v>0</v>
      </c>
      <c r="AF284" s="370">
        <v>0</v>
      </c>
      <c r="AG284" s="370"/>
      <c r="AH284" s="371"/>
      <c r="AI284" s="372">
        <v>0</v>
      </c>
      <c r="AJ284" s="152" t="s">
        <v>143</v>
      </c>
      <c r="AK284" s="171"/>
      <c r="AL284" s="171"/>
      <c r="AM284" s="817"/>
      <c r="AN284" s="38"/>
      <c r="AO284" s="38"/>
      <c r="AP284" s="38"/>
      <c r="AQ284" s="38"/>
      <c r="AR284" s="38"/>
      <c r="AS284" s="38"/>
      <c r="AT284" s="38"/>
      <c r="AU284" s="38"/>
      <c r="AV284" s="38"/>
      <c r="AW284" s="38"/>
      <c r="AX284" s="38"/>
      <c r="AY284" s="38"/>
      <c r="AZ284" s="38"/>
      <c r="BA284" s="38"/>
      <c r="BB284" s="38"/>
      <c r="BC284" s="38"/>
      <c r="BD284" s="38"/>
      <c r="BE284" s="38"/>
      <c r="BF284" s="38"/>
    </row>
    <row r="285" spans="1:58" s="173" customFormat="1" ht="21.75" customHeight="1">
      <c r="A285" s="153"/>
      <c r="B285" s="359" t="s">
        <v>300</v>
      </c>
      <c r="C285" s="360" t="s">
        <v>300</v>
      </c>
      <c r="D285" s="361"/>
      <c r="E285" s="362"/>
      <c r="F285" s="363"/>
      <c r="G285" s="536"/>
      <c r="H285" s="364" t="s">
        <v>91</v>
      </c>
      <c r="I285" s="364">
        <v>226</v>
      </c>
      <c r="J285" s="365">
        <v>0</v>
      </c>
      <c r="K285" s="192"/>
      <c r="L285" s="366">
        <v>50000</v>
      </c>
      <c r="M285" s="366">
        <v>0</v>
      </c>
      <c r="N285" s="366">
        <v>72736.33</v>
      </c>
      <c r="O285" s="366">
        <v>0</v>
      </c>
      <c r="P285" s="366">
        <v>122736.33</v>
      </c>
      <c r="Q285" s="367">
        <f t="shared" si="3"/>
        <v>100000</v>
      </c>
      <c r="R285" s="368">
        <v>50000</v>
      </c>
      <c r="S285" s="192">
        <v>50000</v>
      </c>
      <c r="T285" s="472">
        <v>0</v>
      </c>
      <c r="U285" s="192">
        <v>0</v>
      </c>
      <c r="V285" s="368"/>
      <c r="W285" s="366"/>
      <c r="X285" s="193"/>
      <c r="Y285" s="369"/>
      <c r="Z285" s="368"/>
      <c r="AA285" s="368"/>
      <c r="AB285" s="370"/>
      <c r="AC285" s="370"/>
      <c r="AD285" s="370"/>
      <c r="AE285" s="370">
        <v>0</v>
      </c>
      <c r="AF285" s="370">
        <v>0</v>
      </c>
      <c r="AG285" s="370"/>
      <c r="AH285" s="371"/>
      <c r="AI285" s="372">
        <v>0</v>
      </c>
      <c r="AJ285" s="152" t="s">
        <v>143</v>
      </c>
      <c r="AK285" s="171"/>
      <c r="AL285" s="171"/>
      <c r="AM285" s="817"/>
      <c r="AN285" s="38"/>
      <c r="AO285" s="38"/>
      <c r="AP285" s="38"/>
      <c r="AQ285" s="38"/>
      <c r="AR285" s="38"/>
      <c r="AS285" s="38"/>
      <c r="AT285" s="38"/>
      <c r="AU285" s="38"/>
      <c r="AV285" s="38"/>
      <c r="AW285" s="38"/>
      <c r="AX285" s="38"/>
      <c r="AY285" s="38"/>
      <c r="AZ285" s="38"/>
      <c r="BA285" s="38"/>
      <c r="BB285" s="38"/>
      <c r="BC285" s="38"/>
      <c r="BD285" s="38"/>
      <c r="BE285" s="38"/>
      <c r="BF285" s="38"/>
    </row>
    <row r="286" spans="1:58" s="173" customFormat="1" ht="12.75" customHeight="1">
      <c r="A286" s="153"/>
      <c r="B286" s="359" t="s">
        <v>300</v>
      </c>
      <c r="C286" s="360" t="s">
        <v>300</v>
      </c>
      <c r="D286" s="361"/>
      <c r="E286" s="362"/>
      <c r="F286" s="363"/>
      <c r="G286" s="536"/>
      <c r="H286" s="364" t="s">
        <v>91</v>
      </c>
      <c r="I286" s="364">
        <v>226</v>
      </c>
      <c r="J286" s="365">
        <v>0</v>
      </c>
      <c r="K286" s="192"/>
      <c r="L286" s="366">
        <v>50000</v>
      </c>
      <c r="M286" s="366">
        <v>0</v>
      </c>
      <c r="N286" s="366">
        <v>72736.33</v>
      </c>
      <c r="O286" s="366">
        <v>0</v>
      </c>
      <c r="P286" s="366">
        <v>122736.33</v>
      </c>
      <c r="Q286" s="367">
        <f t="shared" si="3"/>
        <v>100000</v>
      </c>
      <c r="R286" s="368">
        <v>50000</v>
      </c>
      <c r="S286" s="192">
        <v>50000</v>
      </c>
      <c r="T286" s="472">
        <v>0</v>
      </c>
      <c r="U286" s="192">
        <v>0</v>
      </c>
      <c r="V286" s="368">
        <v>0</v>
      </c>
      <c r="W286" s="366"/>
      <c r="X286" s="193"/>
      <c r="Y286" s="474"/>
      <c r="Z286" s="472">
        <f>SUM(Z275:Z284)</f>
        <v>0</v>
      </c>
      <c r="AA286" s="472">
        <f>SUM(AA275:AA284)</f>
        <v>0</v>
      </c>
      <c r="AB286" s="1518"/>
      <c r="AC286" s="1524"/>
      <c r="AD286" s="1519"/>
      <c r="AE286" s="521">
        <v>71268.36</v>
      </c>
      <c r="AF286" s="522">
        <v>0</v>
      </c>
      <c r="AG286" s="1518"/>
      <c r="AH286" s="1519"/>
      <c r="AI286" s="523">
        <v>0.580662302677618</v>
      </c>
      <c r="AJ286" s="152" t="s">
        <v>143</v>
      </c>
      <c r="AK286" s="171"/>
      <c r="AL286" s="171"/>
      <c r="AM286" s="817"/>
      <c r="AN286" s="38"/>
      <c r="AO286" s="38"/>
      <c r="AP286" s="38"/>
      <c r="AQ286" s="38"/>
      <c r="AR286" s="38"/>
      <c r="AS286" s="38"/>
      <c r="AT286" s="38"/>
      <c r="AU286" s="38"/>
      <c r="AV286" s="38"/>
      <c r="AW286" s="38"/>
      <c r="AX286" s="38"/>
      <c r="AY286" s="38"/>
      <c r="AZ286" s="38"/>
      <c r="BA286" s="38"/>
      <c r="BB286" s="38"/>
      <c r="BC286" s="38"/>
      <c r="BD286" s="38"/>
      <c r="BE286" s="38"/>
      <c r="BF286" s="38"/>
    </row>
    <row r="287" spans="1:39" ht="10.5" customHeight="1">
      <c r="A287" s="153"/>
      <c r="B287" s="1420" t="s">
        <v>161</v>
      </c>
      <c r="C287" s="1421"/>
      <c r="D287" s="1421"/>
      <c r="E287" s="1421"/>
      <c r="F287" s="1421"/>
      <c r="G287" s="1421"/>
      <c r="H287" s="1421"/>
      <c r="I287" s="1421"/>
      <c r="J287" s="1421"/>
      <c r="K287" s="1422"/>
      <c r="L287" s="516">
        <v>50000</v>
      </c>
      <c r="M287" s="517">
        <v>0</v>
      </c>
      <c r="N287" s="517">
        <v>72736.33</v>
      </c>
      <c r="O287" s="516">
        <v>0</v>
      </c>
      <c r="P287" s="517">
        <v>122736.33</v>
      </c>
      <c r="Q287" s="518">
        <f t="shared" si="3"/>
        <v>100000</v>
      </c>
      <c r="R287" s="472">
        <f>R282</f>
        <v>50000</v>
      </c>
      <c r="S287" s="472">
        <f>S282</f>
        <v>50000</v>
      </c>
      <c r="T287" s="472">
        <f>T282</f>
        <v>0</v>
      </c>
      <c r="U287" s="472">
        <f>U282</f>
        <v>0</v>
      </c>
      <c r="V287" s="472">
        <f>SUM(V276:V285)</f>
        <v>200000</v>
      </c>
      <c r="W287" s="473"/>
      <c r="X287" s="382">
        <f>SUM(X276:X286)</f>
        <v>321551.7</v>
      </c>
      <c r="Y287" s="793"/>
      <c r="Z287" s="793"/>
      <c r="AA287" s="793"/>
      <c r="AB287" s="793"/>
      <c r="AC287" s="793"/>
      <c r="AD287" s="793"/>
      <c r="AE287" s="793"/>
      <c r="AF287" s="793"/>
      <c r="AG287" s="793"/>
      <c r="AH287" s="793"/>
      <c r="AI287" s="794"/>
      <c r="AJ287" s="152" t="s">
        <v>143</v>
      </c>
      <c r="AK287" s="30"/>
      <c r="AL287" s="30"/>
      <c r="AM287" s="817"/>
    </row>
    <row r="288" spans="1:39" ht="12.75" customHeight="1">
      <c r="A288" s="151"/>
      <c r="B288" s="792" t="s">
        <v>299</v>
      </c>
      <c r="C288" s="793"/>
      <c r="D288" s="793"/>
      <c r="E288" s="793"/>
      <c r="F288" s="793"/>
      <c r="G288" s="793"/>
      <c r="H288" s="793"/>
      <c r="I288" s="793"/>
      <c r="J288" s="793"/>
      <c r="K288" s="793"/>
      <c r="L288" s="793"/>
      <c r="M288" s="793"/>
      <c r="N288" s="793"/>
      <c r="O288" s="793"/>
      <c r="P288" s="793"/>
      <c r="Q288" s="793"/>
      <c r="R288" s="793"/>
      <c r="S288" s="793"/>
      <c r="T288" s="793"/>
      <c r="U288" s="793"/>
      <c r="V288" s="793"/>
      <c r="W288" s="793"/>
      <c r="X288" s="793"/>
      <c r="Y288" s="194"/>
      <c r="Z288" s="162"/>
      <c r="AA288" s="464"/>
      <c r="AB288" s="168"/>
      <c r="AC288" s="168"/>
      <c r="AD288" s="168"/>
      <c r="AE288" s="168">
        <v>12101761.37</v>
      </c>
      <c r="AF288" s="168">
        <v>0</v>
      </c>
      <c r="AG288" s="168"/>
      <c r="AH288" s="169"/>
      <c r="AI288" s="170">
        <v>0.49948271729305177</v>
      </c>
      <c r="AJ288" s="152" t="s">
        <v>143</v>
      </c>
      <c r="AK288" s="30"/>
      <c r="AL288" s="30"/>
      <c r="AM288" s="817"/>
    </row>
    <row r="289" spans="1:38" ht="12.75" customHeight="1">
      <c r="A289" s="151"/>
      <c r="B289" s="154" t="s">
        <v>306</v>
      </c>
      <c r="C289" s="155" t="s">
        <v>306</v>
      </c>
      <c r="D289" s="156"/>
      <c r="E289" s="157"/>
      <c r="F289" s="158">
        <v>656</v>
      </c>
      <c r="G289" s="250"/>
      <c r="H289" s="160"/>
      <c r="I289" s="160"/>
      <c r="J289" s="161">
        <v>0</v>
      </c>
      <c r="K289" s="162"/>
      <c r="L289" s="165">
        <v>7678790.880000001</v>
      </c>
      <c r="M289" s="165">
        <v>3204357.92</v>
      </c>
      <c r="N289" s="165">
        <v>4241000</v>
      </c>
      <c r="O289" s="165">
        <v>9104440</v>
      </c>
      <c r="P289" s="165">
        <v>24228588.8</v>
      </c>
      <c r="Q289" s="167"/>
      <c r="R289" s="481"/>
      <c r="S289" s="481"/>
      <c r="T289" s="481"/>
      <c r="U289" s="481"/>
      <c r="V289" s="195"/>
      <c r="W289" s="162"/>
      <c r="X289" s="193"/>
      <c r="Y289" s="255"/>
      <c r="Z289" s="253"/>
      <c r="AA289" s="489"/>
      <c r="AB289" s="1410"/>
      <c r="AC289" s="1411"/>
      <c r="AD289" s="1412"/>
      <c r="AE289" s="184">
        <v>12101761.37</v>
      </c>
      <c r="AF289" s="185">
        <v>0</v>
      </c>
      <c r="AG289" s="1410"/>
      <c r="AH289" s="1412"/>
      <c r="AI289" s="186">
        <v>0.49948271729305177</v>
      </c>
      <c r="AJ289" s="152" t="s">
        <v>143</v>
      </c>
      <c r="AK289" s="30"/>
      <c r="AL289" s="30"/>
    </row>
    <row r="290" spans="1:38" ht="25.5" customHeight="1">
      <c r="A290" s="151"/>
      <c r="B290" s="1413" t="s">
        <v>161</v>
      </c>
      <c r="C290" s="1414"/>
      <c r="D290" s="1414"/>
      <c r="E290" s="1414"/>
      <c r="F290" s="1414"/>
      <c r="G290" s="1414"/>
      <c r="H290" s="1414"/>
      <c r="I290" s="1414"/>
      <c r="J290" s="1414"/>
      <c r="K290" s="1415"/>
      <c r="L290" s="408">
        <v>7678790.88</v>
      </c>
      <c r="M290" s="180">
        <v>3204357.92</v>
      </c>
      <c r="N290" s="180">
        <v>4241000</v>
      </c>
      <c r="O290" s="408">
        <v>9104440</v>
      </c>
      <c r="P290" s="180">
        <v>24228588.8</v>
      </c>
      <c r="Q290" s="164"/>
      <c r="R290" s="409"/>
      <c r="S290" s="410"/>
      <c r="T290" s="409"/>
      <c r="U290" s="410"/>
      <c r="V290" s="252"/>
      <c r="W290" s="253"/>
      <c r="X290" s="254"/>
      <c r="Y290" s="791"/>
      <c r="Z290" s="791"/>
      <c r="AA290" s="791"/>
      <c r="AB290" s="183"/>
      <c r="AC290" s="183"/>
      <c r="AD290" s="183"/>
      <c r="AE290" s="249"/>
      <c r="AF290" s="249"/>
      <c r="AG290" s="183"/>
      <c r="AH290" s="183"/>
      <c r="AI290" s="186"/>
      <c r="AJ290" s="152"/>
      <c r="AK290" s="30"/>
      <c r="AL290" s="30"/>
    </row>
    <row r="291" spans="1:38" ht="18.75" customHeight="1">
      <c r="A291" s="151"/>
      <c r="B291" s="174"/>
      <c r="C291" s="175"/>
      <c r="D291" s="1499" t="s">
        <v>497</v>
      </c>
      <c r="E291" s="1499"/>
      <c r="F291" s="1499"/>
      <c r="G291" s="1499"/>
      <c r="H291" s="1499"/>
      <c r="I291" s="1499"/>
      <c r="J291" s="1499"/>
      <c r="K291" s="1499"/>
      <c r="L291" s="1499"/>
      <c r="M291" s="1499"/>
      <c r="N291" s="1499"/>
      <c r="O291" s="1499"/>
      <c r="P291" s="1499"/>
      <c r="Q291" s="1499"/>
      <c r="R291" s="1499"/>
      <c r="S291" s="1499"/>
      <c r="T291" s="1499"/>
      <c r="U291" s="1499"/>
      <c r="V291" s="1499"/>
      <c r="W291" s="1499"/>
      <c r="X291" s="791"/>
      <c r="Y291" s="783"/>
      <c r="Z291" s="783"/>
      <c r="AA291" s="783"/>
      <c r="AB291" s="183"/>
      <c r="AC291" s="183"/>
      <c r="AD291" s="183"/>
      <c r="AE291" s="249"/>
      <c r="AF291" s="249"/>
      <c r="AG291" s="183"/>
      <c r="AH291" s="183"/>
      <c r="AI291" s="186"/>
      <c r="AJ291" s="152"/>
      <c r="AK291" s="30"/>
      <c r="AL291" s="30"/>
    </row>
    <row r="292" spans="1:58" s="173" customFormat="1" ht="33.75" customHeight="1">
      <c r="A292" s="151"/>
      <c r="B292" s="174"/>
      <c r="C292" s="175"/>
      <c r="D292" s="783"/>
      <c r="E292" s="783"/>
      <c r="F292" s="783"/>
      <c r="G292" s="783"/>
      <c r="H292" s="783"/>
      <c r="I292" s="783"/>
      <c r="J292" s="783"/>
      <c r="K292" s="783"/>
      <c r="L292" s="783"/>
      <c r="M292" s="783"/>
      <c r="N292" s="783"/>
      <c r="O292" s="783"/>
      <c r="P292" s="783"/>
      <c r="Q292" s="783"/>
      <c r="R292" s="783"/>
      <c r="S292" s="783"/>
      <c r="T292" s="783"/>
      <c r="U292" s="783"/>
      <c r="V292" s="783"/>
      <c r="W292" s="783"/>
      <c r="X292" s="783"/>
      <c r="Y292" s="175"/>
      <c r="Z292" s="175"/>
      <c r="AA292" s="175"/>
      <c r="AB292" s="175"/>
      <c r="AC292" s="175"/>
      <c r="AD292" s="175"/>
      <c r="AE292" s="175"/>
      <c r="AF292" s="175"/>
      <c r="AG292" s="175"/>
      <c r="AH292" s="175"/>
      <c r="AI292" s="190"/>
      <c r="AJ292" s="152" t="s">
        <v>143</v>
      </c>
      <c r="AK292" s="171"/>
      <c r="AL292" s="171"/>
      <c r="AM292" s="38"/>
      <c r="AN292" s="38"/>
      <c r="AO292" s="38"/>
      <c r="AP292" s="38"/>
      <c r="AQ292" s="38"/>
      <c r="AR292" s="38"/>
      <c r="AS292" s="38"/>
      <c r="AT292" s="38"/>
      <c r="AU292" s="38"/>
      <c r="AV292" s="38"/>
      <c r="AW292" s="38"/>
      <c r="AX292" s="38"/>
      <c r="AY292" s="38"/>
      <c r="AZ292" s="38"/>
      <c r="BA292" s="38"/>
      <c r="BB292" s="38"/>
      <c r="BC292" s="38"/>
      <c r="BD292" s="38"/>
      <c r="BE292" s="38"/>
      <c r="BF292" s="38"/>
    </row>
    <row r="293" spans="1:58" s="173" customFormat="1" ht="12.75" customHeight="1">
      <c r="A293" s="153"/>
      <c r="B293" s="174" t="s">
        <v>307</v>
      </c>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94"/>
      <c r="Z293" s="399">
        <v>5028040</v>
      </c>
      <c r="AA293" s="400">
        <v>5264350</v>
      </c>
      <c r="AB293" s="168"/>
      <c r="AC293" s="168"/>
      <c r="AD293" s="168"/>
      <c r="AE293" s="168">
        <v>0</v>
      </c>
      <c r="AF293" s="168">
        <v>0</v>
      </c>
      <c r="AG293" s="168"/>
      <c r="AH293" s="169"/>
      <c r="AI293" s="170"/>
      <c r="AJ293" s="152" t="s">
        <v>143</v>
      </c>
      <c r="AK293" s="171"/>
      <c r="AL293" s="171"/>
      <c r="AM293" s="38"/>
      <c r="AN293" s="38"/>
      <c r="AO293" s="38"/>
      <c r="AP293" s="38"/>
      <c r="AQ293" s="38"/>
      <c r="AR293" s="38"/>
      <c r="AS293" s="38"/>
      <c r="AT293" s="38"/>
      <c r="AU293" s="38"/>
      <c r="AV293" s="38"/>
      <c r="AW293" s="38"/>
      <c r="AX293" s="38"/>
      <c r="AY293" s="38"/>
      <c r="AZ293" s="38"/>
      <c r="BA293" s="38"/>
      <c r="BB293" s="38"/>
      <c r="BC293" s="38"/>
      <c r="BD293" s="38"/>
      <c r="BE293" s="38"/>
      <c r="BF293" s="38"/>
    </row>
    <row r="294" spans="1:58" s="291" customFormat="1" ht="12" customHeight="1">
      <c r="A294" s="301"/>
      <c r="B294" s="302" t="s">
        <v>308</v>
      </c>
      <c r="C294" s="303" t="s">
        <v>308</v>
      </c>
      <c r="D294" s="304">
        <v>656400011</v>
      </c>
      <c r="E294" s="305">
        <v>501</v>
      </c>
      <c r="F294" s="306">
        <v>656</v>
      </c>
      <c r="G294" s="1142" t="s">
        <v>587</v>
      </c>
      <c r="H294" s="309" t="s">
        <v>44</v>
      </c>
      <c r="I294" s="309">
        <v>251</v>
      </c>
      <c r="J294" s="1143">
        <v>0</v>
      </c>
      <c r="K294" s="311"/>
      <c r="L294" s="312">
        <v>0</v>
      </c>
      <c r="M294" s="312">
        <v>0</v>
      </c>
      <c r="N294" s="312">
        <v>0</v>
      </c>
      <c r="O294" s="312">
        <v>0</v>
      </c>
      <c r="P294" s="312">
        <v>0</v>
      </c>
      <c r="Q294" s="313">
        <f>R294+S294+T294+U294</f>
        <v>4652999.99</v>
      </c>
      <c r="R294" s="313">
        <f>1163250+723412.19</f>
        <v>1886662.19</v>
      </c>
      <c r="S294" s="313">
        <f>1163250-574987.11</f>
        <v>588262.89</v>
      </c>
      <c r="T294" s="313">
        <f>1163250-338753.72</f>
        <v>824496.28</v>
      </c>
      <c r="U294" s="313">
        <f>1163250+190328.63</f>
        <v>1353578.63</v>
      </c>
      <c r="V294" s="314">
        <v>1134690</v>
      </c>
      <c r="W294" s="311" t="s">
        <v>309</v>
      </c>
      <c r="X294" s="316"/>
      <c r="Y294" s="1144"/>
      <c r="Z294" s="1145">
        <v>8254010</v>
      </c>
      <c r="AA294" s="1145">
        <v>8254010</v>
      </c>
      <c r="AB294" s="1572"/>
      <c r="AC294" s="1573"/>
      <c r="AD294" s="1574"/>
      <c r="AE294" s="1146">
        <v>0</v>
      </c>
      <c r="AF294" s="1147">
        <v>0</v>
      </c>
      <c r="AG294" s="1572"/>
      <c r="AH294" s="1574"/>
      <c r="AI294" s="1148"/>
      <c r="AJ294" s="320" t="s">
        <v>143</v>
      </c>
      <c r="AK294" s="276"/>
      <c r="AL294" s="276"/>
      <c r="AM294" s="290"/>
      <c r="AN294" s="290"/>
      <c r="AO294" s="290"/>
      <c r="AP294" s="290"/>
      <c r="AQ294" s="290"/>
      <c r="AR294" s="290"/>
      <c r="AS294" s="290"/>
      <c r="AT294" s="290"/>
      <c r="AU294" s="290"/>
      <c r="AV294" s="290"/>
      <c r="AW294" s="290"/>
      <c r="AX294" s="290"/>
      <c r="AY294" s="290"/>
      <c r="AZ294" s="290"/>
      <c r="BA294" s="290"/>
      <c r="BB294" s="290"/>
      <c r="BC294" s="290"/>
      <c r="BD294" s="290"/>
      <c r="BE294" s="290"/>
      <c r="BF294" s="290"/>
    </row>
    <row r="295" spans="1:58" s="173" customFormat="1" ht="12" customHeight="1">
      <c r="A295" s="153"/>
      <c r="B295" s="154" t="s">
        <v>308</v>
      </c>
      <c r="C295" s="155" t="s">
        <v>308</v>
      </c>
      <c r="D295" s="156">
        <v>656400011</v>
      </c>
      <c r="E295" s="157">
        <v>502</v>
      </c>
      <c r="F295" s="158">
        <v>656</v>
      </c>
      <c r="G295" s="512" t="s">
        <v>488</v>
      </c>
      <c r="H295" s="160" t="s">
        <v>44</v>
      </c>
      <c r="I295" s="160">
        <v>251</v>
      </c>
      <c r="J295" s="365">
        <v>0</v>
      </c>
      <c r="K295" s="192"/>
      <c r="L295" s="366">
        <v>0</v>
      </c>
      <c r="M295" s="366">
        <v>0</v>
      </c>
      <c r="N295" s="366">
        <v>0</v>
      </c>
      <c r="O295" s="366">
        <v>0</v>
      </c>
      <c r="P295" s="366">
        <v>0</v>
      </c>
      <c r="Q295" s="367">
        <f>R295+S295+T295+U295</f>
        <v>4652999.99</v>
      </c>
      <c r="R295" s="367">
        <f>1163250+723412.19</f>
        <v>1886662.19</v>
      </c>
      <c r="S295" s="367">
        <f>1163250-574987.11</f>
        <v>588262.89</v>
      </c>
      <c r="T295" s="367">
        <f>1163250-338753.72</f>
        <v>824496.28</v>
      </c>
      <c r="U295" s="367">
        <f>1163250+190328.63</f>
        <v>1353578.63</v>
      </c>
      <c r="V295" s="417">
        <v>12785470</v>
      </c>
      <c r="W295" s="162" t="s">
        <v>309</v>
      </c>
      <c r="X295" s="193"/>
      <c r="Y295" s="255"/>
      <c r="Z295" s="418">
        <v>8254010</v>
      </c>
      <c r="AA295" s="418">
        <v>8254010</v>
      </c>
      <c r="AB295" s="1410"/>
      <c r="AC295" s="1411"/>
      <c r="AD295" s="1412"/>
      <c r="AE295" s="184">
        <v>0</v>
      </c>
      <c r="AF295" s="185">
        <v>0</v>
      </c>
      <c r="AG295" s="1410"/>
      <c r="AH295" s="1412"/>
      <c r="AI295" s="186"/>
      <c r="AJ295" s="152" t="s">
        <v>143</v>
      </c>
      <c r="AK295" s="171"/>
      <c r="AL295" s="171"/>
      <c r="AM295" s="38"/>
      <c r="AN295" s="38"/>
      <c r="AO295" s="38"/>
      <c r="AP295" s="38"/>
      <c r="AQ295" s="38"/>
      <c r="AR295" s="38"/>
      <c r="AS295" s="38"/>
      <c r="AT295" s="38"/>
      <c r="AU295" s="38"/>
      <c r="AV295" s="38"/>
      <c r="AW295" s="38"/>
      <c r="AX295" s="38"/>
      <c r="AY295" s="38"/>
      <c r="AZ295" s="38"/>
      <c r="BA295" s="38"/>
      <c r="BB295" s="38"/>
      <c r="BC295" s="38"/>
      <c r="BD295" s="38"/>
      <c r="BE295" s="38"/>
      <c r="BF295" s="38"/>
    </row>
    <row r="296" spans="1:58" s="291" customFormat="1" ht="12" customHeight="1">
      <c r="A296" s="301"/>
      <c r="B296" s="302" t="s">
        <v>308</v>
      </c>
      <c r="C296" s="303" t="s">
        <v>308</v>
      </c>
      <c r="D296" s="304">
        <v>656400011</v>
      </c>
      <c r="E296" s="305">
        <v>503</v>
      </c>
      <c r="F296" s="306">
        <v>656</v>
      </c>
      <c r="G296" s="1142" t="s">
        <v>488</v>
      </c>
      <c r="H296" s="309" t="s">
        <v>44</v>
      </c>
      <c r="I296" s="309">
        <v>251</v>
      </c>
      <c r="J296" s="1143">
        <v>0</v>
      </c>
      <c r="K296" s="311"/>
      <c r="L296" s="312">
        <v>0</v>
      </c>
      <c r="M296" s="312">
        <v>0</v>
      </c>
      <c r="N296" s="312">
        <v>0</v>
      </c>
      <c r="O296" s="312">
        <v>0</v>
      </c>
      <c r="P296" s="312">
        <v>0</v>
      </c>
      <c r="Q296" s="313">
        <f>R296+S296+T296+U296</f>
        <v>4652999.99</v>
      </c>
      <c r="R296" s="313">
        <f>1163250+723412.19</f>
        <v>1886662.19</v>
      </c>
      <c r="S296" s="313">
        <f>1163250-574987.11</f>
        <v>588262.89</v>
      </c>
      <c r="T296" s="313">
        <f>1163250-338753.72</f>
        <v>824496.28</v>
      </c>
      <c r="U296" s="313">
        <f>1163250+190328.63</f>
        <v>1353578.63</v>
      </c>
      <c r="V296" s="314">
        <v>2013924</v>
      </c>
      <c r="W296" s="311" t="s">
        <v>309</v>
      </c>
      <c r="X296" s="316"/>
      <c r="Y296" s="1144"/>
      <c r="Z296" s="1145">
        <v>8254010</v>
      </c>
      <c r="AA296" s="1145">
        <v>8254010</v>
      </c>
      <c r="AB296" s="1572"/>
      <c r="AC296" s="1573"/>
      <c r="AD296" s="1574"/>
      <c r="AE296" s="1146">
        <v>0</v>
      </c>
      <c r="AF296" s="1147">
        <v>0</v>
      </c>
      <c r="AG296" s="1572"/>
      <c r="AH296" s="1574"/>
      <c r="AI296" s="1148"/>
      <c r="AJ296" s="320" t="s">
        <v>143</v>
      </c>
      <c r="AK296" s="276"/>
      <c r="AL296" s="276"/>
      <c r="AM296" s="290"/>
      <c r="AN296" s="290"/>
      <c r="AO296" s="290"/>
      <c r="AP296" s="290"/>
      <c r="AQ296" s="290"/>
      <c r="AR296" s="290"/>
      <c r="AS296" s="290"/>
      <c r="AT296" s="290"/>
      <c r="AU296" s="290"/>
      <c r="AV296" s="290"/>
      <c r="AW296" s="290"/>
      <c r="AX296" s="290"/>
      <c r="AY296" s="290"/>
      <c r="AZ296" s="290"/>
      <c r="BA296" s="290"/>
      <c r="BB296" s="290"/>
      <c r="BC296" s="290"/>
      <c r="BD296" s="290"/>
      <c r="BE296" s="290"/>
      <c r="BF296" s="290"/>
    </row>
    <row r="297" spans="1:38" ht="12.75" customHeight="1">
      <c r="A297" s="153"/>
      <c r="B297" s="1413" t="s">
        <v>161</v>
      </c>
      <c r="C297" s="1414"/>
      <c r="D297" s="1414"/>
      <c r="E297" s="1414"/>
      <c r="F297" s="1414"/>
      <c r="G297" s="1414"/>
      <c r="H297" s="1414"/>
      <c r="I297" s="1414"/>
      <c r="J297" s="1414"/>
      <c r="K297" s="1415"/>
      <c r="L297" s="177">
        <v>0</v>
      </c>
      <c r="M297" s="178">
        <v>0</v>
      </c>
      <c r="N297" s="178">
        <v>0</v>
      </c>
      <c r="O297" s="177">
        <v>0</v>
      </c>
      <c r="P297" s="178">
        <v>0</v>
      </c>
      <c r="Q297" s="322">
        <f>R297+S297+T297+U297</f>
        <v>4652999.99</v>
      </c>
      <c r="R297" s="252">
        <f>R295</f>
        <v>1886662.19</v>
      </c>
      <c r="S297" s="252">
        <f>S295</f>
        <v>588262.89</v>
      </c>
      <c r="T297" s="252">
        <f>T295</f>
        <v>824496.28</v>
      </c>
      <c r="U297" s="252">
        <f>U295</f>
        <v>1353578.63</v>
      </c>
      <c r="V297" s="418">
        <f>SUM(V294:V296)</f>
        <v>15934084</v>
      </c>
      <c r="W297" s="253"/>
      <c r="X297" s="254"/>
      <c r="Y297" s="175"/>
      <c r="Z297" s="175"/>
      <c r="AA297" s="175"/>
      <c r="AB297" s="175"/>
      <c r="AC297" s="175"/>
      <c r="AD297" s="175"/>
      <c r="AE297" s="175"/>
      <c r="AF297" s="175"/>
      <c r="AG297" s="175"/>
      <c r="AH297" s="175"/>
      <c r="AI297" s="190"/>
      <c r="AJ297" s="152" t="s">
        <v>143</v>
      </c>
      <c r="AK297" s="30"/>
      <c r="AL297" s="30"/>
    </row>
    <row r="298" spans="1:38" ht="12.75" customHeight="1" hidden="1">
      <c r="A298" s="151"/>
      <c r="B298" s="174"/>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94"/>
      <c r="Z298" s="162"/>
      <c r="AA298" s="464"/>
      <c r="AB298" s="168"/>
      <c r="AC298" s="168"/>
      <c r="AD298" s="168"/>
      <c r="AE298" s="168"/>
      <c r="AF298" s="168"/>
      <c r="AG298" s="168"/>
      <c r="AH298" s="169"/>
      <c r="AI298" s="170"/>
      <c r="AJ298" s="152" t="s">
        <v>143</v>
      </c>
      <c r="AK298" s="30"/>
      <c r="AL298" s="30"/>
    </row>
    <row r="299" spans="1:38" ht="12.75" customHeight="1" hidden="1">
      <c r="A299" s="151"/>
      <c r="B299" s="154"/>
      <c r="C299" s="155"/>
      <c r="D299" s="156"/>
      <c r="E299" s="157"/>
      <c r="F299" s="158"/>
      <c r="G299" s="250"/>
      <c r="H299" s="160"/>
      <c r="I299" s="160"/>
      <c r="J299" s="161"/>
      <c r="K299" s="162"/>
      <c r="L299" s="165"/>
      <c r="M299" s="165"/>
      <c r="N299" s="165"/>
      <c r="O299" s="165"/>
      <c r="P299" s="165"/>
      <c r="Q299" s="167"/>
      <c r="R299" s="481"/>
      <c r="S299" s="481"/>
      <c r="T299" s="481"/>
      <c r="U299" s="481"/>
      <c r="V299" s="195"/>
      <c r="W299" s="162"/>
      <c r="X299" s="193"/>
      <c r="Y299" s="255"/>
      <c r="Z299" s="253"/>
      <c r="AA299" s="489"/>
      <c r="AB299" s="1410"/>
      <c r="AC299" s="1411"/>
      <c r="AD299" s="1412"/>
      <c r="AE299" s="184"/>
      <c r="AF299" s="185"/>
      <c r="AG299" s="1410"/>
      <c r="AH299" s="1412"/>
      <c r="AI299" s="186"/>
      <c r="AJ299" s="152" t="s">
        <v>143</v>
      </c>
      <c r="AK299" s="30"/>
      <c r="AL299" s="30"/>
    </row>
    <row r="300" spans="1:38" ht="20.25" customHeight="1" hidden="1">
      <c r="A300" s="151"/>
      <c r="B300" s="1413"/>
      <c r="C300" s="1414"/>
      <c r="D300" s="1414"/>
      <c r="E300" s="1414"/>
      <c r="F300" s="1414"/>
      <c r="G300" s="1414"/>
      <c r="H300" s="1414"/>
      <c r="I300" s="1414"/>
      <c r="J300" s="1414"/>
      <c r="K300" s="1415"/>
      <c r="L300" s="408"/>
      <c r="M300" s="180"/>
      <c r="N300" s="180"/>
      <c r="O300" s="408"/>
      <c r="P300" s="180"/>
      <c r="Q300" s="164"/>
      <c r="R300" s="409"/>
      <c r="S300" s="410"/>
      <c r="T300" s="409"/>
      <c r="U300" s="410"/>
      <c r="V300" s="252"/>
      <c r="W300" s="253"/>
      <c r="X300" s="254"/>
      <c r="Y300" s="175"/>
      <c r="Z300" s="175"/>
      <c r="AA300" s="175"/>
      <c r="AB300" s="175"/>
      <c r="AC300" s="175"/>
      <c r="AD300" s="175"/>
      <c r="AE300" s="175"/>
      <c r="AF300" s="175"/>
      <c r="AG300" s="175"/>
      <c r="AH300" s="175"/>
      <c r="AI300" s="190"/>
      <c r="AJ300" s="152" t="s">
        <v>143</v>
      </c>
      <c r="AK300" s="30"/>
      <c r="AL300" s="30"/>
    </row>
    <row r="301" spans="1:38" ht="12.75" customHeight="1" hidden="1">
      <c r="A301" s="151"/>
      <c r="B301" s="174"/>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94"/>
      <c r="Z301" s="162"/>
      <c r="AA301" s="464"/>
      <c r="AB301" s="168"/>
      <c r="AC301" s="168"/>
      <c r="AD301" s="168"/>
      <c r="AE301" s="168"/>
      <c r="AF301" s="168"/>
      <c r="AG301" s="168"/>
      <c r="AH301" s="169"/>
      <c r="AI301" s="170"/>
      <c r="AJ301" s="152" t="s">
        <v>143</v>
      </c>
      <c r="AK301" s="30"/>
      <c r="AL301" s="30"/>
    </row>
    <row r="302" spans="1:38" ht="12.75" customHeight="1" hidden="1">
      <c r="A302" s="151"/>
      <c r="B302" s="154"/>
      <c r="C302" s="155"/>
      <c r="D302" s="156"/>
      <c r="E302" s="157"/>
      <c r="F302" s="158"/>
      <c r="G302" s="250"/>
      <c r="H302" s="160"/>
      <c r="I302" s="160"/>
      <c r="J302" s="161"/>
      <c r="K302" s="162"/>
      <c r="L302" s="165"/>
      <c r="M302" s="165"/>
      <c r="N302" s="165"/>
      <c r="O302" s="165"/>
      <c r="P302" s="165"/>
      <c r="Q302" s="167"/>
      <c r="R302" s="481"/>
      <c r="S302" s="481"/>
      <c r="T302" s="481"/>
      <c r="U302" s="481"/>
      <c r="V302" s="195"/>
      <c r="W302" s="162"/>
      <c r="X302" s="193"/>
      <c r="Y302" s="255"/>
      <c r="Z302" s="253"/>
      <c r="AA302" s="489"/>
      <c r="AB302" s="1410"/>
      <c r="AC302" s="1411"/>
      <c r="AD302" s="1412"/>
      <c r="AE302" s="184"/>
      <c r="AF302" s="185"/>
      <c r="AG302" s="1410"/>
      <c r="AH302" s="1412"/>
      <c r="AI302" s="186"/>
      <c r="AJ302" s="152" t="s">
        <v>143</v>
      </c>
      <c r="AK302" s="30"/>
      <c r="AL302" s="30"/>
    </row>
    <row r="303" spans="1:38" ht="12.75" customHeight="1" hidden="1">
      <c r="A303" s="151"/>
      <c r="B303" s="1413"/>
      <c r="C303" s="1414"/>
      <c r="D303" s="1414"/>
      <c r="E303" s="1414"/>
      <c r="F303" s="1414"/>
      <c r="G303" s="1414"/>
      <c r="H303" s="1414"/>
      <c r="I303" s="1414"/>
      <c r="J303" s="1414"/>
      <c r="K303" s="1415"/>
      <c r="L303" s="408"/>
      <c r="M303" s="180"/>
      <c r="N303" s="180"/>
      <c r="O303" s="408"/>
      <c r="P303" s="180"/>
      <c r="Q303" s="164"/>
      <c r="R303" s="409"/>
      <c r="S303" s="410"/>
      <c r="T303" s="409"/>
      <c r="U303" s="410"/>
      <c r="V303" s="252"/>
      <c r="W303" s="253"/>
      <c r="X303" s="254"/>
      <c r="Y303" s="175"/>
      <c r="Z303" s="175"/>
      <c r="AA303" s="175"/>
      <c r="AB303" s="175"/>
      <c r="AC303" s="175"/>
      <c r="AD303" s="175"/>
      <c r="AE303" s="175"/>
      <c r="AF303" s="175"/>
      <c r="AG303" s="175"/>
      <c r="AH303" s="175"/>
      <c r="AI303" s="190"/>
      <c r="AJ303" s="152" t="s">
        <v>143</v>
      </c>
      <c r="AK303" s="30"/>
      <c r="AL303" s="30"/>
    </row>
    <row r="304" spans="1:38" ht="12.75" customHeight="1" hidden="1">
      <c r="A304" s="151"/>
      <c r="B304" s="174"/>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94"/>
      <c r="Z304" s="162"/>
      <c r="AA304" s="464"/>
      <c r="AB304" s="168"/>
      <c r="AC304" s="168"/>
      <c r="AD304" s="168"/>
      <c r="AE304" s="168"/>
      <c r="AF304" s="168"/>
      <c r="AG304" s="168"/>
      <c r="AH304" s="169"/>
      <c r="AI304" s="170"/>
      <c r="AJ304" s="152" t="s">
        <v>143</v>
      </c>
      <c r="AK304" s="30"/>
      <c r="AL304" s="30"/>
    </row>
    <row r="305" spans="1:38" ht="12.75" customHeight="1" hidden="1">
      <c r="A305" s="151"/>
      <c r="B305" s="154"/>
      <c r="C305" s="155"/>
      <c r="D305" s="156"/>
      <c r="E305" s="157"/>
      <c r="F305" s="158"/>
      <c r="G305" s="250"/>
      <c r="H305" s="160"/>
      <c r="I305" s="160"/>
      <c r="J305" s="161"/>
      <c r="K305" s="162"/>
      <c r="L305" s="165"/>
      <c r="M305" s="165"/>
      <c r="N305" s="165"/>
      <c r="O305" s="165"/>
      <c r="P305" s="165"/>
      <c r="Q305" s="167"/>
      <c r="R305" s="481"/>
      <c r="S305" s="481"/>
      <c r="T305" s="481"/>
      <c r="U305" s="481"/>
      <c r="V305" s="195"/>
      <c r="W305" s="162"/>
      <c r="X305" s="193"/>
      <c r="Y305" s="255"/>
      <c r="Z305" s="253"/>
      <c r="AA305" s="489"/>
      <c r="AB305" s="1410"/>
      <c r="AC305" s="1411"/>
      <c r="AD305" s="1412"/>
      <c r="AE305" s="184"/>
      <c r="AF305" s="185"/>
      <c r="AG305" s="1410"/>
      <c r="AH305" s="1412"/>
      <c r="AI305" s="186"/>
      <c r="AJ305" s="152" t="s">
        <v>143</v>
      </c>
      <c r="AK305" s="30"/>
      <c r="AL305" s="30"/>
    </row>
    <row r="306" spans="1:38" ht="12.75" customHeight="1" hidden="1">
      <c r="A306" s="151"/>
      <c r="B306" s="1413"/>
      <c r="C306" s="1414"/>
      <c r="D306" s="1414"/>
      <c r="E306" s="1414"/>
      <c r="F306" s="1414"/>
      <c r="G306" s="1414"/>
      <c r="H306" s="1414"/>
      <c r="I306" s="1414"/>
      <c r="J306" s="1414"/>
      <c r="K306" s="1415"/>
      <c r="L306" s="408"/>
      <c r="M306" s="180"/>
      <c r="N306" s="180"/>
      <c r="O306" s="408"/>
      <c r="P306" s="180"/>
      <c r="Q306" s="164"/>
      <c r="R306" s="409"/>
      <c r="S306" s="410"/>
      <c r="T306" s="409"/>
      <c r="U306" s="410"/>
      <c r="V306" s="252"/>
      <c r="W306" s="253"/>
      <c r="X306" s="254"/>
      <c r="Y306" s="175"/>
      <c r="Z306" s="175"/>
      <c r="AA306" s="175"/>
      <c r="AB306" s="175"/>
      <c r="AC306" s="175"/>
      <c r="AD306" s="175"/>
      <c r="AE306" s="175"/>
      <c r="AF306" s="175"/>
      <c r="AG306" s="175"/>
      <c r="AH306" s="175"/>
      <c r="AI306" s="190"/>
      <c r="AJ306" s="152" t="s">
        <v>143</v>
      </c>
      <c r="AK306" s="30"/>
      <c r="AL306" s="30"/>
    </row>
    <row r="307" spans="1:38" ht="12.75" customHeight="1" hidden="1">
      <c r="A307" s="151"/>
      <c r="B307" s="174"/>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94"/>
      <c r="Z307" s="162"/>
      <c r="AA307" s="464"/>
      <c r="AB307" s="168"/>
      <c r="AC307" s="168"/>
      <c r="AD307" s="168"/>
      <c r="AE307" s="168"/>
      <c r="AF307" s="168"/>
      <c r="AG307" s="168"/>
      <c r="AH307" s="169"/>
      <c r="AI307" s="170"/>
      <c r="AJ307" s="152" t="s">
        <v>143</v>
      </c>
      <c r="AK307" s="30"/>
      <c r="AL307" s="30"/>
    </row>
    <row r="308" spans="1:38" ht="12.75" customHeight="1" hidden="1">
      <c r="A308" s="151"/>
      <c r="B308" s="154"/>
      <c r="C308" s="155"/>
      <c r="D308" s="156"/>
      <c r="E308" s="157"/>
      <c r="F308" s="158"/>
      <c r="G308" s="250"/>
      <c r="H308" s="160"/>
      <c r="I308" s="160"/>
      <c r="J308" s="161"/>
      <c r="K308" s="162"/>
      <c r="L308" s="165"/>
      <c r="M308" s="165"/>
      <c r="N308" s="165"/>
      <c r="O308" s="165"/>
      <c r="P308" s="165"/>
      <c r="Q308" s="167"/>
      <c r="R308" s="481"/>
      <c r="S308" s="481"/>
      <c r="T308" s="481"/>
      <c r="U308" s="481"/>
      <c r="V308" s="195"/>
      <c r="W308" s="162"/>
      <c r="X308" s="193"/>
      <c r="Y308" s="255"/>
      <c r="Z308" s="253"/>
      <c r="AA308" s="489"/>
      <c r="AB308" s="1410"/>
      <c r="AC308" s="1411"/>
      <c r="AD308" s="1412"/>
      <c r="AE308" s="184"/>
      <c r="AF308" s="185"/>
      <c r="AG308" s="1410"/>
      <c r="AH308" s="1412"/>
      <c r="AI308" s="186"/>
      <c r="AJ308" s="152" t="s">
        <v>143</v>
      </c>
      <c r="AK308" s="30"/>
      <c r="AL308" s="30"/>
    </row>
    <row r="309" spans="1:38" ht="12.75" customHeight="1" hidden="1">
      <c r="A309" s="151"/>
      <c r="B309" s="1413"/>
      <c r="C309" s="1414"/>
      <c r="D309" s="1414"/>
      <c r="E309" s="1414"/>
      <c r="F309" s="1414"/>
      <c r="G309" s="1414"/>
      <c r="H309" s="1414"/>
      <c r="I309" s="1414"/>
      <c r="J309" s="1414"/>
      <c r="K309" s="1415"/>
      <c r="L309" s="408"/>
      <c r="M309" s="180"/>
      <c r="N309" s="180"/>
      <c r="O309" s="408"/>
      <c r="P309" s="180"/>
      <c r="Q309" s="164"/>
      <c r="R309" s="409"/>
      <c r="S309" s="410"/>
      <c r="T309" s="409"/>
      <c r="U309" s="410"/>
      <c r="V309" s="252"/>
      <c r="W309" s="253"/>
      <c r="X309" s="254"/>
      <c r="Y309" s="175"/>
      <c r="Z309" s="175"/>
      <c r="AA309" s="175"/>
      <c r="AB309" s="175"/>
      <c r="AC309" s="175"/>
      <c r="AD309" s="175"/>
      <c r="AE309" s="175"/>
      <c r="AF309" s="175"/>
      <c r="AG309" s="175"/>
      <c r="AH309" s="175"/>
      <c r="AI309" s="190"/>
      <c r="AJ309" s="152" t="s">
        <v>143</v>
      </c>
      <c r="AK309" s="30"/>
      <c r="AL309" s="30"/>
    </row>
    <row r="310" spans="1:38" ht="15" customHeight="1" hidden="1">
      <c r="A310" s="151"/>
      <c r="B310" s="174"/>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94"/>
      <c r="Z310" s="162"/>
      <c r="AA310" s="464"/>
      <c r="AB310" s="168"/>
      <c r="AC310" s="168"/>
      <c r="AD310" s="168"/>
      <c r="AE310" s="168"/>
      <c r="AF310" s="168"/>
      <c r="AG310" s="168"/>
      <c r="AH310" s="169"/>
      <c r="AI310" s="170"/>
      <c r="AJ310" s="152" t="s">
        <v>143</v>
      </c>
      <c r="AK310" s="30"/>
      <c r="AL310" s="30"/>
    </row>
    <row r="311" spans="1:38" ht="16.5" customHeight="1" hidden="1">
      <c r="A311" s="151"/>
      <c r="B311" s="154"/>
      <c r="C311" s="155"/>
      <c r="D311" s="156"/>
      <c r="E311" s="157"/>
      <c r="F311" s="158"/>
      <c r="G311" s="250"/>
      <c r="H311" s="160"/>
      <c r="I311" s="160"/>
      <c r="J311" s="161"/>
      <c r="K311" s="162"/>
      <c r="L311" s="165"/>
      <c r="M311" s="165"/>
      <c r="N311" s="165"/>
      <c r="O311" s="165"/>
      <c r="P311" s="165"/>
      <c r="Q311" s="167"/>
      <c r="R311" s="481"/>
      <c r="S311" s="481"/>
      <c r="T311" s="481"/>
      <c r="U311" s="481"/>
      <c r="V311" s="195"/>
      <c r="W311" s="162"/>
      <c r="X311" s="193"/>
      <c r="Y311" s="255"/>
      <c r="Z311" s="253"/>
      <c r="AA311" s="489"/>
      <c r="AB311" s="1410"/>
      <c r="AC311" s="1411"/>
      <c r="AD311" s="1412"/>
      <c r="AE311" s="184"/>
      <c r="AF311" s="185"/>
      <c r="AG311" s="1410"/>
      <c r="AH311" s="1412"/>
      <c r="AI311" s="186"/>
      <c r="AJ311" s="152" t="s">
        <v>143</v>
      </c>
      <c r="AK311" s="30"/>
      <c r="AL311" s="30"/>
    </row>
    <row r="312" spans="1:38" ht="12.75" customHeight="1" hidden="1">
      <c r="A312" s="151"/>
      <c r="B312" s="1413"/>
      <c r="C312" s="1414"/>
      <c r="D312" s="1414"/>
      <c r="E312" s="1414"/>
      <c r="F312" s="1414"/>
      <c r="G312" s="1414"/>
      <c r="H312" s="1414"/>
      <c r="I312" s="1414"/>
      <c r="J312" s="1414"/>
      <c r="K312" s="1415"/>
      <c r="L312" s="408"/>
      <c r="M312" s="180"/>
      <c r="N312" s="180"/>
      <c r="O312" s="408"/>
      <c r="P312" s="180"/>
      <c r="Q312" s="164"/>
      <c r="R312" s="409"/>
      <c r="S312" s="410"/>
      <c r="T312" s="409"/>
      <c r="U312" s="410"/>
      <c r="V312" s="252"/>
      <c r="W312" s="253"/>
      <c r="X312" s="254"/>
      <c r="Y312" s="791"/>
      <c r="Z312" s="791"/>
      <c r="AA312" s="791"/>
      <c r="AB312" s="183"/>
      <c r="AC312" s="183"/>
      <c r="AD312" s="183"/>
      <c r="AE312" s="249"/>
      <c r="AF312" s="249"/>
      <c r="AG312" s="183"/>
      <c r="AH312" s="183"/>
      <c r="AI312" s="813"/>
      <c r="AJ312" s="814"/>
      <c r="AK312" s="30"/>
      <c r="AL312" s="30"/>
    </row>
    <row r="313" spans="1:61" s="845" customFormat="1" ht="18" customHeight="1" hidden="1">
      <c r="A313" s="151"/>
      <c r="B313" s="174"/>
      <c r="C313" s="175"/>
      <c r="D313" s="1499" t="s">
        <v>475</v>
      </c>
      <c r="E313" s="1499"/>
      <c r="F313" s="1499"/>
      <c r="G313" s="1499"/>
      <c r="H313" s="1499"/>
      <c r="I313" s="1499"/>
      <c r="J313" s="1499"/>
      <c r="K313" s="1499"/>
      <c r="L313" s="1499"/>
      <c r="M313" s="1499"/>
      <c r="N313" s="1499"/>
      <c r="O313" s="1499"/>
      <c r="P313" s="1499"/>
      <c r="Q313" s="1499"/>
      <c r="R313" s="1499"/>
      <c r="S313" s="1499"/>
      <c r="T313" s="1499"/>
      <c r="U313" s="1499"/>
      <c r="V313" s="1499"/>
      <c r="W313" s="1499"/>
      <c r="X313" s="1499"/>
      <c r="Y313" s="815"/>
      <c r="Z313" s="815"/>
      <c r="AA313" s="815"/>
      <c r="AB313" s="815"/>
      <c r="AC313" s="815"/>
      <c r="AD313" s="815"/>
      <c r="AE313" s="815"/>
      <c r="AF313" s="815"/>
      <c r="AG313" s="815"/>
      <c r="AH313" s="815"/>
      <c r="AI313" s="815"/>
      <c r="AJ313" s="815"/>
      <c r="AK313" s="815"/>
      <c r="AL313" s="816"/>
      <c r="AM313" s="38"/>
      <c r="AN313" s="843"/>
      <c r="AO313" s="843"/>
      <c r="AP313" s="844"/>
      <c r="AQ313" s="844"/>
      <c r="AR313" s="844"/>
      <c r="AS313" s="844"/>
      <c r="AT313" s="844"/>
      <c r="AU313" s="844"/>
      <c r="AV313" s="844"/>
      <c r="AW313" s="844"/>
      <c r="AX313" s="844"/>
      <c r="AY313" s="844"/>
      <c r="AZ313" s="844"/>
      <c r="BA313" s="844"/>
      <c r="BB313" s="844"/>
      <c r="BC313" s="844"/>
      <c r="BD313" s="844"/>
      <c r="BE313" s="844"/>
      <c r="BF313" s="844"/>
      <c r="BG313" s="844"/>
      <c r="BH313" s="844"/>
      <c r="BI313" s="844"/>
    </row>
    <row r="314" spans="1:61" s="845" customFormat="1" ht="30" customHeight="1" hidden="1">
      <c r="A314" s="841"/>
      <c r="B314" s="819" t="s">
        <v>189</v>
      </c>
      <c r="C314" s="820" t="s">
        <v>189</v>
      </c>
      <c r="D314" s="821"/>
      <c r="E314" s="822">
        <v>503</v>
      </c>
      <c r="F314" s="823">
        <v>656</v>
      </c>
      <c r="G314" s="824">
        <v>5600020605</v>
      </c>
      <c r="H314" s="825">
        <v>244</v>
      </c>
      <c r="I314" s="825">
        <v>226</v>
      </c>
      <c r="J314" s="826"/>
      <c r="K314" s="827"/>
      <c r="L314" s="828">
        <v>196000</v>
      </c>
      <c r="M314" s="828">
        <v>167000</v>
      </c>
      <c r="N314" s="828">
        <v>130000</v>
      </c>
      <c r="O314" s="828">
        <v>173615</v>
      </c>
      <c r="P314" s="828">
        <v>666615</v>
      </c>
      <c r="Q314" s="829" t="e">
        <f>R314+S314+T314+U314</f>
        <v>#REF!</v>
      </c>
      <c r="R314" s="828" t="e">
        <f>#REF!*30.2%</f>
        <v>#REF!</v>
      </c>
      <c r="S314" s="828" t="e">
        <f>#REF!*30.2%</f>
        <v>#REF!</v>
      </c>
      <c r="T314" s="828" t="e">
        <f>#REF!*30.2%</f>
        <v>#REF!</v>
      </c>
      <c r="U314" s="828" t="e">
        <f>#REF!*30.2%</f>
        <v>#REF!</v>
      </c>
      <c r="V314" s="899"/>
      <c r="W314" s="828" t="s">
        <v>305</v>
      </c>
      <c r="X314" s="899"/>
      <c r="Y314" s="829"/>
      <c r="Z314" s="832"/>
      <c r="AA314" s="832"/>
      <c r="AB314" s="832"/>
      <c r="AC314" s="828"/>
      <c r="AD314" s="828"/>
      <c r="AE314" s="846"/>
      <c r="AF314" s="846"/>
      <c r="AG314" s="846"/>
      <c r="AH314" s="846"/>
      <c r="AI314" s="846"/>
      <c r="AJ314" s="846"/>
      <c r="AK314" s="847"/>
      <c r="AL314" s="848"/>
      <c r="AM314" s="842" t="s">
        <v>143</v>
      </c>
      <c r="AN314" s="843"/>
      <c r="AO314" s="843"/>
      <c r="AP314" s="844"/>
      <c r="AQ314" s="844"/>
      <c r="AR314" s="844"/>
      <c r="AS314" s="844"/>
      <c r="AT314" s="844"/>
      <c r="AU314" s="844"/>
      <c r="AV314" s="844"/>
      <c r="AW314" s="844"/>
      <c r="AX314" s="844"/>
      <c r="AY314" s="844"/>
      <c r="AZ314" s="844"/>
      <c r="BA314" s="844"/>
      <c r="BB314" s="844"/>
      <c r="BC314" s="844"/>
      <c r="BD314" s="844"/>
      <c r="BE314" s="844"/>
      <c r="BF314" s="844"/>
      <c r="BG314" s="844"/>
      <c r="BH314" s="844"/>
      <c r="BI314" s="844"/>
    </row>
    <row r="315" spans="1:61" s="845" customFormat="1" ht="11.25" customHeight="1" hidden="1">
      <c r="A315" s="841"/>
      <c r="B315" s="819"/>
      <c r="C315" s="820"/>
      <c r="D315" s="821"/>
      <c r="E315" s="822"/>
      <c r="F315" s="823"/>
      <c r="G315" s="824"/>
      <c r="H315" s="825"/>
      <c r="I315" s="825">
        <v>310</v>
      </c>
      <c r="J315" s="826"/>
      <c r="K315" s="827"/>
      <c r="L315" s="828"/>
      <c r="M315" s="828"/>
      <c r="N315" s="828"/>
      <c r="O315" s="828"/>
      <c r="P315" s="828"/>
      <c r="Q315" s="829"/>
      <c r="R315" s="828"/>
      <c r="S315" s="828"/>
      <c r="T315" s="828"/>
      <c r="U315" s="828"/>
      <c r="V315" s="900"/>
      <c r="W315" s="833"/>
      <c r="X315" s="831"/>
      <c r="Y315" s="832"/>
      <c r="Z315" s="832"/>
      <c r="AA315" s="832"/>
      <c r="AB315" s="832"/>
      <c r="AC315" s="828"/>
      <c r="AD315" s="828"/>
      <c r="AE315" s="846"/>
      <c r="AF315" s="846"/>
      <c r="AG315" s="846"/>
      <c r="AH315" s="846">
        <v>459201.6</v>
      </c>
      <c r="AI315" s="846">
        <v>8362.8</v>
      </c>
      <c r="AJ315" s="846"/>
      <c r="AK315" s="847"/>
      <c r="AL315" s="848">
        <v>0.6763106140725907</v>
      </c>
      <c r="AM315" s="842"/>
      <c r="AN315" s="843"/>
      <c r="AO315" s="843"/>
      <c r="AP315" s="844"/>
      <c r="AQ315" s="844"/>
      <c r="AR315" s="844"/>
      <c r="AS315" s="844"/>
      <c r="AT315" s="844"/>
      <c r="AU315" s="844"/>
      <c r="AV315" s="844"/>
      <c r="AW315" s="844"/>
      <c r="AX315" s="844"/>
      <c r="AY315" s="844"/>
      <c r="AZ315" s="844"/>
      <c r="BA315" s="844"/>
      <c r="BB315" s="844"/>
      <c r="BC315" s="844"/>
      <c r="BD315" s="844"/>
      <c r="BE315" s="844"/>
      <c r="BF315" s="844"/>
      <c r="BG315" s="844"/>
      <c r="BH315" s="844"/>
      <c r="BI315" s="844"/>
    </row>
    <row r="316" spans="1:61" s="845" customFormat="1" ht="11.25" customHeight="1" hidden="1">
      <c r="A316" s="841"/>
      <c r="B316" s="819" t="s">
        <v>189</v>
      </c>
      <c r="C316" s="820" t="s">
        <v>189</v>
      </c>
      <c r="D316" s="821"/>
      <c r="E316" s="822">
        <v>503</v>
      </c>
      <c r="F316" s="823">
        <v>656</v>
      </c>
      <c r="G316" s="824">
        <v>5600020605</v>
      </c>
      <c r="H316" s="825">
        <v>244</v>
      </c>
      <c r="I316" s="825">
        <v>226</v>
      </c>
      <c r="J316" s="826" t="s">
        <v>310</v>
      </c>
      <c r="K316" s="827"/>
      <c r="L316" s="828">
        <v>196000</v>
      </c>
      <c r="M316" s="828">
        <v>167000</v>
      </c>
      <c r="N316" s="828">
        <v>130000</v>
      </c>
      <c r="O316" s="828">
        <v>173615</v>
      </c>
      <c r="P316" s="828">
        <v>666615</v>
      </c>
      <c r="Q316" s="829" t="e">
        <f>R316+S316+T316+U316</f>
        <v>#REF!</v>
      </c>
      <c r="R316" s="828" t="e">
        <f>#REF!*30.2%</f>
        <v>#REF!</v>
      </c>
      <c r="S316" s="828" t="e">
        <f>#REF!*30.2%</f>
        <v>#REF!</v>
      </c>
      <c r="T316" s="828" t="e">
        <f>#REF!*30.2%</f>
        <v>#REF!</v>
      </c>
      <c r="U316" s="828" t="e">
        <f>#REF!*30.2%</f>
        <v>#REF!</v>
      </c>
      <c r="V316" s="901"/>
      <c r="W316" s="834"/>
      <c r="X316" s="831"/>
      <c r="Y316" s="832"/>
      <c r="Z316" s="832"/>
      <c r="AA316" s="832"/>
      <c r="AB316" s="832"/>
      <c r="AC316" s="830"/>
      <c r="AD316" s="830"/>
      <c r="AE316" s="846"/>
      <c r="AF316" s="846"/>
      <c r="AG316" s="846"/>
      <c r="AH316" s="846"/>
      <c r="AI316" s="846"/>
      <c r="AJ316" s="846"/>
      <c r="AK316" s="847"/>
      <c r="AL316" s="848"/>
      <c r="AM316" s="842" t="s">
        <v>143</v>
      </c>
      <c r="AN316" s="843"/>
      <c r="AO316" s="843"/>
      <c r="AP316" s="844"/>
      <c r="AQ316" s="844"/>
      <c r="AR316" s="844"/>
      <c r="AS316" s="844"/>
      <c r="AT316" s="844"/>
      <c r="AU316" s="844"/>
      <c r="AV316" s="844"/>
      <c r="AW316" s="844"/>
      <c r="AX316" s="844"/>
      <c r="AY316" s="844"/>
      <c r="AZ316" s="844"/>
      <c r="BA316" s="844"/>
      <c r="BB316" s="844"/>
      <c r="BC316" s="844"/>
      <c r="BD316" s="844"/>
      <c r="BE316" s="844"/>
      <c r="BF316" s="844"/>
      <c r="BG316" s="844"/>
      <c r="BH316" s="844"/>
      <c r="BI316" s="844"/>
    </row>
    <row r="317" spans="1:61" s="845" customFormat="1" ht="24.75" customHeight="1" hidden="1">
      <c r="A317" s="841"/>
      <c r="B317" s="819" t="s">
        <v>311</v>
      </c>
      <c r="C317" s="820" t="s">
        <v>311</v>
      </c>
      <c r="D317" s="821"/>
      <c r="E317" s="822">
        <v>503</v>
      </c>
      <c r="F317" s="823">
        <v>656</v>
      </c>
      <c r="G317" s="824">
        <v>5600020605</v>
      </c>
      <c r="H317" s="825" t="s">
        <v>91</v>
      </c>
      <c r="I317" s="825">
        <v>226</v>
      </c>
      <c r="J317" s="835">
        <v>0</v>
      </c>
      <c r="K317" s="827"/>
      <c r="L317" s="828">
        <v>70000</v>
      </c>
      <c r="M317" s="828">
        <v>-70000</v>
      </c>
      <c r="N317" s="828">
        <v>0</v>
      </c>
      <c r="O317" s="828">
        <v>70000</v>
      </c>
      <c r="P317" s="828">
        <v>70000</v>
      </c>
      <c r="Q317" s="829">
        <f>R317+S317+T317+U317</f>
        <v>60000</v>
      </c>
      <c r="R317" s="827">
        <v>30000</v>
      </c>
      <c r="S317" s="827">
        <v>30000</v>
      </c>
      <c r="T317" s="827">
        <v>0</v>
      </c>
      <c r="U317" s="827"/>
      <c r="V317" s="901"/>
      <c r="W317" s="832"/>
      <c r="X317" s="827"/>
      <c r="Y317" s="837">
        <f>SUM(Y314:Y316)</f>
        <v>0</v>
      </c>
      <c r="Z317" s="840"/>
      <c r="AA317" s="840"/>
      <c r="AB317" s="840"/>
      <c r="AC317" s="837"/>
      <c r="AD317" s="837" t="e">
        <f>#REF!+#REF!</f>
        <v>#REF!</v>
      </c>
      <c r="AE317" s="1506"/>
      <c r="AF317" s="1514"/>
      <c r="AG317" s="1507"/>
      <c r="AH317" s="849">
        <v>1968169.27</v>
      </c>
      <c r="AI317" s="850">
        <v>29062.8</v>
      </c>
      <c r="AJ317" s="1506"/>
      <c r="AK317" s="1507"/>
      <c r="AL317" s="851">
        <v>0.6798762048119268</v>
      </c>
      <c r="AM317" s="842"/>
      <c r="AN317" s="843"/>
      <c r="AO317" s="843"/>
      <c r="AP317" s="844"/>
      <c r="AQ317" s="844"/>
      <c r="AR317" s="844"/>
      <c r="AS317" s="844"/>
      <c r="AT317" s="844"/>
      <c r="AU317" s="844"/>
      <c r="AV317" s="844"/>
      <c r="AW317" s="844"/>
      <c r="AX317" s="844"/>
      <c r="AY317" s="844"/>
      <c r="AZ317" s="844"/>
      <c r="BA317" s="844"/>
      <c r="BB317" s="844"/>
      <c r="BC317" s="844"/>
      <c r="BD317" s="844"/>
      <c r="BE317" s="844"/>
      <c r="BF317" s="844"/>
      <c r="BG317" s="844"/>
      <c r="BH317" s="844"/>
      <c r="BI317" s="844"/>
    </row>
    <row r="318" spans="1:39" ht="12.75" customHeight="1" hidden="1">
      <c r="A318" s="841"/>
      <c r="B318" s="1511" t="s">
        <v>161</v>
      </c>
      <c r="C318" s="1512"/>
      <c r="D318" s="1512"/>
      <c r="E318" s="1512"/>
      <c r="F318" s="1512"/>
      <c r="G318" s="1512"/>
      <c r="H318" s="1512"/>
      <c r="I318" s="1512"/>
      <c r="J318" s="1512"/>
      <c r="K318" s="1513"/>
      <c r="L318" s="836">
        <v>843000</v>
      </c>
      <c r="M318" s="837">
        <v>717000</v>
      </c>
      <c r="N318" s="837">
        <v>538195.4</v>
      </c>
      <c r="O318" s="836">
        <v>753951</v>
      </c>
      <c r="P318" s="837">
        <v>2852146.4</v>
      </c>
      <c r="Q318" s="838" t="e">
        <f>R318+S318+T318+U318</f>
        <v>#REF!</v>
      </c>
      <c r="R318" s="836" t="e">
        <f>#REF!+#REF!</f>
        <v>#REF!</v>
      </c>
      <c r="S318" s="836" t="e">
        <f>#REF!+#REF!</f>
        <v>#REF!</v>
      </c>
      <c r="T318" s="836" t="e">
        <f>#REF!+#REF!</f>
        <v>#REF!</v>
      </c>
      <c r="U318" s="836" t="e">
        <f>#REF!+#REF!</f>
        <v>#REF!</v>
      </c>
      <c r="V318" s="902">
        <f>SUM(V314:V317)</f>
        <v>0</v>
      </c>
      <c r="W318" s="837">
        <f>SUM(W314:W317)</f>
        <v>0</v>
      </c>
      <c r="X318" s="839">
        <f>X314</f>
        <v>0</v>
      </c>
      <c r="Y318" s="791"/>
      <c r="Z318" s="791"/>
      <c r="AA318" s="791"/>
      <c r="AB318" s="183"/>
      <c r="AC318" s="183"/>
      <c r="AD318" s="183"/>
      <c r="AE318" s="249"/>
      <c r="AF318" s="249"/>
      <c r="AG318" s="183"/>
      <c r="AH318" s="183"/>
      <c r="AI318" s="186"/>
      <c r="AJ318" s="152"/>
      <c r="AK318" s="30"/>
      <c r="AL318" s="30"/>
      <c r="AM318" s="842" t="s">
        <v>143</v>
      </c>
    </row>
    <row r="319" spans="1:38" ht="21" customHeight="1" hidden="1">
      <c r="A319" s="151"/>
      <c r="B319" s="174"/>
      <c r="C319" s="175"/>
      <c r="D319" s="1499" t="s">
        <v>292</v>
      </c>
      <c r="E319" s="1499"/>
      <c r="F319" s="1499"/>
      <c r="G319" s="1499"/>
      <c r="H319" s="1499"/>
      <c r="I319" s="1499"/>
      <c r="J319" s="1499"/>
      <c r="K319" s="1499"/>
      <c r="L319" s="1499"/>
      <c r="M319" s="1499"/>
      <c r="N319" s="1499"/>
      <c r="O319" s="1499"/>
      <c r="P319" s="1499"/>
      <c r="Q319" s="1499"/>
      <c r="R319" s="1499"/>
      <c r="S319" s="1499"/>
      <c r="T319" s="1499"/>
      <c r="U319" s="1499"/>
      <c r="V319" s="1499"/>
      <c r="W319" s="1499"/>
      <c r="X319" s="1499"/>
      <c r="Y319" s="1499"/>
      <c r="Z319" s="1499"/>
      <c r="AA319" s="1499"/>
      <c r="AB319" s="183"/>
      <c r="AC319" s="183"/>
      <c r="AD319" s="183"/>
      <c r="AE319" s="249"/>
      <c r="AF319" s="249"/>
      <c r="AG319" s="183"/>
      <c r="AH319" s="183"/>
      <c r="AI319" s="186"/>
      <c r="AJ319" s="152"/>
      <c r="AK319" s="30"/>
      <c r="AL319" s="30"/>
    </row>
    <row r="320" spans="1:38" ht="14.25" customHeight="1" hidden="1">
      <c r="A320" s="151"/>
      <c r="B320" s="174"/>
      <c r="C320" s="175"/>
      <c r="D320" s="1431" t="s">
        <v>312</v>
      </c>
      <c r="E320" s="1431"/>
      <c r="F320" s="1431"/>
      <c r="G320" s="1431"/>
      <c r="H320" s="1431"/>
      <c r="I320" s="1431"/>
      <c r="J320" s="1431"/>
      <c r="K320" s="1431"/>
      <c r="L320" s="1431"/>
      <c r="M320" s="1431"/>
      <c r="N320" s="1431"/>
      <c r="O320" s="1431"/>
      <c r="P320" s="1431"/>
      <c r="Q320" s="1431"/>
      <c r="R320" s="1431"/>
      <c r="S320" s="1431"/>
      <c r="T320" s="1431"/>
      <c r="U320" s="1431"/>
      <c r="V320" s="1431"/>
      <c r="W320" s="1431"/>
      <c r="X320" s="783"/>
      <c r="Y320" s="175"/>
      <c r="Z320" s="175"/>
      <c r="AA320" s="175"/>
      <c r="AB320" s="175"/>
      <c r="AC320" s="175"/>
      <c r="AD320" s="175"/>
      <c r="AE320" s="175"/>
      <c r="AF320" s="175"/>
      <c r="AG320" s="175"/>
      <c r="AH320" s="175"/>
      <c r="AI320" s="190"/>
      <c r="AJ320" s="152" t="s">
        <v>143</v>
      </c>
      <c r="AK320" s="30"/>
      <c r="AL320" s="30"/>
    </row>
    <row r="321" spans="1:58" s="173" customFormat="1" ht="12.75" customHeight="1" hidden="1">
      <c r="A321" s="151"/>
      <c r="B321" s="174" t="s">
        <v>313</v>
      </c>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94"/>
      <c r="Z321" s="195"/>
      <c r="AA321" s="195"/>
      <c r="AB321" s="168"/>
      <c r="AC321" s="168"/>
      <c r="AD321" s="168"/>
      <c r="AE321" s="168"/>
      <c r="AF321" s="168"/>
      <c r="AG321" s="168"/>
      <c r="AH321" s="169"/>
      <c r="AI321" s="170"/>
      <c r="AJ321" s="152"/>
      <c r="AK321" s="171"/>
      <c r="AL321" s="171"/>
      <c r="AM321" s="540"/>
      <c r="AN321" s="38"/>
      <c r="AO321" s="38"/>
      <c r="AP321" s="38"/>
      <c r="AQ321" s="38"/>
      <c r="AR321" s="38"/>
      <c r="AS321" s="38"/>
      <c r="AT321" s="38"/>
      <c r="AU321" s="38"/>
      <c r="AV321" s="38"/>
      <c r="AW321" s="38"/>
      <c r="AX321" s="38"/>
      <c r="AY321" s="38"/>
      <c r="AZ321" s="38"/>
      <c r="BA321" s="38"/>
      <c r="BB321" s="38"/>
      <c r="BC321" s="38"/>
      <c r="BD321" s="38"/>
      <c r="BE321" s="38"/>
      <c r="BF321" s="38"/>
    </row>
    <row r="322" spans="1:58" s="173" customFormat="1" ht="12.75" customHeight="1" hidden="1">
      <c r="A322" s="153"/>
      <c r="B322" s="154" t="s">
        <v>311</v>
      </c>
      <c r="C322" s="155" t="s">
        <v>311</v>
      </c>
      <c r="D322" s="156"/>
      <c r="E322" s="157"/>
      <c r="F322" s="158"/>
      <c r="G322" s="250"/>
      <c r="H322" s="160"/>
      <c r="I322" s="160"/>
      <c r="J322" s="161"/>
      <c r="K322" s="162"/>
      <c r="L322" s="163"/>
      <c r="M322" s="163"/>
      <c r="N322" s="163"/>
      <c r="O322" s="163"/>
      <c r="P322" s="163"/>
      <c r="Q322" s="167"/>
      <c r="R322" s="162"/>
      <c r="S322" s="162"/>
      <c r="T322" s="162"/>
      <c r="U322" s="162"/>
      <c r="V322" s="368"/>
      <c r="W322" s="162"/>
      <c r="X322" s="193"/>
      <c r="Y322" s="194"/>
      <c r="Z322" s="195"/>
      <c r="AA322" s="195"/>
      <c r="AB322" s="168"/>
      <c r="AC322" s="168"/>
      <c r="AD322" s="168"/>
      <c r="AE322" s="168"/>
      <c r="AF322" s="168"/>
      <c r="AG322" s="168"/>
      <c r="AH322" s="169"/>
      <c r="AI322" s="170"/>
      <c r="AJ322" s="152"/>
      <c r="AK322" s="171"/>
      <c r="AL322" s="171"/>
      <c r="AM322" s="540"/>
      <c r="AN322" s="38"/>
      <c r="AO322" s="38"/>
      <c r="AP322" s="38"/>
      <c r="AQ322" s="38"/>
      <c r="AR322" s="38"/>
      <c r="AS322" s="38"/>
      <c r="AT322" s="38"/>
      <c r="AU322" s="38"/>
      <c r="AV322" s="38"/>
      <c r="AW322" s="38"/>
      <c r="AX322" s="38"/>
      <c r="AY322" s="38"/>
      <c r="AZ322" s="38"/>
      <c r="BA322" s="38"/>
      <c r="BB322" s="38"/>
      <c r="BC322" s="38"/>
      <c r="BD322" s="38"/>
      <c r="BE322" s="38"/>
      <c r="BF322" s="38"/>
    </row>
    <row r="323" spans="1:58" s="173" customFormat="1" ht="12.75" customHeight="1" hidden="1">
      <c r="A323" s="153"/>
      <c r="B323" s="154"/>
      <c r="C323" s="155"/>
      <c r="D323" s="156"/>
      <c r="E323" s="157"/>
      <c r="F323" s="158"/>
      <c r="G323" s="250"/>
      <c r="H323" s="160"/>
      <c r="I323" s="160"/>
      <c r="J323" s="161"/>
      <c r="K323" s="162"/>
      <c r="L323" s="163"/>
      <c r="M323" s="163"/>
      <c r="N323" s="163"/>
      <c r="O323" s="163"/>
      <c r="P323" s="163"/>
      <c r="Q323" s="167"/>
      <c r="R323" s="162"/>
      <c r="S323" s="162"/>
      <c r="T323" s="162"/>
      <c r="U323" s="162"/>
      <c r="V323" s="368"/>
      <c r="W323" s="162"/>
      <c r="X323" s="193"/>
      <c r="Y323" s="194"/>
      <c r="Z323" s="194"/>
      <c r="AA323" s="195"/>
      <c r="AB323" s="168"/>
      <c r="AC323" s="168"/>
      <c r="AD323" s="168"/>
      <c r="AE323" s="168"/>
      <c r="AF323" s="168"/>
      <c r="AG323" s="168"/>
      <c r="AH323" s="169"/>
      <c r="AI323" s="170"/>
      <c r="AJ323" s="152"/>
      <c r="AK323" s="171"/>
      <c r="AL323" s="171"/>
      <c r="AM323" s="540"/>
      <c r="AN323" s="38"/>
      <c r="AO323" s="38"/>
      <c r="AP323" s="38"/>
      <c r="AQ323" s="38"/>
      <c r="AR323" s="38"/>
      <c r="AS323" s="38"/>
      <c r="AT323" s="38"/>
      <c r="AU323" s="38"/>
      <c r="AV323" s="38"/>
      <c r="AW323" s="38"/>
      <c r="AX323" s="38"/>
      <c r="AY323" s="38"/>
      <c r="AZ323" s="38"/>
      <c r="BA323" s="38"/>
      <c r="BB323" s="38"/>
      <c r="BC323" s="38"/>
      <c r="BD323" s="38"/>
      <c r="BE323" s="38"/>
      <c r="BF323" s="38"/>
    </row>
    <row r="324" spans="1:58" s="173" customFormat="1" ht="12.75" customHeight="1" hidden="1">
      <c r="A324" s="153"/>
      <c r="B324" s="154" t="s">
        <v>311</v>
      </c>
      <c r="C324" s="155" t="s">
        <v>311</v>
      </c>
      <c r="D324" s="156"/>
      <c r="E324" s="157"/>
      <c r="F324" s="158"/>
      <c r="G324" s="250"/>
      <c r="H324" s="160"/>
      <c r="I324" s="160"/>
      <c r="J324" s="161"/>
      <c r="K324" s="162"/>
      <c r="L324" s="163"/>
      <c r="M324" s="163"/>
      <c r="N324" s="163"/>
      <c r="O324" s="163"/>
      <c r="P324" s="163"/>
      <c r="Q324" s="167"/>
      <c r="R324" s="162"/>
      <c r="S324" s="162"/>
      <c r="T324" s="162"/>
      <c r="U324" s="162"/>
      <c r="V324" s="368"/>
      <c r="W324" s="162"/>
      <c r="X324" s="193"/>
      <c r="Y324" s="194"/>
      <c r="Z324" s="195"/>
      <c r="AA324" s="195"/>
      <c r="AB324" s="168"/>
      <c r="AC324" s="168"/>
      <c r="AD324" s="168"/>
      <c r="AE324" s="168"/>
      <c r="AF324" s="168"/>
      <c r="AG324" s="168"/>
      <c r="AH324" s="169"/>
      <c r="AI324" s="170"/>
      <c r="AJ324" s="152"/>
      <c r="AK324" s="171"/>
      <c r="AL324" s="171"/>
      <c r="AM324" s="540"/>
      <c r="AN324" s="38"/>
      <c r="AO324" s="38"/>
      <c r="AP324" s="38"/>
      <c r="AQ324" s="38"/>
      <c r="AR324" s="38"/>
      <c r="AS324" s="38"/>
      <c r="AT324" s="38"/>
      <c r="AU324" s="38"/>
      <c r="AV324" s="38"/>
      <c r="AW324" s="38"/>
      <c r="AX324" s="38"/>
      <c r="AY324" s="38"/>
      <c r="AZ324" s="38"/>
      <c r="BA324" s="38"/>
      <c r="BB324" s="38"/>
      <c r="BC324" s="38"/>
      <c r="BD324" s="38"/>
      <c r="BE324" s="38"/>
      <c r="BF324" s="38"/>
    </row>
    <row r="325" spans="1:58" s="173" customFormat="1" ht="12.75" customHeight="1" hidden="1">
      <c r="A325" s="153"/>
      <c r="B325" s="154" t="s">
        <v>311</v>
      </c>
      <c r="C325" s="155" t="s">
        <v>311</v>
      </c>
      <c r="D325" s="156"/>
      <c r="E325" s="157"/>
      <c r="F325" s="158"/>
      <c r="G325" s="250"/>
      <c r="H325" s="160"/>
      <c r="I325" s="160"/>
      <c r="J325" s="161"/>
      <c r="K325" s="162"/>
      <c r="L325" s="163"/>
      <c r="M325" s="163"/>
      <c r="N325" s="163"/>
      <c r="O325" s="163"/>
      <c r="P325" s="163"/>
      <c r="Q325" s="167"/>
      <c r="R325" s="162"/>
      <c r="S325" s="162"/>
      <c r="T325" s="162"/>
      <c r="U325" s="162"/>
      <c r="V325" s="368"/>
      <c r="W325" s="162"/>
      <c r="X325" s="193"/>
      <c r="Y325" s="338"/>
      <c r="Z325" s="335"/>
      <c r="AA325" s="335"/>
      <c r="AB325" s="185"/>
      <c r="AC325" s="249"/>
      <c r="AD325" s="184"/>
      <c r="AE325" s="184"/>
      <c r="AF325" s="185"/>
      <c r="AG325" s="185"/>
      <c r="AH325" s="471"/>
      <c r="AI325" s="186"/>
      <c r="AJ325" s="152"/>
      <c r="AK325" s="171"/>
      <c r="AL325" s="171"/>
      <c r="AM325" s="540"/>
      <c r="AN325" s="38"/>
      <c r="AO325" s="38"/>
      <c r="AP325" s="38"/>
      <c r="AQ325" s="38"/>
      <c r="AR325" s="38"/>
      <c r="AS325" s="38"/>
      <c r="AT325" s="38"/>
      <c r="AU325" s="38"/>
      <c r="AV325" s="38"/>
      <c r="AW325" s="38"/>
      <c r="AX325" s="38"/>
      <c r="AY325" s="38"/>
      <c r="AZ325" s="38"/>
      <c r="BA325" s="38"/>
      <c r="BB325" s="38"/>
      <c r="BC325" s="38"/>
      <c r="BD325" s="38"/>
      <c r="BE325" s="38"/>
      <c r="BF325" s="38"/>
    </row>
    <row r="326" spans="1:58" s="173" customFormat="1" ht="12.75" customHeight="1" hidden="1">
      <c r="A326" s="153"/>
      <c r="B326" s="329"/>
      <c r="C326" s="175"/>
      <c r="D326" s="275"/>
      <c r="E326" s="465"/>
      <c r="F326" s="466"/>
      <c r="G326" s="250"/>
      <c r="H326" s="160"/>
      <c r="I326" s="468"/>
      <c r="J326" s="469"/>
      <c r="K326" s="470"/>
      <c r="L326" s="334"/>
      <c r="M326" s="163"/>
      <c r="N326" s="163"/>
      <c r="O326" s="334"/>
      <c r="P326" s="163"/>
      <c r="Q326" s="164"/>
      <c r="R326" s="340"/>
      <c r="S326" s="340"/>
      <c r="T326" s="340"/>
      <c r="U326" s="340"/>
      <c r="V326" s="335"/>
      <c r="W326" s="340"/>
      <c r="X326" s="337"/>
      <c r="Y326" s="255"/>
      <c r="Z326" s="252"/>
      <c r="AA326" s="252"/>
      <c r="AB326" s="1410"/>
      <c r="AC326" s="1411"/>
      <c r="AD326" s="1412"/>
      <c r="AE326" s="184"/>
      <c r="AF326" s="185"/>
      <c r="AG326" s="1410"/>
      <c r="AH326" s="1412"/>
      <c r="AI326" s="186"/>
      <c r="AJ326" s="152"/>
      <c r="AK326" s="171"/>
      <c r="AL326" s="171"/>
      <c r="AM326" s="540"/>
      <c r="AN326" s="38"/>
      <c r="AO326" s="38"/>
      <c r="AP326" s="38"/>
      <c r="AQ326" s="38"/>
      <c r="AR326" s="38"/>
      <c r="AS326" s="38"/>
      <c r="AT326" s="38"/>
      <c r="AU326" s="38"/>
      <c r="AV326" s="38"/>
      <c r="AW326" s="38"/>
      <c r="AX326" s="38"/>
      <c r="AY326" s="38"/>
      <c r="AZ326" s="38"/>
      <c r="BA326" s="38"/>
      <c r="BB326" s="38"/>
      <c r="BC326" s="38"/>
      <c r="BD326" s="38"/>
      <c r="BE326" s="38"/>
      <c r="BF326" s="38"/>
    </row>
    <row r="327" spans="1:58" s="173" customFormat="1" ht="12.75" customHeight="1" hidden="1">
      <c r="A327" s="153"/>
      <c r="B327" s="1413" t="s">
        <v>161</v>
      </c>
      <c r="C327" s="1414"/>
      <c r="D327" s="1414"/>
      <c r="E327" s="1414"/>
      <c r="F327" s="1414"/>
      <c r="G327" s="1414"/>
      <c r="H327" s="1414"/>
      <c r="I327" s="1414"/>
      <c r="J327" s="1414"/>
      <c r="K327" s="1415"/>
      <c r="L327" s="177">
        <v>240000</v>
      </c>
      <c r="M327" s="178">
        <v>-20000</v>
      </c>
      <c r="N327" s="178">
        <v>-4000</v>
      </c>
      <c r="O327" s="177">
        <v>100055</v>
      </c>
      <c r="P327" s="178">
        <v>316055</v>
      </c>
      <c r="Q327" s="322">
        <f>R327+S327+T327+U327</f>
        <v>0</v>
      </c>
      <c r="R327" s="252">
        <f>R322+R324</f>
        <v>0</v>
      </c>
      <c r="S327" s="252">
        <f>S322+S324</f>
        <v>0</v>
      </c>
      <c r="T327" s="252">
        <f>T322+T324</f>
        <v>0</v>
      </c>
      <c r="U327" s="252">
        <f>U322+U324</f>
        <v>0</v>
      </c>
      <c r="V327" s="252">
        <f>V322</f>
        <v>0</v>
      </c>
      <c r="W327" s="253"/>
      <c r="X327" s="382">
        <f>X322+X323+X325</f>
        <v>0</v>
      </c>
      <c r="Y327" s="175"/>
      <c r="Z327" s="175"/>
      <c r="AA327" s="175"/>
      <c r="AB327" s="175"/>
      <c r="AC327" s="175"/>
      <c r="AD327" s="175"/>
      <c r="AE327" s="175"/>
      <c r="AF327" s="175"/>
      <c r="AG327" s="175"/>
      <c r="AH327" s="175"/>
      <c r="AI327" s="190"/>
      <c r="AJ327" s="152" t="s">
        <v>143</v>
      </c>
      <c r="AK327" s="171"/>
      <c r="AL327" s="171"/>
      <c r="AM327" s="540"/>
      <c r="AN327" s="38"/>
      <c r="AO327" s="38"/>
      <c r="AP327" s="38"/>
      <c r="AQ327" s="38"/>
      <c r="AR327" s="38"/>
      <c r="AS327" s="38"/>
      <c r="AT327" s="38"/>
      <c r="AU327" s="38"/>
      <c r="AV327" s="38"/>
      <c r="AW327" s="38"/>
      <c r="AX327" s="38"/>
      <c r="AY327" s="38"/>
      <c r="AZ327" s="38"/>
      <c r="BA327" s="38"/>
      <c r="BB327" s="38"/>
      <c r="BC327" s="38"/>
      <c r="BD327" s="38"/>
      <c r="BE327" s="38"/>
      <c r="BF327" s="38"/>
    </row>
    <row r="328" spans="1:58" s="173" customFormat="1" ht="17.25" customHeight="1">
      <c r="A328" s="153"/>
      <c r="B328" s="174" t="s">
        <v>292</v>
      </c>
      <c r="C328" s="175"/>
      <c r="D328" s="1429" t="s">
        <v>475</v>
      </c>
      <c r="E328" s="1429"/>
      <c r="F328" s="1429"/>
      <c r="G328" s="1429"/>
      <c r="H328" s="1429"/>
      <c r="I328" s="1429"/>
      <c r="J328" s="1429"/>
      <c r="K328" s="1429"/>
      <c r="L328" s="1429"/>
      <c r="M328" s="1429"/>
      <c r="N328" s="1429"/>
      <c r="O328" s="1429"/>
      <c r="P328" s="1429"/>
      <c r="Q328" s="1429"/>
      <c r="R328" s="1429"/>
      <c r="S328" s="1429"/>
      <c r="T328" s="1429"/>
      <c r="U328" s="1429"/>
      <c r="V328" s="1429"/>
      <c r="W328" s="1429"/>
      <c r="X328" s="1429"/>
      <c r="Y328" s="1429"/>
      <c r="Z328" s="1429"/>
      <c r="AA328" s="1430"/>
      <c r="AB328" s="168"/>
      <c r="AC328" s="168"/>
      <c r="AD328" s="168"/>
      <c r="AE328" s="168">
        <v>1508967.67</v>
      </c>
      <c r="AF328" s="168">
        <v>20700</v>
      </c>
      <c r="AG328" s="168"/>
      <c r="AH328" s="169"/>
      <c r="AI328" s="170">
        <v>0.6809637555424735</v>
      </c>
      <c r="AJ328" s="152" t="s">
        <v>143</v>
      </c>
      <c r="AK328" s="171"/>
      <c r="AL328" s="171"/>
      <c r="AM328" s="540"/>
      <c r="AN328" s="38"/>
      <c r="AO328" s="38"/>
      <c r="AP328" s="38"/>
      <c r="AQ328" s="38"/>
      <c r="AR328" s="38"/>
      <c r="AS328" s="38"/>
      <c r="AT328" s="38"/>
      <c r="AU328" s="38"/>
      <c r="AV328" s="38"/>
      <c r="AW328" s="38"/>
      <c r="AX328" s="38"/>
      <c r="AY328" s="38"/>
      <c r="AZ328" s="38"/>
      <c r="BA328" s="38"/>
      <c r="BB328" s="38"/>
      <c r="BC328" s="38"/>
      <c r="BD328" s="38"/>
      <c r="BE328" s="38"/>
      <c r="BF328" s="38"/>
    </row>
    <row r="329" spans="1:58" s="173" customFormat="1" ht="42.75" customHeight="1">
      <c r="A329" s="153"/>
      <c r="B329" s="154" t="s">
        <v>189</v>
      </c>
      <c r="C329" s="155" t="s">
        <v>189</v>
      </c>
      <c r="D329" s="511" t="s">
        <v>555</v>
      </c>
      <c r="E329" s="548">
        <v>503</v>
      </c>
      <c r="F329" s="549">
        <v>656</v>
      </c>
      <c r="G329" s="1075" t="s">
        <v>506</v>
      </c>
      <c r="H329" s="551">
        <v>244</v>
      </c>
      <c r="I329" s="551">
        <v>226</v>
      </c>
      <c r="J329" s="1045"/>
      <c r="K329" s="162"/>
      <c r="L329" s="163">
        <v>647000</v>
      </c>
      <c r="M329" s="163">
        <v>550000</v>
      </c>
      <c r="N329" s="163">
        <v>408195.4</v>
      </c>
      <c r="O329" s="163">
        <v>580336</v>
      </c>
      <c r="P329" s="163">
        <v>2185531.4</v>
      </c>
      <c r="Q329" s="167">
        <f>R329+S329+T329+U329</f>
        <v>2778065</v>
      </c>
      <c r="R329" s="163">
        <f>668804.6+50000+150000+120729+200000</f>
        <v>1189533.6</v>
      </c>
      <c r="S329" s="163">
        <f>550000+100000-100000</f>
        <v>550000</v>
      </c>
      <c r="T329" s="163">
        <f>408195.4+130000</f>
        <v>538195.4</v>
      </c>
      <c r="U329" s="163">
        <f>580336-50000+100000-130000</f>
        <v>500336</v>
      </c>
      <c r="V329" s="163"/>
      <c r="W329" s="163"/>
      <c r="X329" s="417">
        <v>299993</v>
      </c>
      <c r="Y329" s="1006" t="s">
        <v>702</v>
      </c>
      <c r="Z329" s="163"/>
      <c r="AA329" s="163"/>
      <c r="AB329" s="168"/>
      <c r="AC329" s="168"/>
      <c r="AD329" s="168"/>
      <c r="AE329" s="168">
        <v>459201.6</v>
      </c>
      <c r="AF329" s="168">
        <v>8362.8</v>
      </c>
      <c r="AG329" s="168"/>
      <c r="AH329" s="169"/>
      <c r="AI329" s="170">
        <v>0.6763106140725907</v>
      </c>
      <c r="AJ329" s="152" t="s">
        <v>143</v>
      </c>
      <c r="AK329" s="171"/>
      <c r="AL329" s="171"/>
      <c r="AM329" s="540"/>
      <c r="AN329" s="38"/>
      <c r="AO329" s="38"/>
      <c r="AP329" s="38"/>
      <c r="AQ329" s="38"/>
      <c r="AR329" s="38"/>
      <c r="AS329" s="38"/>
      <c r="AT329" s="38"/>
      <c r="AU329" s="38"/>
      <c r="AV329" s="38"/>
      <c r="AW329" s="38"/>
      <c r="AX329" s="38"/>
      <c r="AY329" s="38"/>
      <c r="AZ329" s="38"/>
      <c r="BA329" s="38"/>
      <c r="BB329" s="38"/>
      <c r="BC329" s="38"/>
      <c r="BD329" s="38"/>
      <c r="BE329" s="38"/>
      <c r="BF329" s="38"/>
    </row>
    <row r="330" spans="1:58" s="173" customFormat="1" ht="25.5" customHeight="1">
      <c r="A330" s="153"/>
      <c r="B330" s="154" t="s">
        <v>189</v>
      </c>
      <c r="C330" s="155" t="s">
        <v>189</v>
      </c>
      <c r="D330" s="511"/>
      <c r="E330" s="548"/>
      <c r="F330" s="549">
        <v>656</v>
      </c>
      <c r="G330" s="1075" t="s">
        <v>506</v>
      </c>
      <c r="H330" s="551">
        <v>244</v>
      </c>
      <c r="I330" s="551">
        <v>226</v>
      </c>
      <c r="J330" s="1045"/>
      <c r="K330" s="162"/>
      <c r="L330" s="163">
        <v>196000</v>
      </c>
      <c r="M330" s="163">
        <v>167000</v>
      </c>
      <c r="N330" s="163">
        <v>130000</v>
      </c>
      <c r="O330" s="163">
        <v>173615</v>
      </c>
      <c r="P330" s="163">
        <v>666615</v>
      </c>
      <c r="Q330" s="167">
        <f>R330+S330+T330+U330</f>
        <v>838975.6300000001</v>
      </c>
      <c r="R330" s="163">
        <f>R329*30.2%</f>
        <v>359239.1472</v>
      </c>
      <c r="S330" s="163">
        <f>S329*30.2%</f>
        <v>166100</v>
      </c>
      <c r="T330" s="163">
        <f>T329*30.2%</f>
        <v>162535.0108</v>
      </c>
      <c r="U330" s="163">
        <f>U329*30.2%</f>
        <v>151101.472</v>
      </c>
      <c r="V330" s="165"/>
      <c r="W330" s="163" t="s">
        <v>650</v>
      </c>
      <c r="X330" s="193"/>
      <c r="Y330" s="194"/>
      <c r="Z330" s="163"/>
      <c r="AA330" s="163"/>
      <c r="AB330" s="168"/>
      <c r="AC330" s="168"/>
      <c r="AD330" s="168"/>
      <c r="AE330" s="168">
        <v>459201.6</v>
      </c>
      <c r="AF330" s="168">
        <v>8362.8</v>
      </c>
      <c r="AG330" s="168"/>
      <c r="AH330" s="169"/>
      <c r="AI330" s="170">
        <v>0.6763106140725907</v>
      </c>
      <c r="AJ330" s="152" t="s">
        <v>143</v>
      </c>
      <c r="AK330" s="171"/>
      <c r="AL330" s="171"/>
      <c r="AM330" s="540"/>
      <c r="AN330" s="38"/>
      <c r="AO330" s="38"/>
      <c r="AP330" s="38"/>
      <c r="AQ330" s="38"/>
      <c r="AR330" s="38"/>
      <c r="AS330" s="38"/>
      <c r="AT330" s="38"/>
      <c r="AU330" s="38"/>
      <c r="AV330" s="38"/>
      <c r="AW330" s="38"/>
      <c r="AX330" s="38"/>
      <c r="AY330" s="38"/>
      <c r="AZ330" s="38"/>
      <c r="BA330" s="38"/>
      <c r="BB330" s="38"/>
      <c r="BC330" s="38"/>
      <c r="BD330" s="38"/>
      <c r="BE330" s="38"/>
      <c r="BF330" s="38"/>
    </row>
    <row r="331" spans="1:58" s="173" customFormat="1" ht="34.5" customHeight="1">
      <c r="A331" s="153"/>
      <c r="B331" s="154" t="s">
        <v>311</v>
      </c>
      <c r="C331" s="155" t="s">
        <v>311</v>
      </c>
      <c r="D331" s="568"/>
      <c r="E331" s="569">
        <v>605</v>
      </c>
      <c r="F331" s="570">
        <v>656</v>
      </c>
      <c r="G331" s="571" t="s">
        <v>645</v>
      </c>
      <c r="H331" s="572" t="s">
        <v>91</v>
      </c>
      <c r="I331" s="572">
        <v>346</v>
      </c>
      <c r="J331" s="573" t="s">
        <v>160</v>
      </c>
      <c r="K331" s="162"/>
      <c r="L331" s="163">
        <v>70000</v>
      </c>
      <c r="M331" s="163">
        <v>-70000</v>
      </c>
      <c r="N331" s="163">
        <v>0</v>
      </c>
      <c r="O331" s="163">
        <v>70000</v>
      </c>
      <c r="P331" s="163">
        <v>70000</v>
      </c>
      <c r="Q331" s="167">
        <f>R331+S331+T331+U331</f>
        <v>60000</v>
      </c>
      <c r="R331" s="162">
        <v>30000</v>
      </c>
      <c r="S331" s="162">
        <v>30000</v>
      </c>
      <c r="T331" s="162">
        <v>0</v>
      </c>
      <c r="U331" s="162"/>
      <c r="V331" s="417">
        <v>450</v>
      </c>
      <c r="W331" s="543" t="s">
        <v>315</v>
      </c>
      <c r="X331" s="193"/>
      <c r="Y331" s="255"/>
      <c r="Z331" s="178">
        <f>Z342+Z330</f>
        <v>450</v>
      </c>
      <c r="AA331" s="178">
        <f>AA342+AA330</f>
        <v>450</v>
      </c>
      <c r="AB331" s="1410"/>
      <c r="AC331" s="1411"/>
      <c r="AD331" s="1412"/>
      <c r="AE331" s="184">
        <v>1968169.27</v>
      </c>
      <c r="AF331" s="185">
        <v>29062.8</v>
      </c>
      <c r="AG331" s="1410"/>
      <c r="AH331" s="1412"/>
      <c r="AI331" s="186">
        <v>0.6798762048119268</v>
      </c>
      <c r="AJ331" s="152" t="s">
        <v>143</v>
      </c>
      <c r="AK331" s="171"/>
      <c r="AL331" s="171"/>
      <c r="AM331" s="540"/>
      <c r="AN331" s="38"/>
      <c r="AO331" s="38"/>
      <c r="AP331" s="38"/>
      <c r="AQ331" s="38"/>
      <c r="AR331" s="38"/>
      <c r="AS331" s="38"/>
      <c r="AT331" s="38"/>
      <c r="AU331" s="38"/>
      <c r="AV331" s="38"/>
      <c r="AW331" s="38"/>
      <c r="AX331" s="38"/>
      <c r="AY331" s="38"/>
      <c r="AZ331" s="38"/>
      <c r="BA331" s="38"/>
      <c r="BB331" s="38"/>
      <c r="BC331" s="38"/>
      <c r="BD331" s="38"/>
      <c r="BE331" s="38"/>
      <c r="BF331" s="38"/>
    </row>
    <row r="332" spans="1:58" s="173" customFormat="1" ht="34.5" customHeight="1">
      <c r="A332" s="153"/>
      <c r="B332" s="154"/>
      <c r="C332" s="155"/>
      <c r="D332" s="1433" t="s">
        <v>665</v>
      </c>
      <c r="E332" s="1434"/>
      <c r="F332" s="1434"/>
      <c r="G332" s="1434"/>
      <c r="H332" s="1434"/>
      <c r="I332" s="1434"/>
      <c r="J332" s="1434"/>
      <c r="K332" s="1434"/>
      <c r="L332" s="1434"/>
      <c r="M332" s="1434"/>
      <c r="N332" s="1434"/>
      <c r="O332" s="1434"/>
      <c r="P332" s="1434"/>
      <c r="Q332" s="1434"/>
      <c r="R332" s="1434"/>
      <c r="S332" s="1434"/>
      <c r="T332" s="1434"/>
      <c r="U332" s="1434"/>
      <c r="V332" s="1434"/>
      <c r="W332" s="1434"/>
      <c r="X332" s="1434"/>
      <c r="Y332" s="1434"/>
      <c r="Z332" s="1434"/>
      <c r="AA332" s="1435"/>
      <c r="AB332" s="1073"/>
      <c r="AC332" s="183"/>
      <c r="AD332" s="1074"/>
      <c r="AE332" s="184"/>
      <c r="AF332" s="185"/>
      <c r="AG332" s="1073"/>
      <c r="AH332" s="1074"/>
      <c r="AI332" s="186"/>
      <c r="AJ332" s="152"/>
      <c r="AK332" s="171"/>
      <c r="AL332" s="171"/>
      <c r="AM332" s="540"/>
      <c r="AN332" s="38"/>
      <c r="AO332" s="38"/>
      <c r="AP332" s="38"/>
      <c r="AQ332" s="38"/>
      <c r="AR332" s="38"/>
      <c r="AS332" s="38"/>
      <c r="AT332" s="38"/>
      <c r="AU332" s="38"/>
      <c r="AV332" s="38"/>
      <c r="AW332" s="38"/>
      <c r="AX332" s="38"/>
      <c r="AY332" s="38"/>
      <c r="AZ332" s="38"/>
      <c r="BA332" s="38"/>
      <c r="BB332" s="38"/>
      <c r="BC332" s="38"/>
      <c r="BD332" s="38"/>
      <c r="BE332" s="38"/>
      <c r="BF332" s="38"/>
    </row>
    <row r="333" spans="1:58" s="173" customFormat="1" ht="21" customHeight="1">
      <c r="A333" s="153"/>
      <c r="B333" s="154" t="s">
        <v>189</v>
      </c>
      <c r="C333" s="155" t="s">
        <v>189</v>
      </c>
      <c r="D333" s="511" t="s">
        <v>555</v>
      </c>
      <c r="E333" s="1077">
        <v>605</v>
      </c>
      <c r="F333" s="549">
        <v>656</v>
      </c>
      <c r="G333" s="1076" t="s">
        <v>668</v>
      </c>
      <c r="H333" s="551">
        <v>244</v>
      </c>
      <c r="I333" s="551">
        <v>226</v>
      </c>
      <c r="J333" s="193"/>
      <c r="K333" s="162"/>
      <c r="L333" s="163">
        <v>196000</v>
      </c>
      <c r="M333" s="163">
        <v>167000</v>
      </c>
      <c r="N333" s="163">
        <v>130000</v>
      </c>
      <c r="O333" s="163">
        <v>173615</v>
      </c>
      <c r="P333" s="163">
        <v>666615</v>
      </c>
      <c r="Q333" s="167">
        <f>R333+S333+T333+U333</f>
        <v>838975.6300000001</v>
      </c>
      <c r="R333" s="163">
        <f>R329*30.2%</f>
        <v>359239.1472</v>
      </c>
      <c r="S333" s="163">
        <f>S329*30.2%</f>
        <v>166100</v>
      </c>
      <c r="T333" s="163">
        <f>T329*30.2%</f>
        <v>162535.0108</v>
      </c>
      <c r="U333" s="163">
        <f>U329*30.2%</f>
        <v>151101.472</v>
      </c>
      <c r="V333" s="1101">
        <v>74434.6</v>
      </c>
      <c r="W333" s="167" t="s">
        <v>666</v>
      </c>
      <c r="X333" s="193"/>
      <c r="Y333" s="167"/>
      <c r="Z333" s="163"/>
      <c r="AA333" s="163"/>
      <c r="AB333" s="168"/>
      <c r="AC333" s="168"/>
      <c r="AD333" s="168"/>
      <c r="AE333" s="168">
        <v>459201.6</v>
      </c>
      <c r="AF333" s="168">
        <v>8362.8</v>
      </c>
      <c r="AG333" s="168"/>
      <c r="AH333" s="169"/>
      <c r="AI333" s="170">
        <v>0.6763106140725907</v>
      </c>
      <c r="AJ333" s="152" t="s">
        <v>143</v>
      </c>
      <c r="AK333" s="171"/>
      <c r="AL333" s="171"/>
      <c r="AM333" s="540"/>
      <c r="AN333" s="38"/>
      <c r="AO333" s="38"/>
      <c r="AP333" s="38"/>
      <c r="AQ333" s="38"/>
      <c r="AR333" s="38"/>
      <c r="AS333" s="38"/>
      <c r="AT333" s="38"/>
      <c r="AU333" s="38"/>
      <c r="AV333" s="38"/>
      <c r="AW333" s="38"/>
      <c r="AX333" s="38"/>
      <c r="AY333" s="38"/>
      <c r="AZ333" s="38"/>
      <c r="BA333" s="38"/>
      <c r="BB333" s="38"/>
      <c r="BC333" s="38"/>
      <c r="BD333" s="38"/>
      <c r="BE333" s="38"/>
      <c r="BF333" s="38"/>
    </row>
    <row r="334" spans="1:58" s="291" customFormat="1" ht="21" customHeight="1">
      <c r="A334" s="301"/>
      <c r="B334" s="302"/>
      <c r="C334" s="303"/>
      <c r="D334" s="304"/>
      <c r="E334" s="305">
        <v>503</v>
      </c>
      <c r="F334" s="306">
        <v>656</v>
      </c>
      <c r="G334" s="1151" t="s">
        <v>506</v>
      </c>
      <c r="H334" s="309">
        <v>244</v>
      </c>
      <c r="I334" s="309">
        <v>226</v>
      </c>
      <c r="J334" s="310"/>
      <c r="K334" s="311"/>
      <c r="L334" s="312"/>
      <c r="M334" s="312"/>
      <c r="N334" s="312"/>
      <c r="O334" s="312"/>
      <c r="P334" s="312"/>
      <c r="Q334" s="313"/>
      <c r="R334" s="312"/>
      <c r="S334" s="312"/>
      <c r="T334" s="312"/>
      <c r="U334" s="312"/>
      <c r="V334" s="316">
        <v>8458.5</v>
      </c>
      <c r="W334" s="312" t="s">
        <v>649</v>
      </c>
      <c r="X334" s="316">
        <v>-8458.5</v>
      </c>
      <c r="Y334" s="312" t="s">
        <v>649</v>
      </c>
      <c r="Z334" s="312"/>
      <c r="AA334" s="312"/>
      <c r="AB334" s="317"/>
      <c r="AC334" s="317"/>
      <c r="AD334" s="317"/>
      <c r="AE334" s="317"/>
      <c r="AF334" s="317"/>
      <c r="AG334" s="317"/>
      <c r="AH334" s="318"/>
      <c r="AI334" s="319"/>
      <c r="AJ334" s="320"/>
      <c r="AK334" s="276"/>
      <c r="AL334" s="276"/>
      <c r="AM334" s="290"/>
      <c r="AN334" s="290"/>
      <c r="AO334" s="290"/>
      <c r="AP334" s="290"/>
      <c r="AQ334" s="290"/>
      <c r="AR334" s="290"/>
      <c r="AS334" s="290"/>
      <c r="AT334" s="290"/>
      <c r="AU334" s="290"/>
      <c r="AV334" s="290"/>
      <c r="AW334" s="290"/>
      <c r="AX334" s="290"/>
      <c r="AY334" s="290"/>
      <c r="AZ334" s="290"/>
      <c r="BA334" s="290"/>
      <c r="BB334" s="290"/>
      <c r="BC334" s="290"/>
      <c r="BD334" s="290"/>
      <c r="BE334" s="290"/>
      <c r="BF334" s="290"/>
    </row>
    <row r="335" spans="1:58" s="291" customFormat="1" ht="21" customHeight="1">
      <c r="A335" s="301"/>
      <c r="B335" s="302"/>
      <c r="C335" s="303"/>
      <c r="D335" s="304"/>
      <c r="E335" s="305">
        <v>605</v>
      </c>
      <c r="F335" s="306">
        <v>656</v>
      </c>
      <c r="G335" s="1152" t="s">
        <v>668</v>
      </c>
      <c r="H335" s="309">
        <v>244</v>
      </c>
      <c r="I335" s="309">
        <v>226</v>
      </c>
      <c r="J335" s="310"/>
      <c r="K335" s="311"/>
      <c r="L335" s="312"/>
      <c r="M335" s="312"/>
      <c r="N335" s="312"/>
      <c r="O335" s="312"/>
      <c r="P335" s="312"/>
      <c r="Q335" s="313"/>
      <c r="R335" s="312"/>
      <c r="S335" s="312"/>
      <c r="T335" s="312"/>
      <c r="U335" s="312"/>
      <c r="V335" s="314"/>
      <c r="W335" s="1153"/>
      <c r="X335" s="316">
        <v>8458.5</v>
      </c>
      <c r="Y335" s="312" t="s">
        <v>649</v>
      </c>
      <c r="Z335" s="312"/>
      <c r="AA335" s="312"/>
      <c r="AB335" s="317"/>
      <c r="AC335" s="317"/>
      <c r="AD335" s="317"/>
      <c r="AE335" s="317"/>
      <c r="AF335" s="317"/>
      <c r="AG335" s="317"/>
      <c r="AH335" s="318"/>
      <c r="AI335" s="319"/>
      <c r="AJ335" s="320"/>
      <c r="AK335" s="276"/>
      <c r="AL335" s="276"/>
      <c r="AM335" s="290"/>
      <c r="AN335" s="290"/>
      <c r="AO335" s="290"/>
      <c r="AP335" s="290"/>
      <c r="AQ335" s="290"/>
      <c r="AR335" s="290"/>
      <c r="AS335" s="290"/>
      <c r="AT335" s="290"/>
      <c r="AU335" s="290"/>
      <c r="AV335" s="290"/>
      <c r="AW335" s="290"/>
      <c r="AX335" s="290"/>
      <c r="AY335" s="290"/>
      <c r="AZ335" s="290"/>
      <c r="BA335" s="290"/>
      <c r="BB335" s="290"/>
      <c r="BC335" s="290"/>
      <c r="BD335" s="290"/>
      <c r="BE335" s="290"/>
      <c r="BF335" s="290"/>
    </row>
    <row r="336" spans="1:58" s="291" customFormat="1" ht="21" customHeight="1">
      <c r="A336" s="301"/>
      <c r="B336" s="302"/>
      <c r="C336" s="303"/>
      <c r="D336" s="304"/>
      <c r="E336" s="305">
        <v>605</v>
      </c>
      <c r="F336" s="306">
        <v>656</v>
      </c>
      <c r="G336" s="1152" t="s">
        <v>668</v>
      </c>
      <c r="H336" s="309">
        <v>244</v>
      </c>
      <c r="I336" s="309">
        <v>226</v>
      </c>
      <c r="J336" s="310"/>
      <c r="K336" s="311"/>
      <c r="L336" s="312"/>
      <c r="M336" s="312"/>
      <c r="N336" s="312"/>
      <c r="O336" s="312"/>
      <c r="P336" s="312"/>
      <c r="Q336" s="313"/>
      <c r="R336" s="312"/>
      <c r="S336" s="312"/>
      <c r="T336" s="312"/>
      <c r="U336" s="312"/>
      <c r="V336" s="314"/>
      <c r="W336" s="1153"/>
      <c r="X336" s="316">
        <v>1691.7</v>
      </c>
      <c r="Y336" s="313" t="s">
        <v>666</v>
      </c>
      <c r="Z336" s="312"/>
      <c r="AA336" s="312"/>
      <c r="AB336" s="317"/>
      <c r="AC336" s="317"/>
      <c r="AD336" s="317"/>
      <c r="AE336" s="317"/>
      <c r="AF336" s="317"/>
      <c r="AG336" s="317"/>
      <c r="AH336" s="318"/>
      <c r="AI336" s="319"/>
      <c r="AJ336" s="320"/>
      <c r="AK336" s="276"/>
      <c r="AL336" s="276"/>
      <c r="AM336" s="290"/>
      <c r="AN336" s="290"/>
      <c r="AO336" s="290"/>
      <c r="AP336" s="290"/>
      <c r="AQ336" s="290"/>
      <c r="AR336" s="290"/>
      <c r="AS336" s="290"/>
      <c r="AT336" s="290"/>
      <c r="AU336" s="290"/>
      <c r="AV336" s="290"/>
      <c r="AW336" s="290"/>
      <c r="AX336" s="290"/>
      <c r="AY336" s="290"/>
      <c r="AZ336" s="290"/>
      <c r="BA336" s="290"/>
      <c r="BB336" s="290"/>
      <c r="BC336" s="290"/>
      <c r="BD336" s="290"/>
      <c r="BE336" s="290"/>
      <c r="BF336" s="290"/>
    </row>
    <row r="337" spans="1:58" s="173" customFormat="1" ht="24.75" customHeight="1">
      <c r="A337" s="153"/>
      <c r="B337" s="154" t="s">
        <v>189</v>
      </c>
      <c r="C337" s="155" t="s">
        <v>189</v>
      </c>
      <c r="D337" s="511"/>
      <c r="E337" s="548">
        <v>503</v>
      </c>
      <c r="F337" s="549">
        <v>656</v>
      </c>
      <c r="G337" s="1075" t="s">
        <v>647</v>
      </c>
      <c r="H337" s="551">
        <v>244</v>
      </c>
      <c r="I337" s="551">
        <v>226</v>
      </c>
      <c r="J337" s="1045"/>
      <c r="K337" s="162"/>
      <c r="L337" s="163">
        <v>196000</v>
      </c>
      <c r="M337" s="163">
        <v>167000</v>
      </c>
      <c r="N337" s="163">
        <v>130000</v>
      </c>
      <c r="O337" s="163">
        <v>173615</v>
      </c>
      <c r="P337" s="163">
        <v>666615</v>
      </c>
      <c r="Q337" s="167">
        <f aca="true" t="shared" si="4" ref="Q337:Q342">R337+S337+T337+U337</f>
        <v>0</v>
      </c>
      <c r="R337" s="163">
        <f aca="true" t="shared" si="5" ref="R337:U340">R327*30.2%</f>
        <v>0</v>
      </c>
      <c r="S337" s="163">
        <f t="shared" si="5"/>
        <v>0</v>
      </c>
      <c r="T337" s="163">
        <f t="shared" si="5"/>
        <v>0</v>
      </c>
      <c r="U337" s="163">
        <f t="shared" si="5"/>
        <v>0</v>
      </c>
      <c r="V337" s="417">
        <v>2466640.2</v>
      </c>
      <c r="W337" s="1006" t="s">
        <v>686</v>
      </c>
      <c r="X337" s="417">
        <v>30000</v>
      </c>
      <c r="Y337" s="1006" t="s">
        <v>717</v>
      </c>
      <c r="Z337" s="195"/>
      <c r="AA337" s="195"/>
      <c r="AB337" s="168"/>
      <c r="AC337" s="168"/>
      <c r="AD337" s="168"/>
      <c r="AE337" s="168"/>
      <c r="AF337" s="168"/>
      <c r="AG337" s="168"/>
      <c r="AH337" s="169"/>
      <c r="AI337" s="170"/>
      <c r="AJ337" s="152"/>
      <c r="AK337" s="171"/>
      <c r="AL337" s="171"/>
      <c r="AM337" s="38"/>
      <c r="AN337" s="38"/>
      <c r="AO337" s="38"/>
      <c r="AP337" s="38"/>
      <c r="AQ337" s="38"/>
      <c r="AR337" s="38"/>
      <c r="AS337" s="38"/>
      <c r="AT337" s="38"/>
      <c r="AU337" s="38"/>
      <c r="AV337" s="38"/>
      <c r="AW337" s="38"/>
      <c r="AX337" s="38"/>
      <c r="AY337" s="38"/>
      <c r="AZ337" s="38"/>
      <c r="BA337" s="38"/>
      <c r="BB337" s="38"/>
      <c r="BC337" s="38"/>
      <c r="BD337" s="38"/>
      <c r="BE337" s="38"/>
      <c r="BF337" s="38"/>
    </row>
    <row r="338" spans="1:58" s="173" customFormat="1" ht="34.5" customHeight="1">
      <c r="A338" s="153"/>
      <c r="B338" s="154" t="s">
        <v>189</v>
      </c>
      <c r="C338" s="155" t="s">
        <v>189</v>
      </c>
      <c r="D338" s="511"/>
      <c r="E338" s="548">
        <v>503</v>
      </c>
      <c r="F338" s="549">
        <v>656</v>
      </c>
      <c r="G338" s="1075" t="s">
        <v>647</v>
      </c>
      <c r="H338" s="551">
        <v>244</v>
      </c>
      <c r="I338" s="551">
        <v>225</v>
      </c>
      <c r="J338" s="1045"/>
      <c r="K338" s="162"/>
      <c r="L338" s="163">
        <v>196000</v>
      </c>
      <c r="M338" s="163">
        <v>167000</v>
      </c>
      <c r="N338" s="163">
        <v>130000</v>
      </c>
      <c r="O338" s="163">
        <v>173615</v>
      </c>
      <c r="P338" s="163">
        <v>666615</v>
      </c>
      <c r="Q338" s="167">
        <f t="shared" si="4"/>
        <v>0</v>
      </c>
      <c r="R338" s="163">
        <f t="shared" si="5"/>
        <v>0</v>
      </c>
      <c r="S338" s="163">
        <f t="shared" si="5"/>
        <v>0</v>
      </c>
      <c r="T338" s="163">
        <f t="shared" si="5"/>
        <v>0</v>
      </c>
      <c r="U338" s="163">
        <f t="shared" si="5"/>
        <v>0</v>
      </c>
      <c r="V338" s="417">
        <v>40400</v>
      </c>
      <c r="W338" s="1006" t="s">
        <v>653</v>
      </c>
      <c r="X338" s="417">
        <v>50000</v>
      </c>
      <c r="Y338" s="1006" t="s">
        <v>708</v>
      </c>
      <c r="Z338" s="195"/>
      <c r="AA338" s="195"/>
      <c r="AB338" s="168"/>
      <c r="AC338" s="168"/>
      <c r="AD338" s="168"/>
      <c r="AE338" s="168"/>
      <c r="AF338" s="168"/>
      <c r="AG338" s="168"/>
      <c r="AH338" s="169"/>
      <c r="AI338" s="170"/>
      <c r="AJ338" s="152"/>
      <c r="AK338" s="171"/>
      <c r="AL338" s="171"/>
      <c r="AM338" s="38"/>
      <c r="AN338" s="38"/>
      <c r="AO338" s="38"/>
      <c r="AP338" s="38"/>
      <c r="AQ338" s="38"/>
      <c r="AR338" s="38"/>
      <c r="AS338" s="38"/>
      <c r="AT338" s="38"/>
      <c r="AU338" s="38"/>
      <c r="AV338" s="38"/>
      <c r="AW338" s="38"/>
      <c r="AX338" s="38"/>
      <c r="AY338" s="38"/>
      <c r="AZ338" s="38"/>
      <c r="BA338" s="38"/>
      <c r="BB338" s="38"/>
      <c r="BC338" s="38"/>
      <c r="BD338" s="38"/>
      <c r="BE338" s="38"/>
      <c r="BF338" s="38"/>
    </row>
    <row r="339" spans="1:58" s="173" customFormat="1" ht="23.25" customHeight="1">
      <c r="A339" s="153"/>
      <c r="B339" s="154" t="s">
        <v>189</v>
      </c>
      <c r="C339" s="155" t="s">
        <v>189</v>
      </c>
      <c r="D339" s="511"/>
      <c r="E339" s="548">
        <v>503</v>
      </c>
      <c r="F339" s="549">
        <v>656</v>
      </c>
      <c r="G339" s="250" t="s">
        <v>647</v>
      </c>
      <c r="H339" s="551">
        <v>244</v>
      </c>
      <c r="I339" s="551">
        <v>346</v>
      </c>
      <c r="J339" s="1045"/>
      <c r="K339" s="162"/>
      <c r="L339" s="163">
        <v>196000</v>
      </c>
      <c r="M339" s="163">
        <v>167000</v>
      </c>
      <c r="N339" s="163">
        <v>130000</v>
      </c>
      <c r="O339" s="163">
        <v>173615</v>
      </c>
      <c r="P339" s="163">
        <v>666615</v>
      </c>
      <c r="Q339" s="167">
        <f t="shared" si="4"/>
        <v>838975.6300000001</v>
      </c>
      <c r="R339" s="163">
        <f t="shared" si="5"/>
        <v>359239.1472</v>
      </c>
      <c r="S339" s="163">
        <f t="shared" si="5"/>
        <v>166100</v>
      </c>
      <c r="T339" s="163">
        <f t="shared" si="5"/>
        <v>162535.0108</v>
      </c>
      <c r="U339" s="163">
        <f t="shared" si="5"/>
        <v>151101.472</v>
      </c>
      <c r="V339" s="163">
        <v>0</v>
      </c>
      <c r="W339" s="163" t="s">
        <v>652</v>
      </c>
      <c r="X339" s="193">
        <v>80000</v>
      </c>
      <c r="Y339" s="167" t="s">
        <v>671</v>
      </c>
      <c r="Z339" s="163"/>
      <c r="AA339" s="163"/>
      <c r="AB339" s="168"/>
      <c r="AC339" s="168"/>
      <c r="AD339" s="168"/>
      <c r="AE339" s="168">
        <v>459201.6</v>
      </c>
      <c r="AF339" s="168">
        <v>8362.8</v>
      </c>
      <c r="AG339" s="168"/>
      <c r="AH339" s="169"/>
      <c r="AI339" s="170">
        <v>0.6763106140725907</v>
      </c>
      <c r="AJ339" s="152" t="s">
        <v>143</v>
      </c>
      <c r="AK339" s="171"/>
      <c r="AL339" s="171"/>
      <c r="AM339" s="540"/>
      <c r="AN339" s="38"/>
      <c r="AO339" s="38"/>
      <c r="AP339" s="38"/>
      <c r="AQ339" s="38"/>
      <c r="AR339" s="38"/>
      <c r="AS339" s="38"/>
      <c r="AT339" s="38"/>
      <c r="AU339" s="38"/>
      <c r="AV339" s="38"/>
      <c r="AW339" s="38"/>
      <c r="AX339" s="38"/>
      <c r="AY339" s="38"/>
      <c r="AZ339" s="38"/>
      <c r="BA339" s="38"/>
      <c r="BB339" s="38"/>
      <c r="BC339" s="38"/>
      <c r="BD339" s="38"/>
      <c r="BE339" s="38"/>
      <c r="BF339" s="38"/>
    </row>
    <row r="340" spans="1:58" s="291" customFormat="1" ht="16.5" customHeight="1">
      <c r="A340" s="301"/>
      <c r="B340" s="302" t="s">
        <v>189</v>
      </c>
      <c r="C340" s="303" t="s">
        <v>189</v>
      </c>
      <c r="D340" s="304"/>
      <c r="E340" s="305">
        <v>405</v>
      </c>
      <c r="F340" s="306">
        <v>656</v>
      </c>
      <c r="G340" s="1154" t="s">
        <v>714</v>
      </c>
      <c r="H340" s="309">
        <v>244</v>
      </c>
      <c r="I340" s="309">
        <v>226</v>
      </c>
      <c r="J340" s="310"/>
      <c r="K340" s="311"/>
      <c r="L340" s="312">
        <v>196000</v>
      </c>
      <c r="M340" s="312">
        <v>167000</v>
      </c>
      <c r="N340" s="312">
        <v>130000</v>
      </c>
      <c r="O340" s="312">
        <v>173615</v>
      </c>
      <c r="P340" s="312">
        <v>666615</v>
      </c>
      <c r="Q340" s="313">
        <f t="shared" si="4"/>
        <v>253370.64026</v>
      </c>
      <c r="R340" s="312">
        <f t="shared" si="5"/>
        <v>108490.2224544</v>
      </c>
      <c r="S340" s="312">
        <f t="shared" si="5"/>
        <v>50162.2</v>
      </c>
      <c r="T340" s="312">
        <f t="shared" si="5"/>
        <v>49085.573261599995</v>
      </c>
      <c r="U340" s="312">
        <f t="shared" si="5"/>
        <v>45632.644544</v>
      </c>
      <c r="V340" s="314">
        <v>57280</v>
      </c>
      <c r="W340" s="316" t="s">
        <v>667</v>
      </c>
      <c r="X340" s="316"/>
      <c r="Y340" s="316"/>
      <c r="Z340" s="314"/>
      <c r="AA340" s="314"/>
      <c r="AB340" s="317"/>
      <c r="AC340" s="317"/>
      <c r="AD340" s="317"/>
      <c r="AE340" s="317"/>
      <c r="AF340" s="317"/>
      <c r="AG340" s="317"/>
      <c r="AH340" s="318"/>
      <c r="AI340" s="319"/>
      <c r="AJ340" s="320"/>
      <c r="AK340" s="276"/>
      <c r="AL340" s="276"/>
      <c r="AM340" s="290"/>
      <c r="AN340" s="290"/>
      <c r="AO340" s="290"/>
      <c r="AP340" s="290"/>
      <c r="AQ340" s="290"/>
      <c r="AR340" s="290"/>
      <c r="AS340" s="290"/>
      <c r="AT340" s="290"/>
      <c r="AU340" s="290"/>
      <c r="AV340" s="290"/>
      <c r="AW340" s="290"/>
      <c r="AX340" s="290"/>
      <c r="AY340" s="290"/>
      <c r="AZ340" s="290"/>
      <c r="BA340" s="290"/>
      <c r="BB340" s="290"/>
      <c r="BC340" s="290"/>
      <c r="BD340" s="290"/>
      <c r="BE340" s="290"/>
      <c r="BF340" s="290"/>
    </row>
    <row r="341" spans="1:58" s="173" customFormat="1" ht="12.75" customHeight="1">
      <c r="A341" s="153"/>
      <c r="B341" s="154" t="s">
        <v>311</v>
      </c>
      <c r="C341" s="155" t="s">
        <v>311</v>
      </c>
      <c r="D341" s="156"/>
      <c r="E341" s="157">
        <v>503</v>
      </c>
      <c r="F341" s="158">
        <v>656</v>
      </c>
      <c r="G341" s="250"/>
      <c r="H341" s="160" t="s">
        <v>91</v>
      </c>
      <c r="I341" s="160">
        <v>310</v>
      </c>
      <c r="J341" s="161">
        <v>0</v>
      </c>
      <c r="K341" s="162"/>
      <c r="L341" s="163">
        <v>70000</v>
      </c>
      <c r="M341" s="163">
        <v>-70000</v>
      </c>
      <c r="N341" s="163">
        <v>0</v>
      </c>
      <c r="O341" s="163">
        <v>70000</v>
      </c>
      <c r="P341" s="163">
        <v>70000</v>
      </c>
      <c r="Q341" s="167">
        <f t="shared" si="4"/>
        <v>60000</v>
      </c>
      <c r="R341" s="162">
        <v>30000</v>
      </c>
      <c r="S341" s="162">
        <v>30000</v>
      </c>
      <c r="T341" s="162">
        <v>0</v>
      </c>
      <c r="U341" s="162"/>
      <c r="V341" s="368"/>
      <c r="W341" s="162" t="s">
        <v>314</v>
      </c>
      <c r="X341" s="193"/>
      <c r="Y341" s="194"/>
      <c r="Z341" s="195"/>
      <c r="AA341" s="195"/>
      <c r="AB341" s="168"/>
      <c r="AC341" s="168"/>
      <c r="AD341" s="168"/>
      <c r="AE341" s="168"/>
      <c r="AF341" s="168"/>
      <c r="AG341" s="168"/>
      <c r="AH341" s="169"/>
      <c r="AI341" s="170"/>
      <c r="AJ341" s="152"/>
      <c r="AK341" s="171"/>
      <c r="AL341" s="171"/>
      <c r="AM341" s="540"/>
      <c r="AN341" s="38"/>
      <c r="AO341" s="38"/>
      <c r="AP341" s="38"/>
      <c r="AQ341" s="38"/>
      <c r="AR341" s="38"/>
      <c r="AS341" s="38"/>
      <c r="AT341" s="38"/>
      <c r="AU341" s="38"/>
      <c r="AV341" s="38"/>
      <c r="AW341" s="38"/>
      <c r="AX341" s="38"/>
      <c r="AY341" s="38"/>
      <c r="AZ341" s="38"/>
      <c r="BA341" s="38"/>
      <c r="BB341" s="38"/>
      <c r="BC341" s="38"/>
      <c r="BD341" s="38"/>
      <c r="BE341" s="38"/>
      <c r="BF341" s="38"/>
    </row>
    <row r="342" spans="1:58" s="173" customFormat="1" ht="11.25" customHeight="1">
      <c r="A342" s="153"/>
      <c r="B342" s="154" t="s">
        <v>311</v>
      </c>
      <c r="C342" s="155" t="s">
        <v>311</v>
      </c>
      <c r="D342" s="156"/>
      <c r="E342" s="157">
        <v>503</v>
      </c>
      <c r="F342" s="158">
        <v>656</v>
      </c>
      <c r="G342" s="250"/>
      <c r="H342" s="160" t="s">
        <v>91</v>
      </c>
      <c r="I342" s="160">
        <v>344</v>
      </c>
      <c r="J342" s="161" t="s">
        <v>160</v>
      </c>
      <c r="K342" s="162"/>
      <c r="L342" s="163">
        <v>70000</v>
      </c>
      <c r="M342" s="163">
        <v>-70000</v>
      </c>
      <c r="N342" s="163">
        <v>0</v>
      </c>
      <c r="O342" s="163">
        <v>70000</v>
      </c>
      <c r="P342" s="163">
        <v>70000</v>
      </c>
      <c r="Q342" s="167">
        <f t="shared" si="4"/>
        <v>60000</v>
      </c>
      <c r="R342" s="162">
        <v>30000</v>
      </c>
      <c r="S342" s="162">
        <v>30000</v>
      </c>
      <c r="T342" s="162">
        <v>0</v>
      </c>
      <c r="U342" s="162"/>
      <c r="V342" s="368"/>
      <c r="W342" s="162"/>
      <c r="X342" s="193"/>
      <c r="Y342" s="194"/>
      <c r="Z342" s="417">
        <v>450</v>
      </c>
      <c r="AA342" s="417">
        <v>450</v>
      </c>
      <c r="AB342" s="168"/>
      <c r="AC342" s="168"/>
      <c r="AD342" s="168"/>
      <c r="AE342" s="168"/>
      <c r="AF342" s="168"/>
      <c r="AG342" s="168"/>
      <c r="AH342" s="169"/>
      <c r="AI342" s="170"/>
      <c r="AJ342" s="152"/>
      <c r="AK342" s="171"/>
      <c r="AL342" s="171"/>
      <c r="AM342" s="540"/>
      <c r="AN342" s="38"/>
      <c r="AO342" s="38"/>
      <c r="AP342" s="38"/>
      <c r="AQ342" s="38"/>
      <c r="AR342" s="38"/>
      <c r="AS342" s="38"/>
      <c r="AT342" s="38"/>
      <c r="AU342" s="38"/>
      <c r="AV342" s="38"/>
      <c r="AW342" s="38"/>
      <c r="AX342" s="38"/>
      <c r="AY342" s="38"/>
      <c r="AZ342" s="38"/>
      <c r="BA342" s="38"/>
      <c r="BB342" s="38"/>
      <c r="BC342" s="38"/>
      <c r="BD342" s="38"/>
      <c r="BE342" s="38"/>
      <c r="BF342" s="38"/>
    </row>
    <row r="343" spans="1:58" s="173" customFormat="1" ht="21.75" customHeight="1">
      <c r="A343" s="153"/>
      <c r="B343" s="876"/>
      <c r="C343" s="876"/>
      <c r="D343" s="1500" t="s">
        <v>472</v>
      </c>
      <c r="E343" s="1501"/>
      <c r="F343" s="1501"/>
      <c r="G343" s="1501"/>
      <c r="H343" s="1501"/>
      <c r="I343" s="1501"/>
      <c r="J343" s="1501"/>
      <c r="K343" s="1501"/>
      <c r="L343" s="1501"/>
      <c r="M343" s="1501"/>
      <c r="N343" s="1501"/>
      <c r="O343" s="1501"/>
      <c r="P343" s="1501"/>
      <c r="Q343" s="1501"/>
      <c r="R343" s="1501"/>
      <c r="S343" s="1501"/>
      <c r="T343" s="1501"/>
      <c r="U343" s="1501"/>
      <c r="V343" s="1501"/>
      <c r="W343" s="1501"/>
      <c r="X343" s="1501"/>
      <c r="Y343" s="1501"/>
      <c r="Z343" s="1501"/>
      <c r="AA343" s="1502"/>
      <c r="AB343" s="786"/>
      <c r="AC343" s="786"/>
      <c r="AD343" s="786"/>
      <c r="AE343" s="786"/>
      <c r="AF343" s="786"/>
      <c r="AG343" s="786"/>
      <c r="AH343" s="786"/>
      <c r="AI343" s="786"/>
      <c r="AJ343" s="152"/>
      <c r="AK343" s="171"/>
      <c r="AL343" s="171"/>
      <c r="AM343" s="38"/>
      <c r="AN343" s="38"/>
      <c r="AO343" s="38"/>
      <c r="AP343" s="38"/>
      <c r="AQ343" s="38"/>
      <c r="AR343" s="38"/>
      <c r="AS343" s="38"/>
      <c r="AT343" s="38"/>
      <c r="AU343" s="38"/>
      <c r="AV343" s="38"/>
      <c r="AW343" s="38"/>
      <c r="AX343" s="38"/>
      <c r="AY343" s="38"/>
      <c r="AZ343" s="38"/>
      <c r="BA343" s="38"/>
      <c r="BB343" s="38"/>
      <c r="BC343" s="38"/>
      <c r="BD343" s="38"/>
      <c r="BE343" s="38"/>
      <c r="BF343" s="38"/>
    </row>
    <row r="344" spans="1:58" s="580" customFormat="1" ht="21" customHeight="1">
      <c r="A344" s="565"/>
      <c r="B344" s="566" t="s">
        <v>344</v>
      </c>
      <c r="C344" s="567" t="s">
        <v>344</v>
      </c>
      <c r="D344" s="511" t="s">
        <v>555</v>
      </c>
      <c r="E344" s="157">
        <v>503</v>
      </c>
      <c r="F344" s="570">
        <v>656</v>
      </c>
      <c r="G344" s="571" t="s">
        <v>659</v>
      </c>
      <c r="H344" s="572">
        <v>244</v>
      </c>
      <c r="I344" s="572">
        <v>226</v>
      </c>
      <c r="J344" s="573">
        <v>0</v>
      </c>
      <c r="K344" s="399"/>
      <c r="L344" s="165">
        <v>65000</v>
      </c>
      <c r="M344" s="165">
        <v>97000</v>
      </c>
      <c r="N344" s="165">
        <v>73000</v>
      </c>
      <c r="O344" s="165">
        <v>60400</v>
      </c>
      <c r="P344" s="165">
        <v>295400</v>
      </c>
      <c r="Q344" s="274">
        <f>R344+S344+T344+U344</f>
        <v>326000</v>
      </c>
      <c r="R344" s="399">
        <v>81500</v>
      </c>
      <c r="S344" s="399">
        <f>81500+20000</f>
        <v>101500</v>
      </c>
      <c r="T344" s="399">
        <v>81500</v>
      </c>
      <c r="U344" s="399">
        <f>81500-20000</f>
        <v>61500</v>
      </c>
      <c r="V344" s="417">
        <v>100000</v>
      </c>
      <c r="W344" s="995" t="s">
        <v>577</v>
      </c>
      <c r="X344" s="193"/>
      <c r="Y344" s="399"/>
      <c r="Z344" s="191"/>
      <c r="AA344" s="191">
        <v>0</v>
      </c>
      <c r="AB344" s="575"/>
      <c r="AC344" s="575"/>
      <c r="AD344" s="575"/>
      <c r="AE344" s="575">
        <v>210683.62</v>
      </c>
      <c r="AF344" s="575">
        <v>0</v>
      </c>
      <c r="AG344" s="575"/>
      <c r="AH344" s="576"/>
      <c r="AI344" s="577">
        <v>0.7132146919431279</v>
      </c>
      <c r="AJ344" s="578" t="s">
        <v>143</v>
      </c>
      <c r="AK344" s="579"/>
      <c r="AL344" s="579"/>
      <c r="AM344" s="540"/>
      <c r="AN344" s="540"/>
      <c r="AO344" s="540"/>
      <c r="AP344" s="540"/>
      <c r="AQ344" s="540"/>
      <c r="AR344" s="540"/>
      <c r="AS344" s="540"/>
      <c r="AT344" s="540"/>
      <c r="AU344" s="540"/>
      <c r="AV344" s="540"/>
      <c r="AW344" s="540"/>
      <c r="AX344" s="540"/>
      <c r="AY344" s="540"/>
      <c r="AZ344" s="540"/>
      <c r="BA344" s="540"/>
      <c r="BB344" s="540"/>
      <c r="BC344" s="540"/>
      <c r="BD344" s="540"/>
      <c r="BE344" s="540"/>
      <c r="BF344" s="540"/>
    </row>
    <row r="345" spans="1:58" s="580" customFormat="1" ht="12" customHeight="1">
      <c r="A345" s="565"/>
      <c r="B345" s="566" t="s">
        <v>344</v>
      </c>
      <c r="C345" s="567" t="s">
        <v>344</v>
      </c>
      <c r="D345" s="568"/>
      <c r="E345" s="157">
        <v>503</v>
      </c>
      <c r="F345" s="570">
        <v>656</v>
      </c>
      <c r="G345" s="571" t="s">
        <v>660</v>
      </c>
      <c r="H345" s="572">
        <v>244</v>
      </c>
      <c r="I345" s="572">
        <v>226</v>
      </c>
      <c r="J345" s="573">
        <v>0</v>
      </c>
      <c r="K345" s="399"/>
      <c r="L345" s="165">
        <v>65000</v>
      </c>
      <c r="M345" s="165">
        <v>97000</v>
      </c>
      <c r="N345" s="165">
        <v>73000</v>
      </c>
      <c r="O345" s="165">
        <v>60400</v>
      </c>
      <c r="P345" s="165">
        <v>295400</v>
      </c>
      <c r="Q345" s="274">
        <f>R345+S345+T345+U345</f>
        <v>326000</v>
      </c>
      <c r="R345" s="399">
        <v>81500</v>
      </c>
      <c r="S345" s="399">
        <f>81500+20000</f>
        <v>101500</v>
      </c>
      <c r="T345" s="399">
        <v>81500</v>
      </c>
      <c r="U345" s="399">
        <f>81500-20000</f>
        <v>61500</v>
      </c>
      <c r="V345" s="417">
        <v>1010.1</v>
      </c>
      <c r="W345" s="399" t="s">
        <v>345</v>
      </c>
      <c r="X345" s="193"/>
      <c r="Y345" s="583"/>
      <c r="Z345" s="323"/>
      <c r="AA345" s="323">
        <f>SUM(AA344:AA344)</f>
        <v>0</v>
      </c>
      <c r="AB345" s="1505"/>
      <c r="AC345" s="1505"/>
      <c r="AD345" s="1505"/>
      <c r="AE345" s="584">
        <v>249246.77</v>
      </c>
      <c r="AF345" s="585">
        <v>0</v>
      </c>
      <c r="AG345" s="1505"/>
      <c r="AH345" s="1505"/>
      <c r="AI345" s="586">
        <v>0.6480489897584832</v>
      </c>
      <c r="AJ345" s="578" t="s">
        <v>143</v>
      </c>
      <c r="AK345" s="579"/>
      <c r="AL345" s="579"/>
      <c r="AM345" s="540"/>
      <c r="AN345" s="540"/>
      <c r="AO345" s="540"/>
      <c r="AP345" s="540"/>
      <c r="AQ345" s="540"/>
      <c r="AR345" s="540"/>
      <c r="AS345" s="540"/>
      <c r="AT345" s="540"/>
      <c r="AU345" s="540"/>
      <c r="AV345" s="540"/>
      <c r="AW345" s="540"/>
      <c r="AX345" s="540"/>
      <c r="AY345" s="540"/>
      <c r="AZ345" s="540"/>
      <c r="BA345" s="540"/>
      <c r="BB345" s="540"/>
      <c r="BC345" s="540"/>
      <c r="BD345" s="540"/>
      <c r="BE345" s="540"/>
      <c r="BF345" s="540"/>
    </row>
    <row r="346" spans="1:39" ht="12.75" customHeight="1">
      <c r="A346" s="565"/>
      <c r="B346" s="1503" t="s">
        <v>161</v>
      </c>
      <c r="C346" s="1503"/>
      <c r="D346" s="1503"/>
      <c r="E346" s="1503"/>
      <c r="F346" s="1503"/>
      <c r="G346" s="1503"/>
      <c r="H346" s="1503"/>
      <c r="I346" s="1503"/>
      <c r="J346" s="1503"/>
      <c r="K346" s="1504"/>
      <c r="L346" s="581">
        <v>86000</v>
      </c>
      <c r="M346" s="180">
        <v>121000</v>
      </c>
      <c r="N346" s="180">
        <v>102000</v>
      </c>
      <c r="O346" s="581">
        <v>75611</v>
      </c>
      <c r="P346" s="180">
        <v>384611</v>
      </c>
      <c r="Q346" s="582">
        <f>R346+S346+T346+U346</f>
        <v>652000</v>
      </c>
      <c r="R346" s="323">
        <f>R344+R345</f>
        <v>163000</v>
      </c>
      <c r="S346" s="323">
        <f>S344+S345</f>
        <v>203000</v>
      </c>
      <c r="T346" s="323">
        <f>T344+T345</f>
        <v>163000</v>
      </c>
      <c r="U346" s="323">
        <f>U344+U345</f>
        <v>123000</v>
      </c>
      <c r="V346" s="418">
        <v>101010.1</v>
      </c>
      <c r="W346" s="583">
        <v>0</v>
      </c>
      <c r="X346" s="382"/>
      <c r="Y346" s="784"/>
      <c r="Z346" s="784"/>
      <c r="AA346" s="784"/>
      <c r="AB346" s="590"/>
      <c r="AC346" s="590"/>
      <c r="AD346" s="590"/>
      <c r="AE346" s="519"/>
      <c r="AF346" s="519"/>
      <c r="AG346" s="590"/>
      <c r="AH346" s="590"/>
      <c r="AI346" s="523"/>
      <c r="AJ346" s="152"/>
      <c r="AK346" s="30"/>
      <c r="AL346" s="30"/>
      <c r="AM346" s="587">
        <v>0</v>
      </c>
    </row>
    <row r="347" spans="1:39" ht="12.75" customHeight="1">
      <c r="A347" s="153"/>
      <c r="B347" s="1413" t="s">
        <v>161</v>
      </c>
      <c r="C347" s="1414"/>
      <c r="D347" s="1414"/>
      <c r="E347" s="1414"/>
      <c r="F347" s="1414"/>
      <c r="G347" s="1414"/>
      <c r="H347" s="1414"/>
      <c r="I347" s="1414"/>
      <c r="J347" s="1414"/>
      <c r="K347" s="1415"/>
      <c r="L347" s="177">
        <v>843000</v>
      </c>
      <c r="M347" s="178">
        <v>717000</v>
      </c>
      <c r="N347" s="178">
        <v>538195.4</v>
      </c>
      <c r="O347" s="177">
        <v>753951</v>
      </c>
      <c r="P347" s="178">
        <v>2852146.4</v>
      </c>
      <c r="Q347" s="179">
        <f>R347+S347+T347+U347</f>
        <v>3617040.63</v>
      </c>
      <c r="R347" s="177">
        <f>R329+R330</f>
        <v>1548772.7472</v>
      </c>
      <c r="S347" s="177">
        <f>S329+S330</f>
        <v>716100</v>
      </c>
      <c r="T347" s="177">
        <f>T329+T330</f>
        <v>700730.4108</v>
      </c>
      <c r="U347" s="177">
        <f>U329+U330</f>
        <v>651437.4720000001</v>
      </c>
      <c r="V347" s="517">
        <f>SUM(V329:V342)+V346</f>
        <v>2748673.4000000004</v>
      </c>
      <c r="W347" s="253">
        <f>V339+V340+V341+V342+X341+X342</f>
        <v>57280</v>
      </c>
      <c r="X347" s="189">
        <f>SUM(X329:X342)</f>
        <v>461684.7</v>
      </c>
      <c r="Y347" s="789"/>
      <c r="Z347" s="789"/>
      <c r="AA347" s="789"/>
      <c r="AB347" s="183"/>
      <c r="AC347" s="183"/>
      <c r="AD347" s="183"/>
      <c r="AE347" s="249"/>
      <c r="AF347" s="249"/>
      <c r="AG347" s="183"/>
      <c r="AH347" s="183"/>
      <c r="AI347" s="186"/>
      <c r="AJ347" s="152"/>
      <c r="AK347" s="30"/>
      <c r="AL347" s="30"/>
      <c r="AM347" s="540"/>
    </row>
    <row r="348" spans="1:39" ht="12.75" customHeight="1">
      <c r="A348" s="151"/>
      <c r="B348" s="174"/>
      <c r="C348" s="175"/>
      <c r="D348" s="789" t="s">
        <v>292</v>
      </c>
      <c r="E348" s="789"/>
      <c r="F348" s="789"/>
      <c r="G348" s="789"/>
      <c r="H348" s="789"/>
      <c r="I348" s="789"/>
      <c r="J348" s="789"/>
      <c r="K348" s="789"/>
      <c r="L348" s="789"/>
      <c r="M348" s="789"/>
      <c r="N348" s="789"/>
      <c r="O348" s="789"/>
      <c r="P348" s="789"/>
      <c r="Q348" s="789"/>
      <c r="R348" s="789"/>
      <c r="S348" s="789"/>
      <c r="T348" s="789"/>
      <c r="U348" s="789"/>
      <c r="V348" s="789"/>
      <c r="W348" s="789"/>
      <c r="X348" s="789"/>
      <c r="Y348" s="783"/>
      <c r="Z348" s="783"/>
      <c r="AA348" s="783"/>
      <c r="AB348" s="183"/>
      <c r="AC348" s="183"/>
      <c r="AD348" s="183"/>
      <c r="AE348" s="249"/>
      <c r="AF348" s="249"/>
      <c r="AG348" s="183"/>
      <c r="AH348" s="183"/>
      <c r="AI348" s="186"/>
      <c r="AJ348" s="152"/>
      <c r="AK348" s="30"/>
      <c r="AL348" s="30"/>
      <c r="AM348" s="540"/>
    </row>
    <row r="349" spans="1:38" ht="28.5" customHeight="1">
      <c r="A349" s="151"/>
      <c r="B349" s="174"/>
      <c r="C349" s="175"/>
      <c r="D349" s="1429" t="s">
        <v>475</v>
      </c>
      <c r="E349" s="1429" t="s">
        <v>475</v>
      </c>
      <c r="F349" s="1429" t="s">
        <v>475</v>
      </c>
      <c r="G349" s="1429" t="s">
        <v>475</v>
      </c>
      <c r="H349" s="1429" t="s">
        <v>475</v>
      </c>
      <c r="I349" s="1429" t="s">
        <v>475</v>
      </c>
      <c r="J349" s="1429" t="s">
        <v>475</v>
      </c>
      <c r="K349" s="1429" t="s">
        <v>475</v>
      </c>
      <c r="L349" s="1429" t="s">
        <v>475</v>
      </c>
      <c r="M349" s="1429" t="s">
        <v>475</v>
      </c>
      <c r="N349" s="1429" t="s">
        <v>475</v>
      </c>
      <c r="O349" s="1429" t="s">
        <v>475</v>
      </c>
      <c r="P349" s="1429" t="s">
        <v>475</v>
      </c>
      <c r="Q349" s="1429" t="s">
        <v>475</v>
      </c>
      <c r="R349" s="1429" t="s">
        <v>475</v>
      </c>
      <c r="S349" s="1429" t="s">
        <v>475</v>
      </c>
      <c r="T349" s="1429" t="s">
        <v>475</v>
      </c>
      <c r="U349" s="1429" t="s">
        <v>475</v>
      </c>
      <c r="V349" s="1429" t="s">
        <v>475</v>
      </c>
      <c r="W349" s="1429" t="s">
        <v>475</v>
      </c>
      <c r="X349" s="783"/>
      <c r="Y349" s="175"/>
      <c r="Z349" s="175"/>
      <c r="AA349" s="175"/>
      <c r="AB349" s="175"/>
      <c r="AC349" s="175"/>
      <c r="AD349" s="175"/>
      <c r="AE349" s="175"/>
      <c r="AF349" s="175"/>
      <c r="AG349" s="175"/>
      <c r="AH349" s="175"/>
      <c r="AI349" s="190"/>
      <c r="AJ349" s="152" t="s">
        <v>143</v>
      </c>
      <c r="AK349" s="30"/>
      <c r="AL349" s="30"/>
    </row>
    <row r="350" spans="1:58" s="173" customFormat="1" ht="12.75" customHeight="1">
      <c r="A350" s="151"/>
      <c r="B350" s="174" t="s">
        <v>311</v>
      </c>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369"/>
      <c r="Z350" s="191">
        <v>500000</v>
      </c>
      <c r="AA350" s="191">
        <f>642000+642000*3.8%</f>
        <v>666396</v>
      </c>
      <c r="AB350" s="168"/>
      <c r="AC350" s="168"/>
      <c r="AD350" s="168"/>
      <c r="AE350" s="168">
        <v>118122.21</v>
      </c>
      <c r="AF350" s="168">
        <v>3464.99</v>
      </c>
      <c r="AG350" s="168"/>
      <c r="AH350" s="169"/>
      <c r="AI350" s="170">
        <v>0.4659820771778668</v>
      </c>
      <c r="AJ350" s="152" t="s">
        <v>143</v>
      </c>
      <c r="AK350" s="171"/>
      <c r="AL350" s="171"/>
      <c r="AM350" s="540"/>
      <c r="AN350" s="38"/>
      <c r="AO350" s="38"/>
      <c r="AP350" s="38"/>
      <c r="AQ350" s="38"/>
      <c r="AR350" s="38"/>
      <c r="AS350" s="38"/>
      <c r="AT350" s="38"/>
      <c r="AU350" s="38"/>
      <c r="AV350" s="38"/>
      <c r="AW350" s="38"/>
      <c r="AX350" s="38"/>
      <c r="AY350" s="38"/>
      <c r="AZ350" s="38"/>
      <c r="BA350" s="38"/>
      <c r="BB350" s="38"/>
      <c r="BC350" s="38"/>
      <c r="BD350" s="38"/>
      <c r="BE350" s="38"/>
      <c r="BF350" s="38"/>
    </row>
    <row r="351" spans="1:58" s="173" customFormat="1" ht="12.75" customHeight="1">
      <c r="A351" s="153"/>
      <c r="B351" s="154" t="s">
        <v>311</v>
      </c>
      <c r="C351" s="155" t="s">
        <v>311</v>
      </c>
      <c r="D351" s="156" t="s">
        <v>556</v>
      </c>
      <c r="E351" s="157">
        <v>503</v>
      </c>
      <c r="F351" s="158">
        <v>656</v>
      </c>
      <c r="G351" s="250" t="s">
        <v>509</v>
      </c>
      <c r="H351" s="160" t="s">
        <v>91</v>
      </c>
      <c r="I351" s="160">
        <v>223</v>
      </c>
      <c r="J351" s="161">
        <v>0</v>
      </c>
      <c r="K351" s="162"/>
      <c r="L351" s="163">
        <v>170000</v>
      </c>
      <c r="M351" s="163">
        <v>50000</v>
      </c>
      <c r="N351" s="163">
        <v>-4000</v>
      </c>
      <c r="O351" s="163">
        <v>30055</v>
      </c>
      <c r="P351" s="163">
        <v>246055</v>
      </c>
      <c r="Q351" s="167">
        <f>R351+S351+T351+U351</f>
        <v>110000</v>
      </c>
      <c r="R351" s="162">
        <v>50000</v>
      </c>
      <c r="S351" s="162">
        <v>60000</v>
      </c>
      <c r="T351" s="162">
        <v>0</v>
      </c>
      <c r="U351" s="162"/>
      <c r="V351" s="191">
        <v>500000</v>
      </c>
      <c r="W351" s="192" t="s">
        <v>316</v>
      </c>
      <c r="X351" s="193"/>
      <c r="Y351" s="369"/>
      <c r="Z351" s="191">
        <v>60000</v>
      </c>
      <c r="AA351" s="191">
        <f>100000+100000*3.8%</f>
        <v>103800</v>
      </c>
      <c r="AB351" s="168"/>
      <c r="AC351" s="168"/>
      <c r="AD351" s="168"/>
      <c r="AE351" s="168">
        <v>29855.56</v>
      </c>
      <c r="AF351" s="168">
        <v>13961.51</v>
      </c>
      <c r="AG351" s="168"/>
      <c r="AH351" s="169"/>
      <c r="AI351" s="170">
        <v>0.22705785714285712</v>
      </c>
      <c r="AJ351" s="152" t="s">
        <v>143</v>
      </c>
      <c r="AK351" s="171"/>
      <c r="AL351" s="171"/>
      <c r="AM351" s="540"/>
      <c r="AN351" s="38"/>
      <c r="AO351" s="38"/>
      <c r="AP351" s="38"/>
      <c r="AQ351" s="38"/>
      <c r="AR351" s="38"/>
      <c r="AS351" s="38"/>
      <c r="AT351" s="38"/>
      <c r="AU351" s="38"/>
      <c r="AV351" s="38"/>
      <c r="AW351" s="38"/>
      <c r="AX351" s="38"/>
      <c r="AY351" s="38"/>
      <c r="AZ351" s="38"/>
      <c r="BA351" s="38"/>
      <c r="BB351" s="38"/>
      <c r="BC351" s="38"/>
      <c r="BD351" s="38"/>
      <c r="BE351" s="38"/>
      <c r="BF351" s="38"/>
    </row>
    <row r="352" spans="1:58" s="173" customFormat="1" ht="12.75" customHeight="1">
      <c r="A352" s="153"/>
      <c r="B352" s="154" t="s">
        <v>311</v>
      </c>
      <c r="C352" s="155" t="s">
        <v>311</v>
      </c>
      <c r="D352" s="156"/>
      <c r="E352" s="157">
        <v>503</v>
      </c>
      <c r="F352" s="158">
        <v>656</v>
      </c>
      <c r="G352" s="250" t="s">
        <v>509</v>
      </c>
      <c r="H352" s="160" t="s">
        <v>91</v>
      </c>
      <c r="I352" s="160">
        <v>225</v>
      </c>
      <c r="J352" s="161">
        <v>0</v>
      </c>
      <c r="K352" s="162"/>
      <c r="L352" s="163">
        <v>70000</v>
      </c>
      <c r="M352" s="163">
        <v>-70000</v>
      </c>
      <c r="N352" s="163">
        <v>0</v>
      </c>
      <c r="O352" s="163">
        <v>70000</v>
      </c>
      <c r="P352" s="163">
        <v>70000</v>
      </c>
      <c r="Q352" s="167">
        <f>R352+S352+T352+U352</f>
        <v>60000</v>
      </c>
      <c r="R352" s="162">
        <v>30000</v>
      </c>
      <c r="S352" s="162">
        <v>30000</v>
      </c>
      <c r="T352" s="162">
        <v>0</v>
      </c>
      <c r="U352" s="162"/>
      <c r="V352" s="191">
        <v>44567.41</v>
      </c>
      <c r="W352" s="192" t="s">
        <v>317</v>
      </c>
      <c r="X352" s="193">
        <v>200000</v>
      </c>
      <c r="Y352" s="192" t="s">
        <v>317</v>
      </c>
      <c r="Z352" s="472"/>
      <c r="AA352" s="472"/>
      <c r="AB352" s="185"/>
      <c r="AC352" s="249"/>
      <c r="AD352" s="184"/>
      <c r="AE352" s="184"/>
      <c r="AF352" s="185"/>
      <c r="AG352" s="185"/>
      <c r="AH352" s="471"/>
      <c r="AI352" s="186"/>
      <c r="AJ352" s="152"/>
      <c r="AK352" s="171"/>
      <c r="AL352" s="171"/>
      <c r="AM352" s="540"/>
      <c r="AN352" s="38"/>
      <c r="AO352" s="38"/>
      <c r="AP352" s="38"/>
      <c r="AQ352" s="38"/>
      <c r="AR352" s="38"/>
      <c r="AS352" s="38"/>
      <c r="AT352" s="38"/>
      <c r="AU352" s="38"/>
      <c r="AV352" s="38"/>
      <c r="AW352" s="38"/>
      <c r="AX352" s="38"/>
      <c r="AY352" s="38"/>
      <c r="AZ352" s="38"/>
      <c r="BA352" s="38"/>
      <c r="BB352" s="38"/>
      <c r="BC352" s="38"/>
      <c r="BD352" s="38"/>
      <c r="BE352" s="38"/>
      <c r="BF352" s="38"/>
    </row>
    <row r="353" spans="1:58" s="173" customFormat="1" ht="12.75" customHeight="1">
      <c r="A353" s="153"/>
      <c r="B353" s="154" t="s">
        <v>311</v>
      </c>
      <c r="C353" s="155" t="s">
        <v>311</v>
      </c>
      <c r="D353" s="156"/>
      <c r="E353" s="157">
        <v>503</v>
      </c>
      <c r="F353" s="158">
        <v>656</v>
      </c>
      <c r="G353" s="250" t="s">
        <v>509</v>
      </c>
      <c r="H353" s="160" t="s">
        <v>91</v>
      </c>
      <c r="I353" s="160">
        <v>226</v>
      </c>
      <c r="J353" s="161">
        <v>0</v>
      </c>
      <c r="K353" s="162"/>
      <c r="L353" s="163">
        <v>70000</v>
      </c>
      <c r="M353" s="163">
        <v>-70000</v>
      </c>
      <c r="N353" s="163">
        <v>0</v>
      </c>
      <c r="O353" s="163">
        <v>70000</v>
      </c>
      <c r="P353" s="163">
        <v>70000</v>
      </c>
      <c r="Q353" s="167">
        <f>R353+S353+T353+U353</f>
        <v>60000</v>
      </c>
      <c r="R353" s="162">
        <v>30000</v>
      </c>
      <c r="S353" s="162">
        <v>30000</v>
      </c>
      <c r="T353" s="162">
        <v>0</v>
      </c>
      <c r="U353" s="162"/>
      <c r="V353" s="191">
        <v>45478.8</v>
      </c>
      <c r="W353" s="192" t="s">
        <v>687</v>
      </c>
      <c r="X353" s="193"/>
      <c r="Y353" s="192"/>
      <c r="Z353" s="472"/>
      <c r="AA353" s="472"/>
      <c r="AB353" s="185"/>
      <c r="AC353" s="249"/>
      <c r="AD353" s="184"/>
      <c r="AE353" s="184"/>
      <c r="AF353" s="185"/>
      <c r="AG353" s="185"/>
      <c r="AH353" s="471"/>
      <c r="AI353" s="186"/>
      <c r="AJ353" s="152"/>
      <c r="AK353" s="171"/>
      <c r="AL353" s="171"/>
      <c r="AM353" s="540"/>
      <c r="AN353" s="38"/>
      <c r="AO353" s="38"/>
      <c r="AP353" s="38"/>
      <c r="AQ353" s="38"/>
      <c r="AR353" s="38"/>
      <c r="AS353" s="38"/>
      <c r="AT353" s="38"/>
      <c r="AU353" s="38"/>
      <c r="AV353" s="38"/>
      <c r="AW353" s="38"/>
      <c r="AX353" s="38"/>
      <c r="AY353" s="38"/>
      <c r="AZ353" s="38"/>
      <c r="BA353" s="38"/>
      <c r="BB353" s="38"/>
      <c r="BC353" s="38"/>
      <c r="BD353" s="38"/>
      <c r="BE353" s="38"/>
      <c r="BF353" s="38"/>
    </row>
    <row r="354" spans="1:58" s="173" customFormat="1" ht="13.5" customHeight="1">
      <c r="A354" s="153"/>
      <c r="B354" s="329"/>
      <c r="C354" s="175"/>
      <c r="D354" s="275"/>
      <c r="E354" s="465"/>
      <c r="F354" s="466"/>
      <c r="G354" s="467"/>
      <c r="H354" s="468"/>
      <c r="I354" s="468">
        <v>310</v>
      </c>
      <c r="J354" s="469"/>
      <c r="K354" s="470"/>
      <c r="L354" s="334"/>
      <c r="M354" s="163"/>
      <c r="N354" s="163"/>
      <c r="O354" s="334"/>
      <c r="P354" s="163"/>
      <c r="Q354" s="164"/>
      <c r="R354" s="340"/>
      <c r="S354" s="340"/>
      <c r="T354" s="340"/>
      <c r="U354" s="340"/>
      <c r="V354" s="541"/>
      <c r="W354" s="377"/>
      <c r="X354" s="337">
        <v>200000</v>
      </c>
      <c r="Y354" s="474" t="s">
        <v>664</v>
      </c>
      <c r="Z354" s="472">
        <f>Z350+Z351</f>
        <v>560000</v>
      </c>
      <c r="AA354" s="472">
        <f>AA350+AA351</f>
        <v>770196</v>
      </c>
      <c r="AB354" s="1410"/>
      <c r="AC354" s="1411"/>
      <c r="AD354" s="1412"/>
      <c r="AE354" s="184">
        <v>147977.77</v>
      </c>
      <c r="AF354" s="185">
        <v>17426.5</v>
      </c>
      <c r="AG354" s="1410"/>
      <c r="AH354" s="1412"/>
      <c r="AI354" s="186">
        <v>0.41306503614877166</v>
      </c>
      <c r="AJ354" s="152" t="s">
        <v>143</v>
      </c>
      <c r="AK354" s="171"/>
      <c r="AL354" s="171"/>
      <c r="AM354" s="540"/>
      <c r="AN354" s="38"/>
      <c r="AO354" s="38"/>
      <c r="AP354" s="38"/>
      <c r="AQ354" s="38"/>
      <c r="AR354" s="38"/>
      <c r="AS354" s="38"/>
      <c r="AT354" s="38"/>
      <c r="AU354" s="38"/>
      <c r="AV354" s="38"/>
      <c r="AW354" s="38"/>
      <c r="AX354" s="38"/>
      <c r="AY354" s="38"/>
      <c r="AZ354" s="38"/>
      <c r="BA354" s="38"/>
      <c r="BB354" s="38"/>
      <c r="BC354" s="38"/>
      <c r="BD354" s="38"/>
      <c r="BE354" s="38"/>
      <c r="BF354" s="38"/>
    </row>
    <row r="355" spans="1:58" s="173" customFormat="1" ht="12.75" customHeight="1">
      <c r="A355" s="153"/>
      <c r="B355" s="1413" t="s">
        <v>161</v>
      </c>
      <c r="C355" s="1414"/>
      <c r="D355" s="1414"/>
      <c r="E355" s="1414"/>
      <c r="F355" s="1414"/>
      <c r="G355" s="1414"/>
      <c r="H355" s="1414"/>
      <c r="I355" s="1414"/>
      <c r="J355" s="1414"/>
      <c r="K355" s="1415"/>
      <c r="L355" s="177">
        <v>240000</v>
      </c>
      <c r="M355" s="178">
        <v>-20000</v>
      </c>
      <c r="N355" s="178">
        <v>-4000</v>
      </c>
      <c r="O355" s="177">
        <v>100055</v>
      </c>
      <c r="P355" s="178">
        <v>316055</v>
      </c>
      <c r="Q355" s="322">
        <f>R355+S355+T355+U355</f>
        <v>170000</v>
      </c>
      <c r="R355" s="252">
        <f>R351+R352</f>
        <v>80000</v>
      </c>
      <c r="S355" s="252">
        <f>S351+S352</f>
        <v>90000</v>
      </c>
      <c r="T355" s="252">
        <f>T351+T352</f>
        <v>0</v>
      </c>
      <c r="U355" s="252">
        <f>U351+U352</f>
        <v>0</v>
      </c>
      <c r="V355" s="472">
        <f>V351+V352+V353</f>
        <v>590046.2100000001</v>
      </c>
      <c r="W355" s="473"/>
      <c r="X355" s="254">
        <f>X351+X352+X354</f>
        <v>400000</v>
      </c>
      <c r="Y355" s="791"/>
      <c r="Z355" s="791"/>
      <c r="AA355" s="791"/>
      <c r="AB355" s="183"/>
      <c r="AC355" s="183"/>
      <c r="AD355" s="183"/>
      <c r="AE355" s="249"/>
      <c r="AF355" s="249"/>
      <c r="AG355" s="183"/>
      <c r="AH355" s="183"/>
      <c r="AI355" s="186"/>
      <c r="AJ355" s="152"/>
      <c r="AK355" s="171"/>
      <c r="AL355" s="171"/>
      <c r="AM355" s="540"/>
      <c r="AN355" s="38"/>
      <c r="AO355" s="38"/>
      <c r="AP355" s="38"/>
      <c r="AQ355" s="38"/>
      <c r="AR355" s="38"/>
      <c r="AS355" s="38"/>
      <c r="AT355" s="38"/>
      <c r="AU355" s="38"/>
      <c r="AV355" s="38"/>
      <c r="AW355" s="38"/>
      <c r="AX355" s="38"/>
      <c r="AY355" s="38"/>
      <c r="AZ355" s="38"/>
      <c r="BA355" s="38"/>
      <c r="BB355" s="38"/>
      <c r="BC355" s="38"/>
      <c r="BD355" s="38"/>
      <c r="BE355" s="38"/>
      <c r="BF355" s="38"/>
    </row>
    <row r="356" spans="1:58" s="173" customFormat="1" ht="27.75" customHeight="1">
      <c r="A356" s="153"/>
      <c r="B356" s="174"/>
      <c r="C356" s="175"/>
      <c r="D356" s="1499" t="s">
        <v>562</v>
      </c>
      <c r="E356" s="1499"/>
      <c r="F356" s="1499"/>
      <c r="G356" s="1499"/>
      <c r="H356" s="1499"/>
      <c r="I356" s="1499"/>
      <c r="J356" s="1499"/>
      <c r="K356" s="1499"/>
      <c r="L356" s="1499"/>
      <c r="M356" s="1499"/>
      <c r="N356" s="1499"/>
      <c r="O356" s="1499"/>
      <c r="P356" s="1499"/>
      <c r="Q356" s="1499"/>
      <c r="R356" s="1499"/>
      <c r="S356" s="1499"/>
      <c r="T356" s="1499"/>
      <c r="U356" s="1499"/>
      <c r="V356" s="1499"/>
      <c r="W356" s="1499"/>
      <c r="X356" s="791"/>
      <c r="Y356" s="175"/>
      <c r="Z356" s="175"/>
      <c r="AA356" s="175"/>
      <c r="AB356" s="175"/>
      <c r="AC356" s="175"/>
      <c r="AD356" s="175"/>
      <c r="AE356" s="175"/>
      <c r="AF356" s="175"/>
      <c r="AG356" s="175"/>
      <c r="AH356" s="175"/>
      <c r="AI356" s="190"/>
      <c r="AJ356" s="152" t="s">
        <v>143</v>
      </c>
      <c r="AK356" s="171"/>
      <c r="AL356" s="171"/>
      <c r="AM356" s="817"/>
      <c r="AN356" s="38"/>
      <c r="AO356" s="38"/>
      <c r="AP356" s="38"/>
      <c r="AQ356" s="38"/>
      <c r="AR356" s="38"/>
      <c r="AS356" s="38"/>
      <c r="AT356" s="38"/>
      <c r="AU356" s="38"/>
      <c r="AV356" s="38"/>
      <c r="AW356" s="38"/>
      <c r="AX356" s="38"/>
      <c r="AY356" s="38"/>
      <c r="AZ356" s="38"/>
      <c r="BA356" s="38"/>
      <c r="BB356" s="38"/>
      <c r="BC356" s="38"/>
      <c r="BD356" s="38"/>
      <c r="BE356" s="38"/>
      <c r="BF356" s="38"/>
    </row>
    <row r="357" spans="1:58" s="173" customFormat="1" ht="12" customHeight="1">
      <c r="A357" s="153"/>
      <c r="B357" s="174" t="s">
        <v>458</v>
      </c>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94"/>
      <c r="Z357" s="195"/>
      <c r="AA357" s="195"/>
      <c r="AB357" s="168"/>
      <c r="AC357" s="168"/>
      <c r="AD357" s="168"/>
      <c r="AE357" s="168">
        <v>468876.92</v>
      </c>
      <c r="AF357" s="168">
        <v>0</v>
      </c>
      <c r="AG357" s="168"/>
      <c r="AH357" s="169"/>
      <c r="AI357" s="170">
        <v>0.4243907803085982</v>
      </c>
      <c r="AJ357" s="152" t="s">
        <v>143</v>
      </c>
      <c r="AK357" s="171"/>
      <c r="AL357" s="171"/>
      <c r="AM357" s="817"/>
      <c r="AN357" s="38"/>
      <c r="AO357" s="38"/>
      <c r="AP357" s="38"/>
      <c r="AQ357" s="38"/>
      <c r="AR357" s="38"/>
      <c r="AS357" s="38"/>
      <c r="AT357" s="38"/>
      <c r="AU357" s="38"/>
      <c r="AV357" s="38"/>
      <c r="AW357" s="38"/>
      <c r="AX357" s="38"/>
      <c r="AY357" s="38"/>
      <c r="AZ357" s="38"/>
      <c r="BA357" s="38"/>
      <c r="BB357" s="38"/>
      <c r="BC357" s="38"/>
      <c r="BD357" s="38"/>
      <c r="BE357" s="38"/>
      <c r="BF357" s="38"/>
    </row>
    <row r="358" spans="1:58" s="173" customFormat="1" ht="10.5" customHeight="1">
      <c r="A358" s="153"/>
      <c r="B358" s="154" t="s">
        <v>318</v>
      </c>
      <c r="C358" s="155" t="s">
        <v>318</v>
      </c>
      <c r="D358" s="969">
        <v>656460012</v>
      </c>
      <c r="E358" s="157">
        <v>503</v>
      </c>
      <c r="F358" s="158">
        <v>656</v>
      </c>
      <c r="G358" s="250" t="s">
        <v>76</v>
      </c>
      <c r="H358" s="160" t="s">
        <v>91</v>
      </c>
      <c r="I358" s="160">
        <v>225</v>
      </c>
      <c r="J358" s="161">
        <v>0</v>
      </c>
      <c r="K358" s="162"/>
      <c r="L358" s="163">
        <v>100000</v>
      </c>
      <c r="M358" s="163">
        <v>1509042</v>
      </c>
      <c r="N358" s="163">
        <v>-504218.47</v>
      </c>
      <c r="O358" s="163">
        <v>0</v>
      </c>
      <c r="P358" s="163">
        <v>1104823.53</v>
      </c>
      <c r="Q358" s="167">
        <f>R358+S358+T358+U358</f>
        <v>85000</v>
      </c>
      <c r="R358" s="162">
        <f>V358-S358-T358</f>
        <v>12315</v>
      </c>
      <c r="S358" s="162">
        <v>36342.5</v>
      </c>
      <c r="T358" s="162">
        <v>36342.5</v>
      </c>
      <c r="U358" s="162"/>
      <c r="V358" s="195">
        <v>85000</v>
      </c>
      <c r="W358" s="162" t="s">
        <v>319</v>
      </c>
      <c r="X358" s="193">
        <v>36000</v>
      </c>
      <c r="Y358" s="194"/>
      <c r="Z358" s="162"/>
      <c r="AA358" s="464"/>
      <c r="AB358" s="168"/>
      <c r="AC358" s="168"/>
      <c r="AD358" s="168"/>
      <c r="AE358" s="168">
        <v>701095.39</v>
      </c>
      <c r="AF358" s="168">
        <v>0</v>
      </c>
      <c r="AG358" s="168"/>
      <c r="AH358" s="169"/>
      <c r="AI358" s="170">
        <v>0.8415547588133935</v>
      </c>
      <c r="AJ358" s="152" t="s">
        <v>143</v>
      </c>
      <c r="AK358" s="171"/>
      <c r="AL358" s="171"/>
      <c r="AM358" s="817"/>
      <c r="AN358" s="38"/>
      <c r="AO358" s="38"/>
      <c r="AP358" s="38"/>
      <c r="AQ358" s="38"/>
      <c r="AR358" s="38"/>
      <c r="AS358" s="38"/>
      <c r="AT358" s="38"/>
      <c r="AU358" s="38"/>
      <c r="AV358" s="38"/>
      <c r="AW358" s="38"/>
      <c r="AX358" s="38"/>
      <c r="AY358" s="38"/>
      <c r="AZ358" s="38"/>
      <c r="BA358" s="38"/>
      <c r="BB358" s="38"/>
      <c r="BC358" s="38"/>
      <c r="BD358" s="38"/>
      <c r="BE358" s="38"/>
      <c r="BF358" s="38"/>
    </row>
    <row r="359" spans="1:58" s="173" customFormat="1" ht="14.25" customHeight="1" hidden="1">
      <c r="A359" s="153"/>
      <c r="B359" s="154" t="s">
        <v>318</v>
      </c>
      <c r="C359" s="155" t="s">
        <v>318</v>
      </c>
      <c r="D359" s="156"/>
      <c r="E359" s="157"/>
      <c r="F359" s="158"/>
      <c r="G359" s="250"/>
      <c r="H359" s="160"/>
      <c r="I359" s="160"/>
      <c r="J359" s="161">
        <v>0</v>
      </c>
      <c r="K359" s="162"/>
      <c r="L359" s="163">
        <v>0</v>
      </c>
      <c r="M359" s="163">
        <v>100000</v>
      </c>
      <c r="N359" s="163">
        <v>733095.39</v>
      </c>
      <c r="O359" s="163">
        <v>0</v>
      </c>
      <c r="P359" s="163">
        <v>833095.39</v>
      </c>
      <c r="Q359" s="167"/>
      <c r="R359" s="162"/>
      <c r="S359" s="162"/>
      <c r="T359" s="162"/>
      <c r="U359" s="162"/>
      <c r="V359" s="899"/>
      <c r="W359" s="162"/>
      <c r="X359" s="193"/>
      <c r="Y359" s="194"/>
      <c r="Z359" s="162"/>
      <c r="AA359" s="464"/>
      <c r="AB359" s="168"/>
      <c r="AC359" s="168"/>
      <c r="AD359" s="168"/>
      <c r="AE359" s="168">
        <v>11800</v>
      </c>
      <c r="AF359" s="168">
        <v>0</v>
      </c>
      <c r="AG359" s="168"/>
      <c r="AH359" s="169"/>
      <c r="AI359" s="170">
        <v>1</v>
      </c>
      <c r="AJ359" s="152" t="s">
        <v>143</v>
      </c>
      <c r="AK359" s="171"/>
      <c r="AL359" s="171"/>
      <c r="AM359" s="817"/>
      <c r="AN359" s="38"/>
      <c r="AO359" s="38"/>
      <c r="AP359" s="38"/>
      <c r="AQ359" s="38"/>
      <c r="AR359" s="38"/>
      <c r="AS359" s="38"/>
      <c r="AT359" s="38"/>
      <c r="AU359" s="38"/>
      <c r="AV359" s="38"/>
      <c r="AW359" s="38"/>
      <c r="AX359" s="38"/>
      <c r="AY359" s="38"/>
      <c r="AZ359" s="38"/>
      <c r="BA359" s="38"/>
      <c r="BB359" s="38"/>
      <c r="BC359" s="38"/>
      <c r="BD359" s="38"/>
      <c r="BE359" s="38"/>
      <c r="BF359" s="38"/>
    </row>
    <row r="360" spans="1:58" s="173" customFormat="1" ht="12" customHeight="1" hidden="1">
      <c r="A360" s="153"/>
      <c r="B360" s="154" t="s">
        <v>318</v>
      </c>
      <c r="C360" s="155" t="s">
        <v>318</v>
      </c>
      <c r="D360" s="156"/>
      <c r="E360" s="157"/>
      <c r="F360" s="158"/>
      <c r="G360" s="250"/>
      <c r="H360" s="160"/>
      <c r="I360" s="160"/>
      <c r="J360" s="161" t="s">
        <v>246</v>
      </c>
      <c r="K360" s="162"/>
      <c r="L360" s="163">
        <v>0</v>
      </c>
      <c r="M360" s="163">
        <v>0</v>
      </c>
      <c r="N360" s="163">
        <v>11800</v>
      </c>
      <c r="O360" s="163">
        <v>0</v>
      </c>
      <c r="P360" s="163">
        <v>11800</v>
      </c>
      <c r="Q360" s="167"/>
      <c r="R360" s="162"/>
      <c r="S360" s="162"/>
      <c r="T360" s="162"/>
      <c r="U360" s="162"/>
      <c r="V360" s="899"/>
      <c r="W360" s="162"/>
      <c r="X360" s="193"/>
      <c r="Y360" s="255"/>
      <c r="Z360" s="252">
        <f>Z357</f>
        <v>0</v>
      </c>
      <c r="AA360" s="252">
        <f>AA357</f>
        <v>0</v>
      </c>
      <c r="AB360" s="1410"/>
      <c r="AC360" s="1411"/>
      <c r="AD360" s="1412"/>
      <c r="AE360" s="184">
        <v>1181772.31</v>
      </c>
      <c r="AF360" s="185">
        <v>0</v>
      </c>
      <c r="AG360" s="1410"/>
      <c r="AH360" s="1412"/>
      <c r="AI360" s="186">
        <v>0.6061244510054814</v>
      </c>
      <c r="AJ360" s="152" t="s">
        <v>143</v>
      </c>
      <c r="AK360" s="171"/>
      <c r="AL360" s="171"/>
      <c r="AM360" s="817"/>
      <c r="AN360" s="38"/>
      <c r="AO360" s="38"/>
      <c r="AP360" s="38"/>
      <c r="AQ360" s="38"/>
      <c r="AR360" s="38"/>
      <c r="AS360" s="38"/>
      <c r="AT360" s="38"/>
      <c r="AU360" s="38"/>
      <c r="AV360" s="38"/>
      <c r="AW360" s="38"/>
      <c r="AX360" s="38"/>
      <c r="AY360" s="38"/>
      <c r="AZ360" s="38"/>
      <c r="BA360" s="38"/>
      <c r="BB360" s="38"/>
      <c r="BC360" s="38"/>
      <c r="BD360" s="38"/>
      <c r="BE360" s="38"/>
      <c r="BF360" s="38"/>
    </row>
    <row r="361" spans="1:58" s="173" customFormat="1" ht="21" customHeight="1">
      <c r="A361" s="153"/>
      <c r="B361" s="1413" t="s">
        <v>161</v>
      </c>
      <c r="C361" s="1414"/>
      <c r="D361" s="1414"/>
      <c r="E361" s="1414"/>
      <c r="F361" s="1414"/>
      <c r="G361" s="1414"/>
      <c r="H361" s="1414"/>
      <c r="I361" s="1414"/>
      <c r="J361" s="1414"/>
      <c r="K361" s="1415"/>
      <c r="L361" s="177">
        <v>100000</v>
      </c>
      <c r="M361" s="178">
        <v>1609042</v>
      </c>
      <c r="N361" s="178">
        <v>240676.92</v>
      </c>
      <c r="O361" s="177">
        <v>0</v>
      </c>
      <c r="P361" s="178">
        <v>1949718.92</v>
      </c>
      <c r="Q361" s="322">
        <f>R361+S361+T361+U361</f>
        <v>85000</v>
      </c>
      <c r="R361" s="162">
        <f>V361-S361-T361</f>
        <v>12315</v>
      </c>
      <c r="S361" s="162">
        <v>36342.5</v>
      </c>
      <c r="T361" s="162">
        <v>36342.5</v>
      </c>
      <c r="U361" s="162"/>
      <c r="V361" s="252">
        <f>V358</f>
        <v>85000</v>
      </c>
      <c r="W361" s="253"/>
      <c r="X361" s="382">
        <f>X358</f>
        <v>36000</v>
      </c>
      <c r="Y361" s="175"/>
      <c r="Z361" s="175"/>
      <c r="AA361" s="175"/>
      <c r="AB361" s="175"/>
      <c r="AC361" s="175"/>
      <c r="AD361" s="175"/>
      <c r="AE361" s="175"/>
      <c r="AF361" s="175"/>
      <c r="AG361" s="175"/>
      <c r="AH361" s="175"/>
      <c r="AI361" s="190"/>
      <c r="AJ361" s="152" t="s">
        <v>143</v>
      </c>
      <c r="AK361" s="171"/>
      <c r="AL361" s="171"/>
      <c r="AM361" s="817"/>
      <c r="AN361" s="38"/>
      <c r="AO361" s="38"/>
      <c r="AP361" s="38"/>
      <c r="AQ361" s="38"/>
      <c r="AR361" s="38"/>
      <c r="AS361" s="38"/>
      <c r="AT361" s="38"/>
      <c r="AU361" s="38"/>
      <c r="AV361" s="38"/>
      <c r="AW361" s="38"/>
      <c r="AX361" s="38"/>
      <c r="AY361" s="38"/>
      <c r="AZ361" s="38"/>
      <c r="BA361" s="38"/>
      <c r="BB361" s="38"/>
      <c r="BC361" s="38"/>
      <c r="BD361" s="38"/>
      <c r="BE361" s="38"/>
      <c r="BF361" s="38"/>
    </row>
    <row r="362" spans="1:58" s="173" customFormat="1" ht="9.75" customHeight="1" hidden="1">
      <c r="A362" s="153"/>
      <c r="B362" s="174"/>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338"/>
      <c r="Z362" s="335"/>
      <c r="AA362" s="335"/>
      <c r="AB362" s="168"/>
      <c r="AC362" s="168"/>
      <c r="AD362" s="168"/>
      <c r="AE362" s="184"/>
      <c r="AF362" s="185"/>
      <c r="AG362" s="168"/>
      <c r="AH362" s="169"/>
      <c r="AI362" s="186"/>
      <c r="AJ362" s="152"/>
      <c r="AK362" s="171"/>
      <c r="AL362" s="171"/>
      <c r="AM362" s="38"/>
      <c r="AN362" s="38"/>
      <c r="AO362" s="38"/>
      <c r="AP362" s="38"/>
      <c r="AQ362" s="38"/>
      <c r="AR362" s="38"/>
      <c r="AS362" s="38"/>
      <c r="AT362" s="38"/>
      <c r="AU362" s="38"/>
      <c r="AV362" s="38"/>
      <c r="AW362" s="38"/>
      <c r="AX362" s="38"/>
      <c r="AY362" s="38"/>
      <c r="AZ362" s="38"/>
      <c r="BA362" s="38"/>
      <c r="BB362" s="38"/>
      <c r="BC362" s="38"/>
      <c r="BD362" s="38"/>
      <c r="BE362" s="38"/>
      <c r="BF362" s="38"/>
    </row>
    <row r="363" spans="1:58" s="173" customFormat="1" ht="9" customHeight="1" hidden="1">
      <c r="A363" s="153"/>
      <c r="B363" s="329"/>
      <c r="C363" s="174"/>
      <c r="D363" s="156"/>
      <c r="E363" s="330"/>
      <c r="F363" s="331"/>
      <c r="G363" s="544"/>
      <c r="H363" s="332"/>
      <c r="I363" s="332"/>
      <c r="J363" s="333"/>
      <c r="K363" s="249"/>
      <c r="L363" s="334"/>
      <c r="M363" s="163"/>
      <c r="N363" s="163"/>
      <c r="O363" s="334"/>
      <c r="P363" s="163"/>
      <c r="Q363" s="164"/>
      <c r="R363" s="162"/>
      <c r="S363" s="162"/>
      <c r="T363" s="162"/>
      <c r="U363" s="162"/>
      <c r="V363" s="335"/>
      <c r="W363" s="340"/>
      <c r="X363" s="337"/>
      <c r="Y363" s="255"/>
      <c r="Z363" s="253"/>
      <c r="AA363" s="489"/>
      <c r="AB363" s="1410"/>
      <c r="AC363" s="1411"/>
      <c r="AD363" s="1412"/>
      <c r="AE363" s="184">
        <v>0</v>
      </c>
      <c r="AF363" s="185">
        <v>0</v>
      </c>
      <c r="AG363" s="1410"/>
      <c r="AH363" s="1412"/>
      <c r="AI363" s="186"/>
      <c r="AJ363" s="152" t="s">
        <v>143</v>
      </c>
      <c r="AK363" s="171"/>
      <c r="AL363" s="171"/>
      <c r="AM363" s="38"/>
      <c r="AN363" s="38"/>
      <c r="AO363" s="38"/>
      <c r="AP363" s="38"/>
      <c r="AQ363" s="38"/>
      <c r="AR363" s="38"/>
      <c r="AS363" s="38"/>
      <c r="AT363" s="38"/>
      <c r="AU363" s="38"/>
      <c r="AV363" s="38"/>
      <c r="AW363" s="38"/>
      <c r="AX363" s="38"/>
      <c r="AY363" s="38"/>
      <c r="AZ363" s="38"/>
      <c r="BA363" s="38"/>
      <c r="BB363" s="38"/>
      <c r="BC363" s="38"/>
      <c r="BD363" s="38"/>
      <c r="BE363" s="38"/>
      <c r="BF363" s="38"/>
    </row>
    <row r="364" spans="1:58" s="173" customFormat="1" ht="12.75" customHeight="1" hidden="1">
      <c r="A364" s="153"/>
      <c r="B364" s="1413" t="s">
        <v>161</v>
      </c>
      <c r="C364" s="1414"/>
      <c r="D364" s="1414"/>
      <c r="E364" s="1414"/>
      <c r="F364" s="1414"/>
      <c r="G364" s="1414"/>
      <c r="H364" s="1414"/>
      <c r="I364" s="1414"/>
      <c r="J364" s="1414"/>
      <c r="K364" s="1415"/>
      <c r="L364" s="177"/>
      <c r="M364" s="178"/>
      <c r="N364" s="178"/>
      <c r="O364" s="177"/>
      <c r="P364" s="178"/>
      <c r="Q364" s="164"/>
      <c r="R364" s="251"/>
      <c r="S364" s="249"/>
      <c r="T364" s="251"/>
      <c r="U364" s="249"/>
      <c r="V364" s="252">
        <v>0</v>
      </c>
      <c r="W364" s="253"/>
      <c r="X364" s="254"/>
      <c r="Y364" s="175"/>
      <c r="Z364" s="175"/>
      <c r="AA364" s="175"/>
      <c r="AB364" s="175"/>
      <c r="AC364" s="175"/>
      <c r="AD364" s="175"/>
      <c r="AE364" s="175"/>
      <c r="AF364" s="175"/>
      <c r="AG364" s="175"/>
      <c r="AH364" s="175"/>
      <c r="AI364" s="190"/>
      <c r="AJ364" s="152" t="s">
        <v>143</v>
      </c>
      <c r="AK364" s="171"/>
      <c r="AL364" s="171"/>
      <c r="AM364" s="38"/>
      <c r="AN364" s="38"/>
      <c r="AO364" s="38"/>
      <c r="AP364" s="38"/>
      <c r="AQ364" s="38"/>
      <c r="AR364" s="38"/>
      <c r="AS364" s="38"/>
      <c r="AT364" s="38"/>
      <c r="AU364" s="38"/>
      <c r="AV364" s="38"/>
      <c r="AW364" s="38"/>
      <c r="AX364" s="38"/>
      <c r="AY364" s="38"/>
      <c r="AZ364" s="38"/>
      <c r="BA364" s="38"/>
      <c r="BB364" s="38"/>
      <c r="BC364" s="38"/>
      <c r="BD364" s="38"/>
      <c r="BE364" s="38"/>
      <c r="BF364" s="38"/>
    </row>
    <row r="365" spans="1:58" s="173" customFormat="1" ht="12.75" customHeight="1" hidden="1">
      <c r="A365" s="153"/>
      <c r="B365" s="174"/>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94"/>
      <c r="Z365" s="162"/>
      <c r="AA365" s="464"/>
      <c r="AB365" s="168"/>
      <c r="AC365" s="168"/>
      <c r="AD365" s="168"/>
      <c r="AE365" s="168"/>
      <c r="AF365" s="168"/>
      <c r="AG365" s="168"/>
      <c r="AH365" s="169"/>
      <c r="AI365" s="170"/>
      <c r="AJ365" s="152" t="s">
        <v>143</v>
      </c>
      <c r="AK365" s="171"/>
      <c r="AL365" s="171"/>
      <c r="AM365" s="38"/>
      <c r="AN365" s="38"/>
      <c r="AO365" s="38"/>
      <c r="AP365" s="38"/>
      <c r="AQ365" s="38"/>
      <c r="AR365" s="38"/>
      <c r="AS365" s="38"/>
      <c r="AT365" s="38"/>
      <c r="AU365" s="38"/>
      <c r="AV365" s="38"/>
      <c r="AW365" s="38"/>
      <c r="AX365" s="38"/>
      <c r="AY365" s="38"/>
      <c r="AZ365" s="38"/>
      <c r="BA365" s="38"/>
      <c r="BB365" s="38"/>
      <c r="BC365" s="38"/>
      <c r="BD365" s="38"/>
      <c r="BE365" s="38"/>
      <c r="BF365" s="38"/>
    </row>
    <row r="366" spans="1:58" s="173" customFormat="1" ht="15" customHeight="1" hidden="1">
      <c r="A366" s="153"/>
      <c r="B366" s="154"/>
      <c r="C366" s="155"/>
      <c r="D366" s="156"/>
      <c r="E366" s="157"/>
      <c r="F366" s="158"/>
      <c r="G366" s="250"/>
      <c r="H366" s="160"/>
      <c r="I366" s="160"/>
      <c r="J366" s="161"/>
      <c r="K366" s="162"/>
      <c r="L366" s="163"/>
      <c r="M366" s="163"/>
      <c r="N366" s="163"/>
      <c r="O366" s="163"/>
      <c r="P366" s="163"/>
      <c r="Q366" s="167"/>
      <c r="R366" s="162"/>
      <c r="S366" s="162"/>
      <c r="T366" s="162"/>
      <c r="U366" s="162"/>
      <c r="V366" s="195"/>
      <c r="W366" s="162"/>
      <c r="X366" s="193"/>
      <c r="Y366" s="255"/>
      <c r="Z366" s="253"/>
      <c r="AA366" s="489"/>
      <c r="AB366" s="1410"/>
      <c r="AC366" s="1411"/>
      <c r="AD366" s="1412"/>
      <c r="AE366" s="184">
        <v>0</v>
      </c>
      <c r="AF366" s="185">
        <v>0</v>
      </c>
      <c r="AG366" s="1410"/>
      <c r="AH366" s="1412"/>
      <c r="AI366" s="186"/>
      <c r="AJ366" s="152" t="s">
        <v>143</v>
      </c>
      <c r="AK366" s="171"/>
      <c r="AL366" s="171"/>
      <c r="AM366" s="38"/>
      <c r="AN366" s="38"/>
      <c r="AO366" s="38"/>
      <c r="AP366" s="38"/>
      <c r="AQ366" s="38"/>
      <c r="AR366" s="38"/>
      <c r="AS366" s="38"/>
      <c r="AT366" s="38"/>
      <c r="AU366" s="38"/>
      <c r="AV366" s="38"/>
      <c r="AW366" s="38"/>
      <c r="AX366" s="38"/>
      <c r="AY366" s="38"/>
      <c r="AZ366" s="38"/>
      <c r="BA366" s="38"/>
      <c r="BB366" s="38"/>
      <c r="BC366" s="38"/>
      <c r="BD366" s="38"/>
      <c r="BE366" s="38"/>
      <c r="BF366" s="38"/>
    </row>
    <row r="367" spans="1:58" s="173" customFormat="1" ht="15" customHeight="1" hidden="1">
      <c r="A367" s="153"/>
      <c r="B367" s="1413" t="s">
        <v>161</v>
      </c>
      <c r="C367" s="1414"/>
      <c r="D367" s="1414"/>
      <c r="E367" s="1414"/>
      <c r="F367" s="1414"/>
      <c r="G367" s="1414"/>
      <c r="H367" s="1414"/>
      <c r="I367" s="1414"/>
      <c r="J367" s="1414"/>
      <c r="K367" s="1415"/>
      <c r="L367" s="177">
        <v>62480</v>
      </c>
      <c r="M367" s="178">
        <v>0</v>
      </c>
      <c r="N367" s="178">
        <v>-62480</v>
      </c>
      <c r="O367" s="177">
        <v>0</v>
      </c>
      <c r="P367" s="178">
        <v>0</v>
      </c>
      <c r="Q367" s="164"/>
      <c r="R367" s="251"/>
      <c r="S367" s="249"/>
      <c r="T367" s="251"/>
      <c r="U367" s="249"/>
      <c r="V367" s="252">
        <v>0</v>
      </c>
      <c r="W367" s="253"/>
      <c r="X367" s="254"/>
      <c r="Y367" s="791"/>
      <c r="Z367" s="791"/>
      <c r="AA367" s="791"/>
      <c r="AB367" s="183"/>
      <c r="AC367" s="183"/>
      <c r="AD367" s="183"/>
      <c r="AE367" s="249"/>
      <c r="AF367" s="249"/>
      <c r="AG367" s="183"/>
      <c r="AH367" s="183"/>
      <c r="AI367" s="186"/>
      <c r="AJ367" s="152"/>
      <c r="AK367" s="171"/>
      <c r="AL367" s="171"/>
      <c r="AM367" s="38"/>
      <c r="AN367" s="38"/>
      <c r="AO367" s="38"/>
      <c r="AP367" s="38"/>
      <c r="AQ367" s="38"/>
      <c r="AR367" s="38"/>
      <c r="AS367" s="38"/>
      <c r="AT367" s="38"/>
      <c r="AU367" s="38"/>
      <c r="AV367" s="38"/>
      <c r="AW367" s="38"/>
      <c r="AX367" s="38"/>
      <c r="AY367" s="38"/>
      <c r="AZ367" s="38"/>
      <c r="BA367" s="38"/>
      <c r="BB367" s="38"/>
      <c r="BC367" s="38"/>
      <c r="BD367" s="38"/>
      <c r="BE367" s="38"/>
      <c r="BF367" s="38"/>
    </row>
    <row r="368" spans="1:58" s="173" customFormat="1" ht="23.25" customHeight="1" hidden="1">
      <c r="A368" s="153"/>
      <c r="B368" s="174"/>
      <c r="C368" s="175"/>
      <c r="D368" s="1499"/>
      <c r="E368" s="1499"/>
      <c r="F368" s="1499"/>
      <c r="G368" s="1499"/>
      <c r="H368" s="1499"/>
      <c r="I368" s="1499"/>
      <c r="J368" s="1499"/>
      <c r="K368" s="1499"/>
      <c r="L368" s="1499"/>
      <c r="M368" s="1499"/>
      <c r="N368" s="1499"/>
      <c r="O368" s="1499"/>
      <c r="P368" s="1499"/>
      <c r="Q368" s="1499"/>
      <c r="R368" s="1499"/>
      <c r="S368" s="1499"/>
      <c r="T368" s="1499"/>
      <c r="U368" s="1499"/>
      <c r="V368" s="1499"/>
      <c r="W368" s="1499"/>
      <c r="X368" s="791"/>
      <c r="Y368" s="175"/>
      <c r="Z368" s="175"/>
      <c r="AA368" s="175"/>
      <c r="AB368" s="175"/>
      <c r="AC368" s="175"/>
      <c r="AD368" s="175"/>
      <c r="AE368" s="175"/>
      <c r="AF368" s="175"/>
      <c r="AG368" s="175"/>
      <c r="AH368" s="175"/>
      <c r="AI368" s="190"/>
      <c r="AJ368" s="152"/>
      <c r="AK368" s="171"/>
      <c r="AL368" s="171"/>
      <c r="AM368" s="38"/>
      <c r="AN368" s="38"/>
      <c r="AO368" s="38"/>
      <c r="AP368" s="38"/>
      <c r="AQ368" s="38"/>
      <c r="AR368" s="38"/>
      <c r="AS368" s="38"/>
      <c r="AT368" s="38"/>
      <c r="AU368" s="38"/>
      <c r="AV368" s="38"/>
      <c r="AW368" s="38"/>
      <c r="AX368" s="38"/>
      <c r="AY368" s="38"/>
      <c r="AZ368" s="38"/>
      <c r="BA368" s="38"/>
      <c r="BB368" s="38"/>
      <c r="BC368" s="38"/>
      <c r="BD368" s="38"/>
      <c r="BE368" s="38"/>
      <c r="BF368" s="38"/>
    </row>
    <row r="369" spans="1:58" s="173" customFormat="1" ht="12.75" customHeight="1">
      <c r="A369" s="153"/>
      <c r="B369" s="174" t="s">
        <v>456</v>
      </c>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94"/>
      <c r="Z369" s="191">
        <v>260000</v>
      </c>
      <c r="AA369" s="191">
        <v>260000</v>
      </c>
      <c r="AB369" s="168"/>
      <c r="AC369" s="168"/>
      <c r="AD369" s="168"/>
      <c r="AE369" s="168">
        <v>83042.25</v>
      </c>
      <c r="AF369" s="168">
        <v>0</v>
      </c>
      <c r="AG369" s="168"/>
      <c r="AH369" s="169"/>
      <c r="AI369" s="170">
        <v>0.9752466236054023</v>
      </c>
      <c r="AJ369" s="152" t="s">
        <v>143</v>
      </c>
      <c r="AK369" s="171"/>
      <c r="AL369" s="171"/>
      <c r="AM369" s="38"/>
      <c r="AN369" s="38"/>
      <c r="AO369" s="38"/>
      <c r="AP369" s="38"/>
      <c r="AQ369" s="38"/>
      <c r="AR369" s="38"/>
      <c r="AS369" s="38"/>
      <c r="AT369" s="38"/>
      <c r="AU369" s="38"/>
      <c r="AV369" s="38"/>
      <c r="AW369" s="38"/>
      <c r="AX369" s="38"/>
      <c r="AY369" s="38"/>
      <c r="AZ369" s="38"/>
      <c r="BA369" s="38"/>
      <c r="BB369" s="38"/>
      <c r="BC369" s="38"/>
      <c r="BD369" s="38"/>
      <c r="BE369" s="38"/>
      <c r="BF369" s="38"/>
    </row>
    <row r="370" spans="1:39" ht="14.25" customHeight="1">
      <c r="A370" s="153"/>
      <c r="B370" s="154" t="s">
        <v>320</v>
      </c>
      <c r="C370" s="155" t="s">
        <v>320</v>
      </c>
      <c r="D370" s="969">
        <v>656460012</v>
      </c>
      <c r="E370" s="362">
        <v>503</v>
      </c>
      <c r="F370" s="363">
        <v>656</v>
      </c>
      <c r="G370" s="513" t="s">
        <v>76</v>
      </c>
      <c r="H370" s="364" t="s">
        <v>91</v>
      </c>
      <c r="I370" s="364">
        <v>225</v>
      </c>
      <c r="J370" s="365">
        <v>0</v>
      </c>
      <c r="K370" s="192"/>
      <c r="L370" s="366">
        <v>0</v>
      </c>
      <c r="M370" s="366">
        <v>100000</v>
      </c>
      <c r="N370" s="366">
        <v>-14850</v>
      </c>
      <c r="O370" s="366">
        <v>0</v>
      </c>
      <c r="P370" s="366">
        <v>85150</v>
      </c>
      <c r="Q370" s="367"/>
      <c r="R370" s="192"/>
      <c r="S370" s="192"/>
      <c r="T370" s="192"/>
      <c r="U370" s="192"/>
      <c r="V370" s="191">
        <v>160000</v>
      </c>
      <c r="W370" s="192" t="s">
        <v>592</v>
      </c>
      <c r="X370" s="193">
        <v>140000</v>
      </c>
      <c r="Y370" s="255"/>
      <c r="Z370" s="252">
        <f>Z369</f>
        <v>260000</v>
      </c>
      <c r="AA370" s="252">
        <f>AA369</f>
        <v>260000</v>
      </c>
      <c r="AB370" s="1410"/>
      <c r="AC370" s="1411"/>
      <c r="AD370" s="1412"/>
      <c r="AE370" s="184">
        <v>95085.75</v>
      </c>
      <c r="AF370" s="185">
        <v>0</v>
      </c>
      <c r="AG370" s="1410"/>
      <c r="AH370" s="1412"/>
      <c r="AI370" s="186">
        <v>0.9508575</v>
      </c>
      <c r="AJ370" s="152" t="s">
        <v>143</v>
      </c>
      <c r="AK370" s="30"/>
      <c r="AL370" s="30"/>
      <c r="AM370" s="817"/>
    </row>
    <row r="371" spans="1:38" ht="14.25" customHeight="1" thickBot="1">
      <c r="A371" s="151"/>
      <c r="B371" s="1413" t="s">
        <v>161</v>
      </c>
      <c r="C371" s="1414"/>
      <c r="D371" s="1414"/>
      <c r="E371" s="1414"/>
      <c r="F371" s="1414"/>
      <c r="G371" s="1414"/>
      <c r="H371" s="1414"/>
      <c r="I371" s="1414"/>
      <c r="J371" s="1414"/>
      <c r="K371" s="1415"/>
      <c r="L371" s="408">
        <v>0</v>
      </c>
      <c r="M371" s="180">
        <v>100000</v>
      </c>
      <c r="N371" s="180">
        <v>0</v>
      </c>
      <c r="O371" s="408">
        <v>0</v>
      </c>
      <c r="P371" s="180">
        <v>100000</v>
      </c>
      <c r="Q371" s="164"/>
      <c r="R371" s="409"/>
      <c r="S371" s="410"/>
      <c r="T371" s="409"/>
      <c r="U371" s="410"/>
      <c r="V371" s="252">
        <f>V370</f>
        <v>160000</v>
      </c>
      <c r="W371" s="253"/>
      <c r="X371" s="254">
        <f>X370</f>
        <v>140000</v>
      </c>
      <c r="Y371" s="175"/>
      <c r="Z371" s="175"/>
      <c r="AA371" s="175"/>
      <c r="AB371" s="175"/>
      <c r="AC371" s="175"/>
      <c r="AD371" s="175"/>
      <c r="AE371" s="175"/>
      <c r="AF371" s="175"/>
      <c r="AG371" s="175"/>
      <c r="AH371" s="175"/>
      <c r="AI371" s="190"/>
      <c r="AJ371" s="152" t="s">
        <v>143</v>
      </c>
      <c r="AK371" s="30"/>
      <c r="AL371" s="30"/>
    </row>
    <row r="372" spans="1:38" ht="20.25" customHeight="1" hidden="1">
      <c r="A372" s="151"/>
      <c r="B372" s="174"/>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94"/>
      <c r="Z372" s="162"/>
      <c r="AA372" s="464"/>
      <c r="AB372" s="168"/>
      <c r="AC372" s="168"/>
      <c r="AD372" s="168"/>
      <c r="AE372" s="168"/>
      <c r="AF372" s="168"/>
      <c r="AG372" s="168"/>
      <c r="AH372" s="169"/>
      <c r="AI372" s="170"/>
      <c r="AJ372" s="152" t="s">
        <v>143</v>
      </c>
      <c r="AK372" s="30"/>
      <c r="AL372" s="30"/>
    </row>
    <row r="373" spans="1:38" ht="17.25" customHeight="1" hidden="1" thickBot="1">
      <c r="A373" s="151"/>
      <c r="B373" s="154"/>
      <c r="C373" s="155"/>
      <c r="D373" s="156"/>
      <c r="E373" s="157"/>
      <c r="F373" s="158"/>
      <c r="G373" s="250"/>
      <c r="H373" s="160"/>
      <c r="I373" s="160"/>
      <c r="J373" s="161"/>
      <c r="K373" s="162"/>
      <c r="L373" s="165"/>
      <c r="M373" s="165"/>
      <c r="N373" s="165"/>
      <c r="O373" s="165"/>
      <c r="P373" s="165"/>
      <c r="Q373" s="167"/>
      <c r="R373" s="481"/>
      <c r="S373" s="481"/>
      <c r="T373" s="481"/>
      <c r="U373" s="481"/>
      <c r="V373" s="195"/>
      <c r="W373" s="162"/>
      <c r="X373" s="193"/>
      <c r="Y373" s="398"/>
      <c r="Z373" s="397"/>
      <c r="AA373" s="508"/>
      <c r="AB373" s="1410"/>
      <c r="AC373" s="1411"/>
      <c r="AD373" s="1412"/>
      <c r="AE373" s="184">
        <v>900000</v>
      </c>
      <c r="AF373" s="185">
        <v>0</v>
      </c>
      <c r="AG373" s="1410"/>
      <c r="AH373" s="1412"/>
      <c r="AI373" s="186">
        <v>1</v>
      </c>
      <c r="AJ373" s="152" t="s">
        <v>143</v>
      </c>
      <c r="AK373" s="30"/>
      <c r="AL373" s="30"/>
    </row>
    <row r="374" spans="1:38" ht="18.75" customHeight="1" hidden="1" thickBot="1">
      <c r="A374" s="151"/>
      <c r="B374" s="1413" t="s">
        <v>161</v>
      </c>
      <c r="C374" s="1414"/>
      <c r="D374" s="1423"/>
      <c r="E374" s="1423"/>
      <c r="F374" s="1423"/>
      <c r="G374" s="1423"/>
      <c r="H374" s="1423"/>
      <c r="I374" s="1423"/>
      <c r="J374" s="1423"/>
      <c r="K374" s="1424"/>
      <c r="L374" s="503">
        <v>0</v>
      </c>
      <c r="M374" s="504">
        <v>400000</v>
      </c>
      <c r="N374" s="504">
        <v>500000</v>
      </c>
      <c r="O374" s="503">
        <v>0</v>
      </c>
      <c r="P374" s="504">
        <v>900000</v>
      </c>
      <c r="Q374" s="392"/>
      <c r="R374" s="505"/>
      <c r="S374" s="506"/>
      <c r="T374" s="505"/>
      <c r="U374" s="506"/>
      <c r="V374" s="383"/>
      <c r="W374" s="397"/>
      <c r="X374" s="507"/>
      <c r="Y374" s="787"/>
      <c r="Z374" s="787"/>
      <c r="AA374" s="788"/>
      <c r="AB374" s="183"/>
      <c r="AC374" s="183"/>
      <c r="AD374" s="183"/>
      <c r="AE374" s="249"/>
      <c r="AF374" s="249"/>
      <c r="AG374" s="183"/>
      <c r="AH374" s="183"/>
      <c r="AI374" s="186"/>
      <c r="AJ374" s="152"/>
      <c r="AK374" s="30"/>
      <c r="AL374" s="30"/>
    </row>
    <row r="375" spans="1:39" ht="22.5" customHeight="1" thickBot="1">
      <c r="A375" s="151"/>
      <c r="B375" s="174"/>
      <c r="C375" s="175"/>
      <c r="D375" s="1497" t="s">
        <v>470</v>
      </c>
      <c r="E375" s="1498"/>
      <c r="F375" s="1498"/>
      <c r="G375" s="1498"/>
      <c r="H375" s="1498"/>
      <c r="I375" s="1498"/>
      <c r="J375" s="1498"/>
      <c r="K375" s="1498"/>
      <c r="L375" s="1498"/>
      <c r="M375" s="1498"/>
      <c r="N375" s="1498"/>
      <c r="O375" s="1498"/>
      <c r="P375" s="1498"/>
      <c r="Q375" s="1498"/>
      <c r="R375" s="1498"/>
      <c r="S375" s="1498"/>
      <c r="T375" s="1498"/>
      <c r="U375" s="1498"/>
      <c r="V375" s="1498"/>
      <c r="W375" s="1498"/>
      <c r="X375" s="787"/>
      <c r="Y375" s="783"/>
      <c r="Z375" s="783"/>
      <c r="AA375" s="783"/>
      <c r="AB375" s="183"/>
      <c r="AC375" s="183"/>
      <c r="AD375" s="183"/>
      <c r="AE375" s="249"/>
      <c r="AF375" s="249"/>
      <c r="AG375" s="183"/>
      <c r="AH375" s="183"/>
      <c r="AI375" s="186"/>
      <c r="AJ375" s="152"/>
      <c r="AK375" s="30"/>
      <c r="AL375" s="30"/>
      <c r="AM375" s="172" t="e">
        <f>AM378-3111653</f>
        <v>#REF!</v>
      </c>
    </row>
    <row r="376" spans="1:40" ht="20.25" customHeight="1">
      <c r="A376" s="151"/>
      <c r="B376" s="174"/>
      <c r="C376" s="175"/>
      <c r="D376" s="783" t="s">
        <v>322</v>
      </c>
      <c r="E376" s="783"/>
      <c r="F376" s="783"/>
      <c r="G376" s="783"/>
      <c r="H376" s="783"/>
      <c r="I376" s="783"/>
      <c r="J376" s="783"/>
      <c r="K376" s="783"/>
      <c r="L376" s="783"/>
      <c r="M376" s="783"/>
      <c r="N376" s="783"/>
      <c r="O376" s="783"/>
      <c r="P376" s="783"/>
      <c r="Q376" s="783"/>
      <c r="R376" s="783"/>
      <c r="S376" s="783"/>
      <c r="T376" s="783"/>
      <c r="U376" s="783"/>
      <c r="V376" s="783"/>
      <c r="W376" s="783"/>
      <c r="X376" s="783"/>
      <c r="Y376" s="188"/>
      <c r="Z376" s="188"/>
      <c r="AA376" s="188"/>
      <c r="AB376" s="175"/>
      <c r="AC376" s="175"/>
      <c r="AD376" s="175"/>
      <c r="AE376" s="175"/>
      <c r="AF376" s="175"/>
      <c r="AG376" s="175"/>
      <c r="AH376" s="175"/>
      <c r="AI376" s="190"/>
      <c r="AJ376" s="152" t="s">
        <v>143</v>
      </c>
      <c r="AK376" s="30"/>
      <c r="AL376" s="30"/>
      <c r="AN376" s="38" t="s">
        <v>325</v>
      </c>
    </row>
    <row r="377" spans="1:58" s="173" customFormat="1" ht="12.75" customHeight="1">
      <c r="A377" s="151"/>
      <c r="B377" s="174" t="s">
        <v>323</v>
      </c>
      <c r="C377" s="175"/>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94">
        <f>V378+V379+V447</f>
        <v>4790772</v>
      </c>
      <c r="Z377" s="546">
        <v>4260395</v>
      </c>
      <c r="AA377" s="546">
        <v>4260395</v>
      </c>
      <c r="AB377" s="168"/>
      <c r="AC377" s="168"/>
      <c r="AD377" s="168"/>
      <c r="AE377" s="168">
        <v>2276384.1</v>
      </c>
      <c r="AF377" s="168">
        <v>0</v>
      </c>
      <c r="AG377" s="168"/>
      <c r="AH377" s="169"/>
      <c r="AI377" s="170">
        <v>0.8204072872742998</v>
      </c>
      <c r="AJ377" s="152" t="s">
        <v>143</v>
      </c>
      <c r="AK377" s="171"/>
      <c r="AL377" s="171"/>
      <c r="AM377" s="38" t="s">
        <v>324</v>
      </c>
      <c r="AN377" s="173" t="s">
        <v>326</v>
      </c>
      <c r="AP377" s="38"/>
      <c r="AQ377" s="38"/>
      <c r="AR377" s="38"/>
      <c r="AS377" s="38"/>
      <c r="AT377" s="38"/>
      <c r="AU377" s="38"/>
      <c r="AV377" s="38"/>
      <c r="AW377" s="38"/>
      <c r="AX377" s="38"/>
      <c r="AY377" s="38"/>
      <c r="AZ377" s="38"/>
      <c r="BA377" s="38"/>
      <c r="BB377" s="38"/>
      <c r="BC377" s="38"/>
      <c r="BD377" s="38"/>
      <c r="BE377" s="38"/>
      <c r="BF377" s="38"/>
    </row>
    <row r="378" spans="1:58" s="173" customFormat="1" ht="41.25" customHeight="1">
      <c r="A378" s="153"/>
      <c r="B378" s="154" t="s">
        <v>323</v>
      </c>
      <c r="C378" s="155" t="s">
        <v>323</v>
      </c>
      <c r="D378" s="545">
        <v>656410011</v>
      </c>
      <c r="E378" s="157">
        <v>801</v>
      </c>
      <c r="F378" s="158">
        <v>656</v>
      </c>
      <c r="G378" s="250" t="s">
        <v>471</v>
      </c>
      <c r="H378" s="160" t="s">
        <v>190</v>
      </c>
      <c r="I378" s="160">
        <v>211</v>
      </c>
      <c r="J378" s="161"/>
      <c r="K378" s="162"/>
      <c r="L378" s="163">
        <v>628000</v>
      </c>
      <c r="M378" s="163">
        <v>896000</v>
      </c>
      <c r="N378" s="163">
        <v>877700</v>
      </c>
      <c r="O378" s="163">
        <v>373000</v>
      </c>
      <c r="P378" s="163">
        <v>2774700</v>
      </c>
      <c r="Q378" s="167">
        <f>R378+S378+T378+U378</f>
        <v>2599000</v>
      </c>
      <c r="R378" s="163">
        <v>800000</v>
      </c>
      <c r="S378" s="163">
        <v>599000</v>
      </c>
      <c r="T378" s="163">
        <v>700000</v>
      </c>
      <c r="U378" s="163">
        <v>500000</v>
      </c>
      <c r="V378" s="546">
        <v>4254395</v>
      </c>
      <c r="W378" s="991" t="s">
        <v>594</v>
      </c>
      <c r="X378" s="193">
        <v>55406.4</v>
      </c>
      <c r="Y378" s="194">
        <f>(V378+V379+X378+V447)/7/12</f>
        <v>57692.600000000006</v>
      </c>
      <c r="Z378" s="546">
        <v>10000</v>
      </c>
      <c r="AA378" s="546">
        <v>10000</v>
      </c>
      <c r="AB378" s="168"/>
      <c r="AC378" s="168"/>
      <c r="AD378" s="168"/>
      <c r="AE378" s="168">
        <v>2276384.1</v>
      </c>
      <c r="AF378" s="168">
        <v>0</v>
      </c>
      <c r="AG378" s="168"/>
      <c r="AH378" s="169"/>
      <c r="AI378" s="170">
        <v>0.8204072872742998</v>
      </c>
      <c r="AJ378" s="152" t="s">
        <v>143</v>
      </c>
      <c r="AK378" s="171"/>
      <c r="AL378" s="171"/>
      <c r="AM378" s="547" t="e">
        <f>Z377+Z378+#REF!</f>
        <v>#REF!</v>
      </c>
      <c r="AN378" s="173" t="s">
        <v>327</v>
      </c>
      <c r="AP378" s="38"/>
      <c r="AQ378" s="38"/>
      <c r="AR378" s="38"/>
      <c r="AS378" s="38"/>
      <c r="AT378" s="38"/>
      <c r="AU378" s="38"/>
      <c r="AV378" s="38"/>
      <c r="AW378" s="38"/>
      <c r="AX378" s="38"/>
      <c r="AY378" s="38"/>
      <c r="AZ378" s="38"/>
      <c r="BA378" s="38"/>
      <c r="BB378" s="38"/>
      <c r="BC378" s="38"/>
      <c r="BD378" s="38"/>
      <c r="BE378" s="38"/>
      <c r="BF378" s="38"/>
    </row>
    <row r="379" spans="1:58" s="173" customFormat="1" ht="12.75" customHeight="1">
      <c r="A379" s="153"/>
      <c r="B379" s="154" t="s">
        <v>323</v>
      </c>
      <c r="C379" s="155" t="s">
        <v>323</v>
      </c>
      <c r="D379" s="545">
        <v>656410011</v>
      </c>
      <c r="E379" s="157">
        <v>801</v>
      </c>
      <c r="F379" s="158">
        <v>656</v>
      </c>
      <c r="G379" s="250" t="s">
        <v>471</v>
      </c>
      <c r="H379" s="160" t="s">
        <v>190</v>
      </c>
      <c r="I379" s="160">
        <v>266</v>
      </c>
      <c r="J379" s="161">
        <v>0</v>
      </c>
      <c r="K379" s="162"/>
      <c r="L379" s="163">
        <v>628000</v>
      </c>
      <c r="M379" s="163">
        <v>896000</v>
      </c>
      <c r="N379" s="163">
        <v>877700</v>
      </c>
      <c r="O379" s="163">
        <v>373000</v>
      </c>
      <c r="P379" s="163">
        <v>2774700</v>
      </c>
      <c r="Q379" s="167">
        <f>R379+S379+T379+U379</f>
        <v>2599000</v>
      </c>
      <c r="R379" s="163">
        <v>800000</v>
      </c>
      <c r="S379" s="163">
        <v>599000</v>
      </c>
      <c r="T379" s="163">
        <v>700000</v>
      </c>
      <c r="U379" s="163">
        <v>500000</v>
      </c>
      <c r="V379" s="546">
        <v>16000</v>
      </c>
      <c r="W379" s="162"/>
      <c r="X379" s="193"/>
      <c r="Y379" s="194"/>
      <c r="Z379" s="546"/>
      <c r="AA379" s="546"/>
      <c r="AB379" s="168"/>
      <c r="AC379" s="168"/>
      <c r="AD379" s="168"/>
      <c r="AE379" s="168">
        <v>2276384.1</v>
      </c>
      <c r="AF379" s="168">
        <v>0</v>
      </c>
      <c r="AG379" s="168"/>
      <c r="AH379" s="169"/>
      <c r="AI379" s="170">
        <v>0.8204072872742998</v>
      </c>
      <c r="AJ379" s="152" t="s">
        <v>143</v>
      </c>
      <c r="AK379" s="171"/>
      <c r="AL379" s="171"/>
      <c r="AM379" s="547">
        <f>Z380+Z447</f>
        <v>1446817.944</v>
      </c>
      <c r="AP379" s="38"/>
      <c r="AQ379" s="38"/>
      <c r="AR379" s="38"/>
      <c r="AS379" s="38"/>
      <c r="AT379" s="38"/>
      <c r="AU379" s="38"/>
      <c r="AV379" s="38"/>
      <c r="AW379" s="38"/>
      <c r="AX379" s="38"/>
      <c r="AY379" s="38"/>
      <c r="AZ379" s="38"/>
      <c r="BA379" s="38"/>
      <c r="BB379" s="38"/>
      <c r="BC379" s="38"/>
      <c r="BD379" s="38"/>
      <c r="BE379" s="38"/>
      <c r="BF379" s="38"/>
    </row>
    <row r="380" spans="1:58" s="173" customFormat="1" ht="12.75" customHeight="1">
      <c r="A380" s="153"/>
      <c r="B380" s="154" t="s">
        <v>323</v>
      </c>
      <c r="C380" s="155" t="s">
        <v>323</v>
      </c>
      <c r="D380" s="545">
        <v>656410011</v>
      </c>
      <c r="E380" s="548">
        <v>801</v>
      </c>
      <c r="F380" s="549">
        <v>656</v>
      </c>
      <c r="G380" s="550" t="s">
        <v>471</v>
      </c>
      <c r="H380" s="551" t="s">
        <v>190</v>
      </c>
      <c r="I380" s="551">
        <v>211</v>
      </c>
      <c r="J380" s="552">
        <v>0</v>
      </c>
      <c r="K380" s="553"/>
      <c r="L380" s="554">
        <v>628000</v>
      </c>
      <c r="M380" s="554">
        <v>896000</v>
      </c>
      <c r="N380" s="554">
        <v>877700</v>
      </c>
      <c r="O380" s="554">
        <v>373000</v>
      </c>
      <c r="P380" s="554">
        <v>2774700</v>
      </c>
      <c r="Q380" s="166">
        <f>R380+S380+T380+U380</f>
        <v>2599000</v>
      </c>
      <c r="R380" s="554">
        <v>800000</v>
      </c>
      <c r="S380" s="554">
        <v>599000</v>
      </c>
      <c r="T380" s="554">
        <v>700000</v>
      </c>
      <c r="U380" s="554">
        <v>500000</v>
      </c>
      <c r="V380" s="546"/>
      <c r="W380" s="553"/>
      <c r="X380" s="193"/>
      <c r="Y380" s="194"/>
      <c r="Z380" s="546">
        <f>1289660+3.69</f>
        <v>1289663.69</v>
      </c>
      <c r="AA380" s="546">
        <f>1289660+3.69</f>
        <v>1289663.69</v>
      </c>
      <c r="AB380" s="168"/>
      <c r="AC380" s="168"/>
      <c r="AD380" s="168"/>
      <c r="AE380" s="168">
        <v>690155.25</v>
      </c>
      <c r="AF380" s="168">
        <v>0</v>
      </c>
      <c r="AG380" s="168"/>
      <c r="AH380" s="169"/>
      <c r="AI380" s="170">
        <v>0.8396049270072994</v>
      </c>
      <c r="AJ380" s="152" t="s">
        <v>143</v>
      </c>
      <c r="AK380" s="171"/>
      <c r="AL380" s="171"/>
      <c r="AN380" s="547">
        <f>3111653-V378-V379-V380-V447</f>
        <v>-1679119</v>
      </c>
      <c r="AP380" s="38"/>
      <c r="AQ380" s="38"/>
      <c r="AR380" s="38"/>
      <c r="AS380" s="38"/>
      <c r="AT380" s="38"/>
      <c r="AU380" s="38"/>
      <c r="AV380" s="38"/>
      <c r="AW380" s="38"/>
      <c r="AX380" s="38"/>
      <c r="AY380" s="38"/>
      <c r="AZ380" s="38"/>
      <c r="BA380" s="38"/>
      <c r="BB380" s="38"/>
      <c r="BC380" s="38"/>
      <c r="BD380" s="38"/>
      <c r="BE380" s="38"/>
      <c r="BF380" s="38"/>
    </row>
    <row r="381" spans="1:58" s="173" customFormat="1" ht="12.75" customHeight="1">
      <c r="A381" s="153"/>
      <c r="B381" s="154" t="s">
        <v>323</v>
      </c>
      <c r="C381" s="155" t="s">
        <v>323</v>
      </c>
      <c r="D381" s="545">
        <v>656410011</v>
      </c>
      <c r="E381" s="157">
        <v>801</v>
      </c>
      <c r="F381" s="158">
        <v>656</v>
      </c>
      <c r="G381" s="250" t="s">
        <v>471</v>
      </c>
      <c r="H381" s="160">
        <v>119</v>
      </c>
      <c r="I381" s="160">
        <v>213</v>
      </c>
      <c r="J381" s="161">
        <v>0</v>
      </c>
      <c r="K381" s="162"/>
      <c r="L381" s="163">
        <v>190000</v>
      </c>
      <c r="M381" s="163">
        <v>271000</v>
      </c>
      <c r="N381" s="163">
        <v>248000</v>
      </c>
      <c r="O381" s="163">
        <v>113000</v>
      </c>
      <c r="P381" s="163">
        <v>822000</v>
      </c>
      <c r="Q381" s="167">
        <f>R381+S381+T381+U381</f>
        <v>823960</v>
      </c>
      <c r="R381" s="163">
        <f>R378*30.2%</f>
        <v>241600</v>
      </c>
      <c r="S381" s="163">
        <f>S378*30.2%</f>
        <v>180898</v>
      </c>
      <c r="T381" s="163">
        <f>T378*30.2%</f>
        <v>211400</v>
      </c>
      <c r="U381" s="163">
        <f>U378*30.2%+39062</f>
        <v>190062</v>
      </c>
      <c r="V381" s="546">
        <v>1289660</v>
      </c>
      <c r="W381" s="162"/>
      <c r="X381" s="193">
        <v>11900.02</v>
      </c>
      <c r="Y381" s="255">
        <f>W382-V378-V380</f>
        <v>-1014395</v>
      </c>
      <c r="Z381" s="534">
        <f>SUM(Z377:Z380)</f>
        <v>5560058.6899999995</v>
      </c>
      <c r="AA381" s="534">
        <f>SUM(AA377:AA380)</f>
        <v>5560058.6899999995</v>
      </c>
      <c r="AB381" s="1410"/>
      <c r="AC381" s="1411"/>
      <c r="AD381" s="1412"/>
      <c r="AE381" s="184">
        <v>2966539.35</v>
      </c>
      <c r="AF381" s="185">
        <v>0</v>
      </c>
      <c r="AG381" s="1410"/>
      <c r="AH381" s="1412"/>
      <c r="AI381" s="186">
        <v>0.8247947702060221</v>
      </c>
      <c r="AJ381" s="152" t="s">
        <v>143</v>
      </c>
      <c r="AK381" s="171"/>
      <c r="AL381" s="171"/>
      <c r="AM381" s="173" t="s">
        <v>328</v>
      </c>
      <c r="AN381" s="38"/>
      <c r="AO381" s="38"/>
      <c r="AP381" s="38"/>
      <c r="AQ381" s="38"/>
      <c r="AR381" s="38"/>
      <c r="AS381" s="38"/>
      <c r="AT381" s="38"/>
      <c r="AU381" s="38"/>
      <c r="AV381" s="38"/>
      <c r="AW381" s="38"/>
      <c r="AX381" s="38"/>
      <c r="AY381" s="38"/>
      <c r="AZ381" s="38"/>
      <c r="BA381" s="38"/>
      <c r="BB381" s="38"/>
      <c r="BC381" s="38"/>
      <c r="BD381" s="38"/>
      <c r="BE381" s="38"/>
      <c r="BF381" s="38"/>
    </row>
    <row r="382" spans="1:58" s="173" customFormat="1" ht="12.75" customHeight="1">
      <c r="A382" s="153"/>
      <c r="B382" s="1413" t="s">
        <v>161</v>
      </c>
      <c r="C382" s="1414"/>
      <c r="D382" s="1414"/>
      <c r="E382" s="1414"/>
      <c r="F382" s="1414"/>
      <c r="G382" s="1414"/>
      <c r="H382" s="1414"/>
      <c r="I382" s="1414"/>
      <c r="J382" s="1414"/>
      <c r="K382" s="1415"/>
      <c r="L382" s="177">
        <v>818000</v>
      </c>
      <c r="M382" s="178">
        <v>1167000</v>
      </c>
      <c r="N382" s="178">
        <v>1125700</v>
      </c>
      <c r="O382" s="177">
        <v>486000</v>
      </c>
      <c r="P382" s="178">
        <v>3596700</v>
      </c>
      <c r="Q382" s="322">
        <f>R382+S382+T382+U382</f>
        <v>3422960</v>
      </c>
      <c r="R382" s="252">
        <f>R378+R381</f>
        <v>1041600</v>
      </c>
      <c r="S382" s="252">
        <f>S378+S381</f>
        <v>779898</v>
      </c>
      <c r="T382" s="252">
        <f>T378+T381</f>
        <v>911400</v>
      </c>
      <c r="U382" s="252">
        <f>U378+U381</f>
        <v>690062</v>
      </c>
      <c r="V382" s="534">
        <f>SUM(V378:V381)</f>
        <v>5560055</v>
      </c>
      <c r="W382" s="253">
        <v>3240000</v>
      </c>
      <c r="X382" s="382">
        <f>SUM(X378:X381)</f>
        <v>67306.42</v>
      </c>
      <c r="Y382" s="175"/>
      <c r="Z382" s="175"/>
      <c r="AA382" s="175"/>
      <c r="AB382" s="175"/>
      <c r="AC382" s="175"/>
      <c r="AD382" s="175"/>
      <c r="AE382" s="175"/>
      <c r="AF382" s="175"/>
      <c r="AG382" s="175"/>
      <c r="AH382" s="175"/>
      <c r="AI382" s="190"/>
      <c r="AJ382" s="152" t="s">
        <v>143</v>
      </c>
      <c r="AK382" s="171"/>
      <c r="AL382" s="171"/>
      <c r="AM382" s="172">
        <f>V378+V379+V380+V447</f>
        <v>4790772</v>
      </c>
      <c r="AN382" s="38"/>
      <c r="AO382" s="38"/>
      <c r="AP382" s="38"/>
      <c r="AQ382" s="38"/>
      <c r="AR382" s="38"/>
      <c r="AS382" s="38"/>
      <c r="AT382" s="38"/>
      <c r="AU382" s="38"/>
      <c r="AV382" s="38"/>
      <c r="AW382" s="38"/>
      <c r="AX382" s="38"/>
      <c r="AY382" s="38"/>
      <c r="AZ382" s="38"/>
      <c r="BA382" s="38"/>
      <c r="BB382" s="38"/>
      <c r="BC382" s="38"/>
      <c r="BD382" s="38"/>
      <c r="BE382" s="38"/>
      <c r="BF382" s="38"/>
    </row>
    <row r="383" spans="1:58" s="173" customFormat="1" ht="12.75" customHeight="1">
      <c r="A383" s="153"/>
      <c r="B383" s="174" t="s">
        <v>329</v>
      </c>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94"/>
      <c r="Z383" s="191">
        <v>100000</v>
      </c>
      <c r="AA383" s="191">
        <v>100000</v>
      </c>
      <c r="AB383" s="168"/>
      <c r="AC383" s="168"/>
      <c r="AD383" s="168"/>
      <c r="AE383" s="168">
        <v>24440.3</v>
      </c>
      <c r="AF383" s="168">
        <v>0</v>
      </c>
      <c r="AG383" s="168"/>
      <c r="AH383" s="169"/>
      <c r="AI383" s="170">
        <v>0.16293533333333332</v>
      </c>
      <c r="AJ383" s="152" t="s">
        <v>143</v>
      </c>
      <c r="AK383" s="171"/>
      <c r="AL383" s="171"/>
      <c r="AM383" s="172">
        <f>V381+V448</f>
        <v>1446814.254</v>
      </c>
      <c r="AN383" s="38"/>
      <c r="AO383" s="38"/>
      <c r="AP383" s="38"/>
      <c r="AQ383" s="38"/>
      <c r="AR383" s="38"/>
      <c r="AS383" s="38"/>
      <c r="AT383" s="38"/>
      <c r="AU383" s="38"/>
      <c r="AV383" s="38"/>
      <c r="AW383" s="38"/>
      <c r="AX383" s="38"/>
      <c r="AY383" s="38"/>
      <c r="AZ383" s="38"/>
      <c r="BA383" s="38"/>
      <c r="BB383" s="38"/>
      <c r="BC383" s="38"/>
      <c r="BD383" s="38"/>
      <c r="BE383" s="38"/>
      <c r="BF383" s="38"/>
    </row>
    <row r="384" spans="1:58" s="173" customFormat="1" ht="12.75" customHeight="1">
      <c r="A384" s="153"/>
      <c r="B384" s="154" t="s">
        <v>329</v>
      </c>
      <c r="C384" s="155" t="s">
        <v>329</v>
      </c>
      <c r="D384" s="156">
        <v>656410012</v>
      </c>
      <c r="E384" s="157">
        <v>801</v>
      </c>
      <c r="F384" s="158">
        <v>656</v>
      </c>
      <c r="G384" s="250" t="s">
        <v>471</v>
      </c>
      <c r="H384" s="160" t="s">
        <v>187</v>
      </c>
      <c r="I384" s="160">
        <v>214</v>
      </c>
      <c r="J384" s="161">
        <v>0</v>
      </c>
      <c r="K384" s="162"/>
      <c r="L384" s="163">
        <v>50000</v>
      </c>
      <c r="M384" s="163">
        <v>50000</v>
      </c>
      <c r="N384" s="163">
        <v>50000</v>
      </c>
      <c r="O384" s="163">
        <v>0</v>
      </c>
      <c r="P384" s="163">
        <v>150000</v>
      </c>
      <c r="Q384" s="167">
        <f>R384+S384+T384+U384</f>
        <v>60000</v>
      </c>
      <c r="R384" s="162"/>
      <c r="S384" s="162">
        <v>30000</v>
      </c>
      <c r="T384" s="162">
        <v>30000</v>
      </c>
      <c r="U384" s="162">
        <v>0</v>
      </c>
      <c r="V384" s="191">
        <v>30000</v>
      </c>
      <c r="W384" s="162"/>
      <c r="X384" s="193">
        <v>220000</v>
      </c>
      <c r="Y384" s="252">
        <f>Y383</f>
        <v>0</v>
      </c>
      <c r="Z384" s="252">
        <f>Z383</f>
        <v>100000</v>
      </c>
      <c r="AA384" s="252">
        <f>AA383</f>
        <v>100000</v>
      </c>
      <c r="AB384" s="1410"/>
      <c r="AC384" s="1411"/>
      <c r="AD384" s="1412"/>
      <c r="AE384" s="184">
        <v>24440.3</v>
      </c>
      <c r="AF384" s="185">
        <v>0</v>
      </c>
      <c r="AG384" s="1410"/>
      <c r="AH384" s="1412"/>
      <c r="AI384" s="186">
        <v>0.16293533333333332</v>
      </c>
      <c r="AJ384" s="152" t="s">
        <v>143</v>
      </c>
      <c r="AK384" s="171"/>
      <c r="AL384" s="171"/>
      <c r="AM384" s="38"/>
      <c r="AN384" s="38"/>
      <c r="AO384" s="38"/>
      <c r="AP384" s="38"/>
      <c r="AQ384" s="38"/>
      <c r="AR384" s="38"/>
      <c r="AS384" s="38"/>
      <c r="AT384" s="38"/>
      <c r="AU384" s="38"/>
      <c r="AV384" s="38"/>
      <c r="AW384" s="38"/>
      <c r="AX384" s="38"/>
      <c r="AY384" s="38"/>
      <c r="AZ384" s="38"/>
      <c r="BA384" s="38"/>
      <c r="BB384" s="38"/>
      <c r="BC384" s="38"/>
      <c r="BD384" s="38"/>
      <c r="BE384" s="38"/>
      <c r="BF384" s="38"/>
    </row>
    <row r="385" spans="1:58" s="173" customFormat="1" ht="18" customHeight="1">
      <c r="A385" s="153"/>
      <c r="B385" s="1413" t="s">
        <v>161</v>
      </c>
      <c r="C385" s="1414"/>
      <c r="D385" s="1414"/>
      <c r="E385" s="1414"/>
      <c r="F385" s="1414"/>
      <c r="G385" s="1414"/>
      <c r="H385" s="1414"/>
      <c r="I385" s="1414"/>
      <c r="J385" s="1414"/>
      <c r="K385" s="1415"/>
      <c r="L385" s="177">
        <v>50000</v>
      </c>
      <c r="M385" s="178">
        <v>50000</v>
      </c>
      <c r="N385" s="178">
        <v>50000</v>
      </c>
      <c r="O385" s="177">
        <v>0</v>
      </c>
      <c r="P385" s="178">
        <v>150000</v>
      </c>
      <c r="Q385" s="322">
        <f>R385+S385+T385+U385</f>
        <v>60000</v>
      </c>
      <c r="R385" s="252">
        <f>R384</f>
        <v>0</v>
      </c>
      <c r="S385" s="252">
        <f>S384</f>
        <v>30000</v>
      </c>
      <c r="T385" s="252">
        <f>T384</f>
        <v>30000</v>
      </c>
      <c r="U385" s="252">
        <f>U384</f>
        <v>0</v>
      </c>
      <c r="V385" s="252">
        <f>V384</f>
        <v>30000</v>
      </c>
      <c r="W385" s="253"/>
      <c r="X385" s="382">
        <f>X384</f>
        <v>220000</v>
      </c>
      <c r="Y385" s="175"/>
      <c r="Z385" s="175"/>
      <c r="AA385" s="175"/>
      <c r="AB385" s="175"/>
      <c r="AC385" s="175"/>
      <c r="AD385" s="175"/>
      <c r="AE385" s="175"/>
      <c r="AF385" s="175"/>
      <c r="AG385" s="175"/>
      <c r="AH385" s="175"/>
      <c r="AI385" s="190"/>
      <c r="AJ385" s="152" t="s">
        <v>143</v>
      </c>
      <c r="AK385" s="171"/>
      <c r="AL385" s="171"/>
      <c r="AM385" s="38"/>
      <c r="AN385" s="38"/>
      <c r="AO385" s="38"/>
      <c r="AP385" s="38"/>
      <c r="AQ385" s="38"/>
      <c r="AR385" s="38"/>
      <c r="AS385" s="38"/>
      <c r="AT385" s="38"/>
      <c r="AU385" s="38"/>
      <c r="AV385" s="38"/>
      <c r="AW385" s="38"/>
      <c r="AX385" s="38"/>
      <c r="AY385" s="38"/>
      <c r="AZ385" s="38"/>
      <c r="BA385" s="38"/>
      <c r="BB385" s="38"/>
      <c r="BC385" s="38"/>
      <c r="BD385" s="38"/>
      <c r="BE385" s="38"/>
      <c r="BF385" s="38"/>
    </row>
    <row r="386" spans="1:58" s="173" customFormat="1" ht="12.75" customHeight="1">
      <c r="A386" s="153"/>
      <c r="B386" s="174"/>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94"/>
      <c r="Z386" s="314">
        <v>21000</v>
      </c>
      <c r="AA386" s="314">
        <v>21000</v>
      </c>
      <c r="AB386" s="168"/>
      <c r="AC386" s="168"/>
      <c r="AD386" s="168"/>
      <c r="AE386" s="168">
        <v>22907.29</v>
      </c>
      <c r="AF386" s="168">
        <v>0</v>
      </c>
      <c r="AG386" s="168"/>
      <c r="AH386" s="169"/>
      <c r="AI386" s="170">
        <v>0.36947241935483865</v>
      </c>
      <c r="AJ386" s="152" t="s">
        <v>143</v>
      </c>
      <c r="AK386" s="171"/>
      <c r="AL386" s="171"/>
      <c r="AM386" s="38"/>
      <c r="AN386" s="38"/>
      <c r="AO386" s="38"/>
      <c r="AP386" s="38"/>
      <c r="AQ386" s="38"/>
      <c r="AR386" s="38"/>
      <c r="AS386" s="38"/>
      <c r="AT386" s="38"/>
      <c r="AU386" s="38"/>
      <c r="AV386" s="38"/>
      <c r="AW386" s="38"/>
      <c r="AX386" s="38"/>
      <c r="AY386" s="38"/>
      <c r="AZ386" s="38"/>
      <c r="BA386" s="38"/>
      <c r="BB386" s="38"/>
      <c r="BC386" s="38"/>
      <c r="BD386" s="38"/>
      <c r="BE386" s="38"/>
      <c r="BF386" s="38"/>
    </row>
    <row r="387" spans="1:58" s="173" customFormat="1" ht="12.75" customHeight="1">
      <c r="A387" s="153"/>
      <c r="B387" s="154" t="s">
        <v>330</v>
      </c>
      <c r="C387" s="155" t="s">
        <v>330</v>
      </c>
      <c r="D387" s="156">
        <v>656410013</v>
      </c>
      <c r="E387" s="157">
        <v>801</v>
      </c>
      <c r="F387" s="158">
        <v>656</v>
      </c>
      <c r="G387" s="250" t="s">
        <v>471</v>
      </c>
      <c r="H387" s="160" t="s">
        <v>194</v>
      </c>
      <c r="I387" s="160">
        <v>221</v>
      </c>
      <c r="J387" s="161">
        <v>0</v>
      </c>
      <c r="K387" s="162"/>
      <c r="L387" s="163">
        <v>28000</v>
      </c>
      <c r="M387" s="163">
        <v>11000</v>
      </c>
      <c r="N387" s="163">
        <v>11000</v>
      </c>
      <c r="O387" s="163">
        <v>12000</v>
      </c>
      <c r="P387" s="163">
        <v>62000</v>
      </c>
      <c r="Q387" s="167">
        <f>R387+S387+T387+U387</f>
        <v>19000</v>
      </c>
      <c r="R387" s="162">
        <v>4750</v>
      </c>
      <c r="S387" s="162">
        <v>4750</v>
      </c>
      <c r="T387" s="162">
        <v>4750</v>
      </c>
      <c r="U387" s="162">
        <v>4750</v>
      </c>
      <c r="V387" s="314">
        <v>21000</v>
      </c>
      <c r="W387" s="162" t="s">
        <v>331</v>
      </c>
      <c r="X387" s="316">
        <v>-2526.36</v>
      </c>
      <c r="Y387" s="194"/>
      <c r="Z387" s="314">
        <v>57297</v>
      </c>
      <c r="AA387" s="314">
        <v>57297</v>
      </c>
      <c r="AB387" s="168"/>
      <c r="AC387" s="168"/>
      <c r="AD387" s="168"/>
      <c r="AE387" s="168">
        <v>22907.29</v>
      </c>
      <c r="AF387" s="168">
        <v>0</v>
      </c>
      <c r="AG387" s="168"/>
      <c r="AH387" s="169"/>
      <c r="AI387" s="170">
        <v>0.36947241935483865</v>
      </c>
      <c r="AJ387" s="152" t="s">
        <v>143</v>
      </c>
      <c r="AK387" s="171"/>
      <c r="AL387" s="171"/>
      <c r="AM387" s="38"/>
      <c r="AN387" s="38"/>
      <c r="AO387" s="38"/>
      <c r="AP387" s="38"/>
      <c r="AQ387" s="38"/>
      <c r="AR387" s="38"/>
      <c r="AS387" s="38"/>
      <c r="AT387" s="38"/>
      <c r="AU387" s="38"/>
      <c r="AV387" s="38"/>
      <c r="AW387" s="38"/>
      <c r="AX387" s="38"/>
      <c r="AY387" s="38"/>
      <c r="AZ387" s="38"/>
      <c r="BA387" s="38"/>
      <c r="BB387" s="38"/>
      <c r="BC387" s="38"/>
      <c r="BD387" s="38"/>
      <c r="BE387" s="38"/>
      <c r="BF387" s="38"/>
    </row>
    <row r="388" spans="1:58" s="173" customFormat="1" ht="12.75" customHeight="1">
      <c r="A388" s="153"/>
      <c r="B388" s="154" t="s">
        <v>330</v>
      </c>
      <c r="C388" s="155" t="s">
        <v>330</v>
      </c>
      <c r="D388" s="156"/>
      <c r="E388" s="157"/>
      <c r="F388" s="158"/>
      <c r="G388" s="250"/>
      <c r="H388" s="160" t="s">
        <v>194</v>
      </c>
      <c r="I388" s="160">
        <v>221</v>
      </c>
      <c r="J388" s="161"/>
      <c r="K388" s="162"/>
      <c r="L388" s="163"/>
      <c r="M388" s="163"/>
      <c r="N388" s="163"/>
      <c r="O388" s="163"/>
      <c r="P388" s="163"/>
      <c r="Q388" s="167">
        <f>R388+S388+T388+U388</f>
        <v>17000</v>
      </c>
      <c r="R388" s="162">
        <v>17000</v>
      </c>
      <c r="S388" s="162"/>
      <c r="T388" s="162"/>
      <c r="U388" s="162"/>
      <c r="V388" s="314">
        <v>57297</v>
      </c>
      <c r="W388" s="162" t="s">
        <v>623</v>
      </c>
      <c r="X388" s="316"/>
      <c r="Y388" s="255"/>
      <c r="Z388" s="252">
        <f>SUM(Z386:Z387)</f>
        <v>78297</v>
      </c>
      <c r="AA388" s="252">
        <f>SUM(AA386:AA387)</f>
        <v>78297</v>
      </c>
      <c r="AB388" s="1410"/>
      <c r="AC388" s="1411"/>
      <c r="AD388" s="1412"/>
      <c r="AE388" s="184">
        <v>22907.29</v>
      </c>
      <c r="AF388" s="185">
        <v>0</v>
      </c>
      <c r="AG388" s="1410"/>
      <c r="AH388" s="1412"/>
      <c r="AI388" s="186">
        <v>0.36947241935483865</v>
      </c>
      <c r="AJ388" s="152" t="s">
        <v>143</v>
      </c>
      <c r="AK388" s="171"/>
      <c r="AL388" s="171"/>
      <c r="AM388" s="38"/>
      <c r="AN388" s="38"/>
      <c r="AO388" s="38"/>
      <c r="AP388" s="38"/>
      <c r="AQ388" s="38"/>
      <c r="AR388" s="38"/>
      <c r="AS388" s="38"/>
      <c r="AT388" s="38"/>
      <c r="AU388" s="38"/>
      <c r="AV388" s="38"/>
      <c r="AW388" s="38"/>
      <c r="AX388" s="38"/>
      <c r="AY388" s="38"/>
      <c r="AZ388" s="38"/>
      <c r="BA388" s="38"/>
      <c r="BB388" s="38"/>
      <c r="BC388" s="38"/>
      <c r="BD388" s="38"/>
      <c r="BE388" s="38"/>
      <c r="BF388" s="38"/>
    </row>
    <row r="389" spans="1:58" s="173" customFormat="1" ht="15.75" customHeight="1">
      <c r="A389" s="153"/>
      <c r="B389" s="1413" t="s">
        <v>161</v>
      </c>
      <c r="C389" s="1414"/>
      <c r="D389" s="1414"/>
      <c r="E389" s="1414"/>
      <c r="F389" s="1414"/>
      <c r="G389" s="1414"/>
      <c r="H389" s="1414"/>
      <c r="I389" s="1414"/>
      <c r="J389" s="1414"/>
      <c r="K389" s="1415"/>
      <c r="L389" s="177">
        <v>28000</v>
      </c>
      <c r="M389" s="178">
        <v>11000</v>
      </c>
      <c r="N389" s="178">
        <v>11000</v>
      </c>
      <c r="O389" s="177">
        <v>12000</v>
      </c>
      <c r="P389" s="178">
        <v>62000</v>
      </c>
      <c r="Q389" s="322">
        <f>R389+S389+T389+U389</f>
        <v>36000</v>
      </c>
      <c r="R389" s="252">
        <f>R387+R388</f>
        <v>21750</v>
      </c>
      <c r="S389" s="252">
        <f>S387+S388</f>
        <v>4750</v>
      </c>
      <c r="T389" s="252">
        <f>T387+T388</f>
        <v>4750</v>
      </c>
      <c r="U389" s="252">
        <f>U387+U388</f>
        <v>4750</v>
      </c>
      <c r="V389" s="252">
        <f>SUM(V387:V388)</f>
        <v>78297</v>
      </c>
      <c r="W389" s="253">
        <v>3.637978807091713E-12</v>
      </c>
      <c r="X389" s="252">
        <f>SUM(X387:X388)</f>
        <v>-2526.36</v>
      </c>
      <c r="Y389" s="175"/>
      <c r="Z389" s="175"/>
      <c r="AA389" s="175"/>
      <c r="AB389" s="175"/>
      <c r="AC389" s="175"/>
      <c r="AD389" s="175"/>
      <c r="AE389" s="175"/>
      <c r="AF389" s="175"/>
      <c r="AG389" s="175"/>
      <c r="AH389" s="175"/>
      <c r="AI389" s="190"/>
      <c r="AJ389" s="152" t="s">
        <v>143</v>
      </c>
      <c r="AK389" s="171"/>
      <c r="AL389" s="171"/>
      <c r="AM389" s="38"/>
      <c r="AN389" s="38"/>
      <c r="AO389" s="38"/>
      <c r="AP389" s="38"/>
      <c r="AQ389" s="38"/>
      <c r="AR389" s="38"/>
      <c r="AS389" s="38"/>
      <c r="AT389" s="38"/>
      <c r="AU389" s="38"/>
      <c r="AV389" s="38"/>
      <c r="AW389" s="38"/>
      <c r="AX389" s="38"/>
      <c r="AY389" s="38"/>
      <c r="AZ389" s="38"/>
      <c r="BA389" s="38"/>
      <c r="BB389" s="38"/>
      <c r="BC389" s="38"/>
      <c r="BD389" s="38"/>
      <c r="BE389" s="38"/>
      <c r="BF389" s="38"/>
    </row>
    <row r="390" spans="1:58" s="173" customFormat="1" ht="12.75" customHeight="1">
      <c r="A390" s="153"/>
      <c r="B390" s="174" t="s">
        <v>332</v>
      </c>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94"/>
      <c r="Z390" s="195"/>
      <c r="AA390" s="195"/>
      <c r="AB390" s="168"/>
      <c r="AC390" s="168"/>
      <c r="AD390" s="168"/>
      <c r="AE390" s="168">
        <v>482852.32</v>
      </c>
      <c r="AF390" s="168">
        <v>0</v>
      </c>
      <c r="AG390" s="168"/>
      <c r="AH390" s="169"/>
      <c r="AI390" s="170">
        <v>0.7163981008902075</v>
      </c>
      <c r="AJ390" s="152" t="s">
        <v>143</v>
      </c>
      <c r="AK390" s="171"/>
      <c r="AL390" s="171"/>
      <c r="AM390" s="38"/>
      <c r="AN390" s="354"/>
      <c r="AO390" s="354"/>
      <c r="AP390" s="38"/>
      <c r="AQ390" s="38"/>
      <c r="AR390" s="38"/>
      <c r="AS390" s="38"/>
      <c r="AT390" s="38"/>
      <c r="AU390" s="38"/>
      <c r="AV390" s="38"/>
      <c r="AW390" s="38"/>
      <c r="AX390" s="38"/>
      <c r="AY390" s="38"/>
      <c r="AZ390" s="38"/>
      <c r="BA390" s="38"/>
      <c r="BB390" s="38"/>
      <c r="BC390" s="38"/>
      <c r="BD390" s="38"/>
      <c r="BE390" s="38"/>
      <c r="BF390" s="38"/>
    </row>
    <row r="391" spans="1:58" s="173" customFormat="1" ht="12.75" customHeight="1">
      <c r="A391" s="153"/>
      <c r="B391" s="154" t="s">
        <v>332</v>
      </c>
      <c r="C391" s="155" t="s">
        <v>332</v>
      </c>
      <c r="D391" s="156">
        <v>656410014</v>
      </c>
      <c r="E391" s="157">
        <v>801</v>
      </c>
      <c r="F391" s="158">
        <v>656</v>
      </c>
      <c r="G391" s="250" t="s">
        <v>471</v>
      </c>
      <c r="H391" s="160" t="s">
        <v>91</v>
      </c>
      <c r="I391" s="160">
        <v>223</v>
      </c>
      <c r="J391" s="161">
        <v>0</v>
      </c>
      <c r="K391" s="162"/>
      <c r="L391" s="163">
        <v>515376</v>
      </c>
      <c r="M391" s="163">
        <v>124624</v>
      </c>
      <c r="N391" s="163">
        <v>30000</v>
      </c>
      <c r="O391" s="163">
        <v>4000</v>
      </c>
      <c r="P391" s="163">
        <v>674000</v>
      </c>
      <c r="Q391" s="167"/>
      <c r="R391" s="162"/>
      <c r="S391" s="162"/>
      <c r="T391" s="162"/>
      <c r="U391" s="162"/>
      <c r="V391" s="195"/>
      <c r="W391" s="162"/>
      <c r="X391" s="193"/>
      <c r="Y391" s="194"/>
      <c r="Z391" s="195">
        <v>20000</v>
      </c>
      <c r="AA391" s="195">
        <v>20000</v>
      </c>
      <c r="AB391" s="168"/>
      <c r="AC391" s="168"/>
      <c r="AD391" s="168"/>
      <c r="AE391" s="168">
        <v>482852.32</v>
      </c>
      <c r="AF391" s="168">
        <v>0</v>
      </c>
      <c r="AG391" s="168"/>
      <c r="AH391" s="169"/>
      <c r="AI391" s="170">
        <v>0.7163981008902075</v>
      </c>
      <c r="AJ391" s="152" t="s">
        <v>143</v>
      </c>
      <c r="AK391" s="171"/>
      <c r="AL391" s="171"/>
      <c r="AM391" s="354" t="s">
        <v>333</v>
      </c>
      <c r="AN391" s="38"/>
      <c r="AO391" s="83">
        <f>X396+X406+X413+X419+X424</f>
        <v>-777881.34</v>
      </c>
      <c r="AP391" s="38"/>
      <c r="AQ391" s="38"/>
      <c r="AR391" s="38"/>
      <c r="AS391" s="38"/>
      <c r="AT391" s="38"/>
      <c r="AU391" s="38"/>
      <c r="AV391" s="38"/>
      <c r="AW391" s="38"/>
      <c r="AX391" s="38"/>
      <c r="AY391" s="38"/>
      <c r="AZ391" s="38"/>
      <c r="BA391" s="38"/>
      <c r="BB391" s="38"/>
      <c r="BC391" s="38"/>
      <c r="BD391" s="38"/>
      <c r="BE391" s="38"/>
      <c r="BF391" s="38"/>
    </row>
    <row r="392" spans="1:58" s="173" customFormat="1" ht="12.75" customHeight="1">
      <c r="A392" s="153"/>
      <c r="B392" s="154" t="s">
        <v>332</v>
      </c>
      <c r="C392" s="155" t="s">
        <v>332</v>
      </c>
      <c r="D392" s="156"/>
      <c r="E392" s="157"/>
      <c r="F392" s="158"/>
      <c r="G392" s="250" t="s">
        <v>471</v>
      </c>
      <c r="H392" s="160" t="s">
        <v>91</v>
      </c>
      <c r="I392" s="160">
        <v>223</v>
      </c>
      <c r="J392" s="161"/>
      <c r="K392" s="162"/>
      <c r="L392" s="163"/>
      <c r="M392" s="163"/>
      <c r="N392" s="163"/>
      <c r="O392" s="163"/>
      <c r="P392" s="163"/>
      <c r="Q392" s="167">
        <f>R392+S392+T392+U392</f>
        <v>74000</v>
      </c>
      <c r="R392" s="162">
        <f>22000+18000</f>
        <v>40000</v>
      </c>
      <c r="S392" s="162">
        <v>20000</v>
      </c>
      <c r="T392" s="162">
        <v>14000</v>
      </c>
      <c r="U392" s="162"/>
      <c r="V392" s="195">
        <v>20000</v>
      </c>
      <c r="W392" s="162" t="s">
        <v>334</v>
      </c>
      <c r="X392" s="193"/>
      <c r="Y392" s="194"/>
      <c r="Z392" s="195">
        <v>590000</v>
      </c>
      <c r="AA392" s="195">
        <v>590000</v>
      </c>
      <c r="AB392" s="168"/>
      <c r="AC392" s="168"/>
      <c r="AD392" s="168"/>
      <c r="AE392" s="168">
        <v>482852.32</v>
      </c>
      <c r="AF392" s="168">
        <v>0</v>
      </c>
      <c r="AG392" s="168"/>
      <c r="AH392" s="169"/>
      <c r="AI392" s="170">
        <v>0.7163981008902075</v>
      </c>
      <c r="AJ392" s="152" t="s">
        <v>143</v>
      </c>
      <c r="AK392" s="171"/>
      <c r="AL392" s="171"/>
      <c r="AM392" s="38" t="s">
        <v>335</v>
      </c>
      <c r="AN392" s="38"/>
      <c r="AO392" s="38"/>
      <c r="AP392" s="38"/>
      <c r="AQ392" s="38"/>
      <c r="AR392" s="38"/>
      <c r="AS392" s="38"/>
      <c r="AT392" s="38"/>
      <c r="AU392" s="38"/>
      <c r="AV392" s="38"/>
      <c r="AW392" s="38"/>
      <c r="AX392" s="38"/>
      <c r="AY392" s="38"/>
      <c r="AZ392" s="38"/>
      <c r="BA392" s="38"/>
      <c r="BB392" s="38"/>
      <c r="BC392" s="38"/>
      <c r="BD392" s="38"/>
      <c r="BE392" s="38"/>
      <c r="BF392" s="38"/>
    </row>
    <row r="393" spans="1:58" s="173" customFormat="1" ht="12.75" customHeight="1">
      <c r="A393" s="153"/>
      <c r="B393" s="154" t="s">
        <v>332</v>
      </c>
      <c r="C393" s="155" t="s">
        <v>332</v>
      </c>
      <c r="D393" s="156"/>
      <c r="E393" s="157"/>
      <c r="F393" s="158"/>
      <c r="G393" s="250" t="s">
        <v>471</v>
      </c>
      <c r="H393" s="160" t="s">
        <v>91</v>
      </c>
      <c r="I393" s="160">
        <v>223</v>
      </c>
      <c r="J393" s="161"/>
      <c r="K393" s="162"/>
      <c r="L393" s="163"/>
      <c r="M393" s="163"/>
      <c r="N393" s="163"/>
      <c r="O393" s="163"/>
      <c r="P393" s="163"/>
      <c r="Q393" s="167">
        <f>R393+S393+T393+U393</f>
        <v>590000</v>
      </c>
      <c r="R393" s="162">
        <v>253000</v>
      </c>
      <c r="S393" s="162">
        <v>253000</v>
      </c>
      <c r="T393" s="162">
        <v>70000</v>
      </c>
      <c r="U393" s="162">
        <f>V393-R393-S393-T393</f>
        <v>14000</v>
      </c>
      <c r="V393" s="195">
        <v>590000</v>
      </c>
      <c r="W393" s="162" t="s">
        <v>595</v>
      </c>
      <c r="X393" s="193"/>
      <c r="Y393" s="194"/>
      <c r="Z393" s="195">
        <v>65000</v>
      </c>
      <c r="AA393" s="195">
        <v>65000</v>
      </c>
      <c r="AB393" s="168"/>
      <c r="AC393" s="168"/>
      <c r="AD393" s="168"/>
      <c r="AE393" s="168">
        <v>482852.32</v>
      </c>
      <c r="AF393" s="168">
        <v>0</v>
      </c>
      <c r="AG393" s="168"/>
      <c r="AH393" s="169"/>
      <c r="AI393" s="170">
        <v>0.7163981008902075</v>
      </c>
      <c r="AJ393" s="152" t="s">
        <v>143</v>
      </c>
      <c r="AK393" s="171"/>
      <c r="AL393" s="171"/>
      <c r="AM393" s="38"/>
      <c r="AN393" s="38"/>
      <c r="AO393" s="38"/>
      <c r="AP393" s="38"/>
      <c r="AQ393" s="38"/>
      <c r="AR393" s="38"/>
      <c r="AS393" s="38"/>
      <c r="AT393" s="38"/>
      <c r="AU393" s="38"/>
      <c r="AV393" s="38"/>
      <c r="AW393" s="38"/>
      <c r="AX393" s="38"/>
      <c r="AY393" s="38"/>
      <c r="AZ393" s="38"/>
      <c r="BA393" s="38"/>
      <c r="BB393" s="38"/>
      <c r="BC393" s="38"/>
      <c r="BD393" s="38"/>
      <c r="BE393" s="38"/>
      <c r="BF393" s="38"/>
    </row>
    <row r="394" spans="1:58" s="173" customFormat="1" ht="12.75" customHeight="1">
      <c r="A394" s="153"/>
      <c r="B394" s="154" t="s">
        <v>332</v>
      </c>
      <c r="C394" s="155" t="s">
        <v>332</v>
      </c>
      <c r="D394" s="156"/>
      <c r="E394" s="157"/>
      <c r="F394" s="158"/>
      <c r="G394" s="250" t="s">
        <v>471</v>
      </c>
      <c r="H394" s="160" t="s">
        <v>91</v>
      </c>
      <c r="I394" s="160">
        <v>223</v>
      </c>
      <c r="J394" s="161"/>
      <c r="K394" s="162"/>
      <c r="L394" s="163"/>
      <c r="M394" s="163"/>
      <c r="N394" s="163"/>
      <c r="O394" s="163"/>
      <c r="P394" s="163"/>
      <c r="Q394" s="167">
        <f>R394+S394+T394+U394</f>
        <v>70000</v>
      </c>
      <c r="R394" s="162">
        <v>25000</v>
      </c>
      <c r="S394" s="162">
        <v>17500</v>
      </c>
      <c r="T394" s="162">
        <v>17500</v>
      </c>
      <c r="U394" s="162">
        <v>10000</v>
      </c>
      <c r="V394" s="195">
        <v>65000</v>
      </c>
      <c r="W394" s="162" t="s">
        <v>336</v>
      </c>
      <c r="X394" s="316"/>
      <c r="Y394" s="1575" t="s">
        <v>625</v>
      </c>
      <c r="Z394" s="368">
        <v>33500</v>
      </c>
      <c r="AA394" s="368">
        <v>33500</v>
      </c>
      <c r="AB394" s="168"/>
      <c r="AC394" s="168"/>
      <c r="AD394" s="168"/>
      <c r="AE394" s="168">
        <v>482852.32</v>
      </c>
      <c r="AF394" s="168">
        <v>0</v>
      </c>
      <c r="AG394" s="168"/>
      <c r="AH394" s="169"/>
      <c r="AI394" s="170">
        <v>0.7163981008902075</v>
      </c>
      <c r="AJ394" s="152" t="s">
        <v>143</v>
      </c>
      <c r="AK394" s="171"/>
      <c r="AL394" s="171"/>
      <c r="AM394" s="38"/>
      <c r="AN394" s="38"/>
      <c r="AO394" s="38"/>
      <c r="AP394" s="38"/>
      <c r="AQ394" s="38"/>
      <c r="AR394" s="38"/>
      <c r="AS394" s="38"/>
      <c r="AT394" s="38"/>
      <c r="AU394" s="38"/>
      <c r="AV394" s="38"/>
      <c r="AW394" s="38"/>
      <c r="AX394" s="38"/>
      <c r="AY394" s="38"/>
      <c r="AZ394" s="38"/>
      <c r="BA394" s="38"/>
      <c r="BB394" s="38"/>
      <c r="BC394" s="38"/>
      <c r="BD394" s="38"/>
      <c r="BE394" s="38"/>
      <c r="BF394" s="38"/>
    </row>
    <row r="395" spans="1:58" s="173" customFormat="1" ht="12.75" customHeight="1">
      <c r="A395" s="153"/>
      <c r="B395" s="154" t="s">
        <v>332</v>
      </c>
      <c r="C395" s="155" t="s">
        <v>332</v>
      </c>
      <c r="D395" s="156"/>
      <c r="E395" s="157"/>
      <c r="F395" s="158"/>
      <c r="G395" s="250" t="s">
        <v>471</v>
      </c>
      <c r="H395" s="160" t="s">
        <v>91</v>
      </c>
      <c r="I395" s="160">
        <v>223</v>
      </c>
      <c r="J395" s="161"/>
      <c r="K395" s="162"/>
      <c r="L395" s="163"/>
      <c r="M395" s="163"/>
      <c r="N395" s="163"/>
      <c r="O395" s="163"/>
      <c r="P395" s="163"/>
      <c r="Q395" s="167">
        <f>R395+S395+T395+U395</f>
        <v>45000</v>
      </c>
      <c r="R395" s="162">
        <v>15000</v>
      </c>
      <c r="S395" s="162">
        <v>15000</v>
      </c>
      <c r="T395" s="162">
        <v>5000</v>
      </c>
      <c r="U395" s="162">
        <v>10000</v>
      </c>
      <c r="V395" s="368">
        <v>33500</v>
      </c>
      <c r="W395" s="162" t="s">
        <v>337</v>
      </c>
      <c r="X395" s="316">
        <v>-203164.24</v>
      </c>
      <c r="Y395" s="1576"/>
      <c r="Z395" s="556">
        <f>SUM(Z391:Z394)</f>
        <v>708500</v>
      </c>
      <c r="AA395" s="556">
        <f>SUM(AA391:AA394)</f>
        <v>708500</v>
      </c>
      <c r="AB395" s="168"/>
      <c r="AC395" s="168"/>
      <c r="AD395" s="168"/>
      <c r="AE395" s="168"/>
      <c r="AF395" s="168"/>
      <c r="AG395" s="168"/>
      <c r="AH395" s="169"/>
      <c r="AI395" s="170"/>
      <c r="AJ395" s="152"/>
      <c r="AK395" s="171"/>
      <c r="AL395" s="171"/>
      <c r="AM395" s="38"/>
      <c r="AN395" s="38"/>
      <c r="AO395" s="38"/>
      <c r="AP395" s="38"/>
      <c r="AQ395" s="38"/>
      <c r="AR395" s="38"/>
      <c r="AS395" s="38"/>
      <c r="AT395" s="38"/>
      <c r="AU395" s="38"/>
      <c r="AV395" s="38"/>
      <c r="AW395" s="38"/>
      <c r="AX395" s="38"/>
      <c r="AY395" s="38"/>
      <c r="AZ395" s="38"/>
      <c r="BA395" s="38"/>
      <c r="BB395" s="38"/>
      <c r="BC395" s="38"/>
      <c r="BD395" s="38"/>
      <c r="BE395" s="38"/>
      <c r="BF395" s="38"/>
    </row>
    <row r="396" spans="1:58" s="173" customFormat="1" ht="21.75" customHeight="1">
      <c r="A396" s="153"/>
      <c r="B396" s="154"/>
      <c r="C396" s="155"/>
      <c r="D396" s="156"/>
      <c r="E396" s="157"/>
      <c r="F396" s="158"/>
      <c r="G396" s="250"/>
      <c r="H396" s="160"/>
      <c r="I396" s="160"/>
      <c r="J396" s="1010" t="s">
        <v>606</v>
      </c>
      <c r="K396" s="162"/>
      <c r="L396" s="163"/>
      <c r="M396" s="163"/>
      <c r="N396" s="163"/>
      <c r="O396" s="163"/>
      <c r="P396" s="163"/>
      <c r="Q396" s="555">
        <f>(Q392+Q393+Q394+Q395)</f>
        <v>779000</v>
      </c>
      <c r="R396" s="555">
        <f>R392+R393+R394+R395</f>
        <v>333000</v>
      </c>
      <c r="S396" s="555">
        <f>S392+S393+S394+S395</f>
        <v>305500</v>
      </c>
      <c r="T396" s="555">
        <f>T392+T393+T394+T395</f>
        <v>106500</v>
      </c>
      <c r="U396" s="555">
        <f>U392+U393+U394+U395</f>
        <v>34000</v>
      </c>
      <c r="V396" s="556">
        <f>SUM(V392:V395)</f>
        <v>708500</v>
      </c>
      <c r="W396" s="162"/>
      <c r="X396" s="557">
        <f>(X392+X393+X394+X395)</f>
        <v>-203164.24</v>
      </c>
      <c r="Y396" s="368"/>
      <c r="Z396" s="314">
        <f>34434.3*2</f>
        <v>68868.6</v>
      </c>
      <c r="AA396" s="314">
        <f>34434.3*2</f>
        <v>68868.6</v>
      </c>
      <c r="AB396" s="168"/>
      <c r="AC396" s="168"/>
      <c r="AD396" s="168"/>
      <c r="AE396" s="168">
        <v>149721.59</v>
      </c>
      <c r="AF396" s="168">
        <v>0</v>
      </c>
      <c r="AG396" s="168"/>
      <c r="AH396" s="169"/>
      <c r="AI396" s="170">
        <v>0.6606602031027576</v>
      </c>
      <c r="AJ396" s="152" t="s">
        <v>143</v>
      </c>
      <c r="AK396" s="171"/>
      <c r="AL396" s="171"/>
      <c r="AM396" s="172">
        <f>V382+V385+V389+V396+V406+V413+V418+V424+V449</f>
        <v>9111428.354</v>
      </c>
      <c r="AN396" s="38"/>
      <c r="AO396" s="38"/>
      <c r="AP396" s="38"/>
      <c r="AQ396" s="38"/>
      <c r="AR396" s="38"/>
      <c r="AS396" s="38"/>
      <c r="AT396" s="38"/>
      <c r="AU396" s="38"/>
      <c r="AV396" s="38"/>
      <c r="AW396" s="38"/>
      <c r="AX396" s="38"/>
      <c r="AY396" s="38"/>
      <c r="AZ396" s="38"/>
      <c r="BA396" s="38"/>
      <c r="BB396" s="38"/>
      <c r="BC396" s="38"/>
      <c r="BD396" s="38"/>
      <c r="BE396" s="38"/>
      <c r="BF396" s="38"/>
    </row>
    <row r="397" spans="1:39" ht="24" customHeight="1">
      <c r="A397" s="153"/>
      <c r="B397" s="154" t="s">
        <v>332</v>
      </c>
      <c r="C397" s="155" t="s">
        <v>332</v>
      </c>
      <c r="D397" s="156"/>
      <c r="E397" s="157">
        <v>801</v>
      </c>
      <c r="F397" s="158">
        <v>656</v>
      </c>
      <c r="G397" s="250" t="s">
        <v>471</v>
      </c>
      <c r="H397" s="160" t="s">
        <v>91</v>
      </c>
      <c r="I397" s="160">
        <v>225</v>
      </c>
      <c r="J397" s="161"/>
      <c r="K397" s="162"/>
      <c r="L397" s="163"/>
      <c r="M397" s="163"/>
      <c r="N397" s="163"/>
      <c r="O397" s="163"/>
      <c r="P397" s="163"/>
      <c r="Q397" s="167">
        <f aca="true" t="shared" si="6" ref="Q397:Q405">R397+S397+T397+U397</f>
        <v>42000</v>
      </c>
      <c r="R397" s="162">
        <v>10500</v>
      </c>
      <c r="S397" s="162">
        <v>10500</v>
      </c>
      <c r="T397" s="162">
        <v>10500</v>
      </c>
      <c r="U397" s="162">
        <v>10500</v>
      </c>
      <c r="V397" s="314">
        <f>34434.3*2</f>
        <v>68868.6</v>
      </c>
      <c r="W397" s="163" t="s">
        <v>624</v>
      </c>
      <c r="X397" s="313"/>
      <c r="Y397" s="368"/>
      <c r="Z397" s="314">
        <v>20000</v>
      </c>
      <c r="AA397" s="314">
        <v>20000</v>
      </c>
      <c r="AB397" s="168"/>
      <c r="AC397" s="168"/>
      <c r="AD397" s="168"/>
      <c r="AE397" s="168">
        <v>149721.59</v>
      </c>
      <c r="AF397" s="168">
        <v>0</v>
      </c>
      <c r="AG397" s="168"/>
      <c r="AH397" s="169"/>
      <c r="AI397" s="170">
        <v>0.6606602031027576</v>
      </c>
      <c r="AJ397" s="152" t="s">
        <v>143</v>
      </c>
      <c r="AK397" s="30"/>
      <c r="AL397" s="30"/>
      <c r="AM397" s="172">
        <f>Z381+Z384+Z388+Z395+Z405+Z412+Z345+Z448</f>
        <v>9293032.044</v>
      </c>
    </row>
    <row r="398" spans="1:39" ht="12.75" customHeight="1">
      <c r="A398" s="151"/>
      <c r="B398" s="154" t="s">
        <v>332</v>
      </c>
      <c r="C398" s="155" t="s">
        <v>332</v>
      </c>
      <c r="D398" s="156"/>
      <c r="E398" s="157"/>
      <c r="F398" s="158"/>
      <c r="G398" s="250" t="s">
        <v>471</v>
      </c>
      <c r="H398" s="160" t="s">
        <v>91</v>
      </c>
      <c r="I398" s="160">
        <v>225</v>
      </c>
      <c r="J398" s="161"/>
      <c r="K398" s="162"/>
      <c r="L398" s="163"/>
      <c r="M398" s="163"/>
      <c r="N398" s="163"/>
      <c r="O398" s="163"/>
      <c r="P398" s="163"/>
      <c r="Q398" s="167">
        <f t="shared" si="6"/>
        <v>17000</v>
      </c>
      <c r="R398" s="162">
        <v>4250</v>
      </c>
      <c r="S398" s="162">
        <v>4250</v>
      </c>
      <c r="T398" s="162">
        <v>4250</v>
      </c>
      <c r="U398" s="162">
        <v>4250</v>
      </c>
      <c r="V398" s="314">
        <v>20000</v>
      </c>
      <c r="W398" s="162" t="s">
        <v>596</v>
      </c>
      <c r="X398" s="314">
        <v>0</v>
      </c>
      <c r="Y398" s="194"/>
      <c r="Z398" s="314">
        <v>30000</v>
      </c>
      <c r="AA398" s="314">
        <v>30000</v>
      </c>
      <c r="AB398" s="168"/>
      <c r="AC398" s="168"/>
      <c r="AD398" s="168"/>
      <c r="AE398" s="168">
        <v>149721.59</v>
      </c>
      <c r="AF398" s="168">
        <v>0</v>
      </c>
      <c r="AG398" s="168"/>
      <c r="AH398" s="169"/>
      <c r="AI398" s="170">
        <v>0.6606602031027576</v>
      </c>
      <c r="AJ398" s="152" t="s">
        <v>143</v>
      </c>
      <c r="AK398" s="30"/>
      <c r="AL398" s="30"/>
      <c r="AM398" s="172">
        <f>AA381+AA384+AA388+AA395+AA405+AA412+AA448</f>
        <v>9293032.044</v>
      </c>
    </row>
    <row r="399" spans="1:38" ht="12.75" customHeight="1">
      <c r="A399" s="151"/>
      <c r="B399" s="154" t="s">
        <v>332</v>
      </c>
      <c r="C399" s="155" t="s">
        <v>332</v>
      </c>
      <c r="D399" s="156"/>
      <c r="E399" s="157"/>
      <c r="F399" s="158"/>
      <c r="G399" s="250" t="s">
        <v>471</v>
      </c>
      <c r="H399" s="160" t="s">
        <v>91</v>
      </c>
      <c r="I399" s="160">
        <v>225</v>
      </c>
      <c r="J399" s="161"/>
      <c r="K399" s="162"/>
      <c r="L399" s="163"/>
      <c r="M399" s="163"/>
      <c r="N399" s="163"/>
      <c r="O399" s="163"/>
      <c r="P399" s="163"/>
      <c r="Q399" s="167">
        <f t="shared" si="6"/>
        <v>30000</v>
      </c>
      <c r="R399" s="162">
        <v>7500</v>
      </c>
      <c r="S399" s="162">
        <v>7500</v>
      </c>
      <c r="T399" s="162">
        <v>7500</v>
      </c>
      <c r="U399" s="162">
        <v>7500</v>
      </c>
      <c r="V399" s="314">
        <v>30000</v>
      </c>
      <c r="W399" s="162" t="s">
        <v>338</v>
      </c>
      <c r="X399" s="316">
        <v>0</v>
      </c>
      <c r="Y399" s="194"/>
      <c r="Z399" s="314">
        <f>3000</f>
        <v>3000</v>
      </c>
      <c r="AA399" s="314">
        <f>3000</f>
        <v>3000</v>
      </c>
      <c r="AB399" s="168"/>
      <c r="AC399" s="168"/>
      <c r="AD399" s="168"/>
      <c r="AE399" s="168">
        <v>149721.59</v>
      </c>
      <c r="AF399" s="168">
        <v>0</v>
      </c>
      <c r="AG399" s="168"/>
      <c r="AH399" s="169"/>
      <c r="AI399" s="170">
        <v>0.6606602031027576</v>
      </c>
      <c r="AJ399" s="152" t="s">
        <v>143</v>
      </c>
      <c r="AK399" s="30"/>
      <c r="AL399" s="30"/>
    </row>
    <row r="400" spans="1:38" ht="12.75" customHeight="1">
      <c r="A400" s="151"/>
      <c r="B400" s="154" t="s">
        <v>332</v>
      </c>
      <c r="C400" s="155" t="s">
        <v>332</v>
      </c>
      <c r="D400" s="156"/>
      <c r="E400" s="157"/>
      <c r="F400" s="158"/>
      <c r="G400" s="250" t="s">
        <v>471</v>
      </c>
      <c r="H400" s="160" t="s">
        <v>91</v>
      </c>
      <c r="I400" s="160">
        <v>225</v>
      </c>
      <c r="J400" s="161"/>
      <c r="K400" s="162"/>
      <c r="L400" s="163"/>
      <c r="M400" s="163"/>
      <c r="N400" s="163"/>
      <c r="O400" s="163"/>
      <c r="P400" s="163"/>
      <c r="Q400" s="167">
        <f t="shared" si="6"/>
        <v>3000</v>
      </c>
      <c r="R400" s="162">
        <v>1000</v>
      </c>
      <c r="S400" s="162">
        <v>1000</v>
      </c>
      <c r="T400" s="162">
        <v>1000</v>
      </c>
      <c r="U400" s="162"/>
      <c r="V400" s="314">
        <v>3000</v>
      </c>
      <c r="W400" s="162" t="s">
        <v>339</v>
      </c>
      <c r="X400" s="316">
        <v>0</v>
      </c>
      <c r="Y400" s="194"/>
      <c r="Z400" s="314">
        <v>10000</v>
      </c>
      <c r="AA400" s="314">
        <v>10000</v>
      </c>
      <c r="AB400" s="168"/>
      <c r="AC400" s="168"/>
      <c r="AD400" s="168"/>
      <c r="AE400" s="168">
        <v>149721.59</v>
      </c>
      <c r="AF400" s="168">
        <v>0</v>
      </c>
      <c r="AG400" s="168"/>
      <c r="AH400" s="169"/>
      <c r="AI400" s="170">
        <v>0.6606602031027576</v>
      </c>
      <c r="AJ400" s="152" t="s">
        <v>143</v>
      </c>
      <c r="AK400" s="30"/>
      <c r="AL400" s="30"/>
    </row>
    <row r="401" spans="1:38" ht="12.75" customHeight="1">
      <c r="A401" s="151"/>
      <c r="B401" s="154" t="s">
        <v>332</v>
      </c>
      <c r="C401" s="155" t="s">
        <v>332</v>
      </c>
      <c r="D401" s="156"/>
      <c r="E401" s="157"/>
      <c r="F401" s="158"/>
      <c r="G401" s="250" t="s">
        <v>471</v>
      </c>
      <c r="H401" s="160" t="s">
        <v>91</v>
      </c>
      <c r="I401" s="160">
        <v>225</v>
      </c>
      <c r="J401" s="161"/>
      <c r="K401" s="162"/>
      <c r="L401" s="163"/>
      <c r="M401" s="163"/>
      <c r="N401" s="163"/>
      <c r="O401" s="163"/>
      <c r="P401" s="163"/>
      <c r="Q401" s="167">
        <f t="shared" si="6"/>
        <v>42000</v>
      </c>
      <c r="R401" s="162">
        <v>10500</v>
      </c>
      <c r="S401" s="162">
        <v>10500</v>
      </c>
      <c r="T401" s="162">
        <v>10500</v>
      </c>
      <c r="U401" s="162">
        <v>10500</v>
      </c>
      <c r="V401" s="314">
        <v>10000</v>
      </c>
      <c r="W401" s="162" t="s">
        <v>597</v>
      </c>
      <c r="X401" s="316">
        <v>0</v>
      </c>
      <c r="Y401" s="194"/>
      <c r="Z401" s="314">
        <v>34576.5</v>
      </c>
      <c r="AA401" s="314">
        <v>34576.5</v>
      </c>
      <c r="AB401" s="168"/>
      <c r="AC401" s="168"/>
      <c r="AD401" s="168"/>
      <c r="AE401" s="168"/>
      <c r="AF401" s="168"/>
      <c r="AG401" s="168"/>
      <c r="AH401" s="169"/>
      <c r="AI401" s="170"/>
      <c r="AJ401" s="152"/>
      <c r="AK401" s="30"/>
      <c r="AL401" s="30"/>
    </row>
    <row r="402" spans="1:38" ht="12.75" customHeight="1">
      <c r="A402" s="151"/>
      <c r="B402" s="154"/>
      <c r="C402" s="155"/>
      <c r="D402" s="156"/>
      <c r="E402" s="157"/>
      <c r="F402" s="158"/>
      <c r="G402" s="250" t="s">
        <v>471</v>
      </c>
      <c r="H402" s="160"/>
      <c r="I402" s="160"/>
      <c r="J402" s="161"/>
      <c r="K402" s="162"/>
      <c r="L402" s="163"/>
      <c r="M402" s="163"/>
      <c r="N402" s="163"/>
      <c r="O402" s="163"/>
      <c r="P402" s="163"/>
      <c r="Q402" s="167"/>
      <c r="R402" s="162"/>
      <c r="S402" s="162"/>
      <c r="T402" s="162"/>
      <c r="U402" s="162"/>
      <c r="V402" s="314">
        <v>34576.5</v>
      </c>
      <c r="W402" s="162" t="s">
        <v>340</v>
      </c>
      <c r="X402" s="316">
        <v>26762.9</v>
      </c>
      <c r="Y402" s="194"/>
      <c r="Z402" s="314">
        <v>0</v>
      </c>
      <c r="AA402" s="314">
        <v>0</v>
      </c>
      <c r="AB402" s="168"/>
      <c r="AC402" s="168"/>
      <c r="AD402" s="168"/>
      <c r="AE402" s="168"/>
      <c r="AF402" s="168"/>
      <c r="AG402" s="168"/>
      <c r="AH402" s="169"/>
      <c r="AI402" s="170"/>
      <c r="AJ402" s="152"/>
      <c r="AK402" s="30"/>
      <c r="AL402" s="30"/>
    </row>
    <row r="403" spans="1:38" ht="12.75" customHeight="1">
      <c r="A403" s="151"/>
      <c r="B403" s="154"/>
      <c r="C403" s="155"/>
      <c r="D403" s="156"/>
      <c r="E403" s="157"/>
      <c r="F403" s="158"/>
      <c r="G403" s="250" t="s">
        <v>471</v>
      </c>
      <c r="H403" s="160"/>
      <c r="I403" s="160">
        <v>225</v>
      </c>
      <c r="J403" s="161"/>
      <c r="K403" s="162"/>
      <c r="L403" s="163"/>
      <c r="M403" s="163"/>
      <c r="N403" s="163"/>
      <c r="O403" s="163"/>
      <c r="P403" s="163"/>
      <c r="Q403" s="167">
        <f t="shared" si="6"/>
        <v>71000</v>
      </c>
      <c r="R403" s="195">
        <v>71000</v>
      </c>
      <c r="S403" s="162"/>
      <c r="T403" s="162"/>
      <c r="U403" s="162"/>
      <c r="V403" s="314">
        <v>0</v>
      </c>
      <c r="W403" s="162" t="s">
        <v>341</v>
      </c>
      <c r="X403" s="316">
        <v>90000</v>
      </c>
      <c r="Y403" s="194"/>
      <c r="Z403" s="314">
        <v>30000</v>
      </c>
      <c r="AA403" s="314">
        <v>30000</v>
      </c>
      <c r="AB403" s="168"/>
      <c r="AC403" s="168"/>
      <c r="AD403" s="168"/>
      <c r="AE403" s="168">
        <v>149721.59</v>
      </c>
      <c r="AF403" s="168">
        <v>0</v>
      </c>
      <c r="AG403" s="168"/>
      <c r="AH403" s="169"/>
      <c r="AI403" s="170">
        <v>0.6606602031027576</v>
      </c>
      <c r="AJ403" s="152" t="s">
        <v>143</v>
      </c>
      <c r="AK403" s="30"/>
      <c r="AL403" s="30"/>
    </row>
    <row r="404" spans="1:58" s="173" customFormat="1" ht="12.75" customHeight="1">
      <c r="A404" s="151"/>
      <c r="B404" s="154" t="s">
        <v>332</v>
      </c>
      <c r="C404" s="155" t="s">
        <v>332</v>
      </c>
      <c r="D404" s="156"/>
      <c r="E404" s="157"/>
      <c r="F404" s="158"/>
      <c r="G404" s="250" t="s">
        <v>471</v>
      </c>
      <c r="H404" s="160" t="s">
        <v>91</v>
      </c>
      <c r="I404" s="160">
        <v>225</v>
      </c>
      <c r="J404" s="161"/>
      <c r="K404" s="162"/>
      <c r="L404" s="163"/>
      <c r="M404" s="163"/>
      <c r="N404" s="163"/>
      <c r="O404" s="163"/>
      <c r="P404" s="163"/>
      <c r="Q404" s="167">
        <f t="shared" si="6"/>
        <v>65000</v>
      </c>
      <c r="R404" s="195">
        <v>65000</v>
      </c>
      <c r="S404" s="162"/>
      <c r="T404" s="162"/>
      <c r="U404" s="162"/>
      <c r="V404" s="314">
        <v>30000</v>
      </c>
      <c r="W404" s="162" t="s">
        <v>598</v>
      </c>
      <c r="X404" s="316">
        <v>30000</v>
      </c>
      <c r="Y404" s="194"/>
      <c r="Z404" s="368"/>
      <c r="AA404" s="556"/>
      <c r="AB404" s="168"/>
      <c r="AC404" s="168"/>
      <c r="AD404" s="168"/>
      <c r="AE404" s="168">
        <v>149721.59</v>
      </c>
      <c r="AF404" s="168">
        <v>0</v>
      </c>
      <c r="AG404" s="168"/>
      <c r="AH404" s="169"/>
      <c r="AI404" s="170">
        <v>0.6606602031027576</v>
      </c>
      <c r="AJ404" s="152" t="s">
        <v>143</v>
      </c>
      <c r="AK404" s="171"/>
      <c r="AL404" s="171"/>
      <c r="AM404" s="38"/>
      <c r="AN404" s="38"/>
      <c r="AO404" s="38"/>
      <c r="AP404" s="38"/>
      <c r="AQ404" s="38"/>
      <c r="AR404" s="38"/>
      <c r="AS404" s="38"/>
      <c r="AT404" s="38"/>
      <c r="AU404" s="38"/>
      <c r="AV404" s="38"/>
      <c r="AW404" s="38"/>
      <c r="AX404" s="38"/>
      <c r="AY404" s="38"/>
      <c r="AZ404" s="38"/>
      <c r="BA404" s="38"/>
      <c r="BB404" s="38"/>
      <c r="BC404" s="38"/>
      <c r="BD404" s="38"/>
      <c r="BE404" s="38"/>
      <c r="BF404" s="38"/>
    </row>
    <row r="405" spans="1:58" s="173" customFormat="1" ht="12.75" customHeight="1">
      <c r="A405" s="153"/>
      <c r="B405" s="154" t="s">
        <v>332</v>
      </c>
      <c r="C405" s="155" t="s">
        <v>332</v>
      </c>
      <c r="D405" s="156"/>
      <c r="E405" s="157"/>
      <c r="F405" s="158"/>
      <c r="G405" s="250" t="s">
        <v>471</v>
      </c>
      <c r="H405" s="160" t="s">
        <v>91</v>
      </c>
      <c r="I405" s="160">
        <v>225</v>
      </c>
      <c r="J405" s="161"/>
      <c r="K405" s="162"/>
      <c r="L405" s="163"/>
      <c r="M405" s="163"/>
      <c r="N405" s="163"/>
      <c r="O405" s="163"/>
      <c r="P405" s="163"/>
      <c r="Q405" s="167">
        <f t="shared" si="6"/>
        <v>60000</v>
      </c>
      <c r="R405" s="162">
        <v>60000</v>
      </c>
      <c r="S405" s="162">
        <v>0</v>
      </c>
      <c r="T405" s="162">
        <v>0</v>
      </c>
      <c r="U405" s="162">
        <v>0</v>
      </c>
      <c r="V405" s="368"/>
      <c r="W405" s="162"/>
      <c r="X405" s="193"/>
      <c r="Y405" s="194"/>
      <c r="Z405" s="556">
        <f>SUM(Z396:Z404)</f>
        <v>196445.1</v>
      </c>
      <c r="AA405" s="556">
        <f>SUM(AA396:AA404)</f>
        <v>196445.1</v>
      </c>
      <c r="AB405" s="168"/>
      <c r="AC405" s="168"/>
      <c r="AD405" s="168"/>
      <c r="AE405" s="168"/>
      <c r="AF405" s="168"/>
      <c r="AG405" s="168"/>
      <c r="AH405" s="169"/>
      <c r="AI405" s="170"/>
      <c r="AJ405" s="152"/>
      <c r="AK405" s="171"/>
      <c r="AL405" s="171"/>
      <c r="AM405" s="38"/>
      <c r="AN405" s="38"/>
      <c r="AO405" s="38"/>
      <c r="AP405" s="38"/>
      <c r="AQ405" s="38"/>
      <c r="AR405" s="38"/>
      <c r="AS405" s="38"/>
      <c r="AT405" s="38"/>
      <c r="AU405" s="38"/>
      <c r="AV405" s="38"/>
      <c r="AW405" s="38"/>
      <c r="AX405" s="38"/>
      <c r="AY405" s="38"/>
      <c r="AZ405" s="38"/>
      <c r="BA405" s="38"/>
      <c r="BB405" s="38"/>
      <c r="BC405" s="38"/>
      <c r="BD405" s="38"/>
      <c r="BE405" s="38"/>
      <c r="BF405" s="38"/>
    </row>
    <row r="406" spans="1:58" s="173" customFormat="1" ht="12.75" customHeight="1">
      <c r="A406" s="153"/>
      <c r="B406" s="154"/>
      <c r="C406" s="155"/>
      <c r="D406" s="156"/>
      <c r="E406" s="157"/>
      <c r="F406" s="158"/>
      <c r="G406" s="250"/>
      <c r="H406" s="160"/>
      <c r="I406" s="160"/>
      <c r="J406" s="1009" t="s">
        <v>605</v>
      </c>
      <c r="K406" s="162"/>
      <c r="L406" s="163"/>
      <c r="M406" s="163"/>
      <c r="N406" s="163"/>
      <c r="O406" s="163"/>
      <c r="P406" s="163"/>
      <c r="Q406" s="555">
        <f>Q398+Q399+Q400+Q401+Q404+Q405+Q403+Q397</f>
        <v>330000</v>
      </c>
      <c r="R406" s="555">
        <f>SUM(R397:R405)</f>
        <v>229750</v>
      </c>
      <c r="S406" s="555">
        <f>SUM(S397:S405)</f>
        <v>33750</v>
      </c>
      <c r="T406" s="555">
        <f>SUM(T397:T405)</f>
        <v>33750</v>
      </c>
      <c r="U406" s="555">
        <f>SUM(U397:U405)</f>
        <v>32750</v>
      </c>
      <c r="V406" s="556">
        <f>SUM(V397:V405)</f>
        <v>196445.1</v>
      </c>
      <c r="W406" s="162"/>
      <c r="X406" s="557">
        <f>SUM(X397:X405)</f>
        <v>146762.9</v>
      </c>
      <c r="Y406" s="194"/>
      <c r="Z406" s="314">
        <v>3000</v>
      </c>
      <c r="AA406" s="314">
        <v>3000</v>
      </c>
      <c r="AB406" s="168"/>
      <c r="AC406" s="168"/>
      <c r="AD406" s="168"/>
      <c r="AE406" s="168">
        <v>35629.01</v>
      </c>
      <c r="AF406" s="168">
        <v>0</v>
      </c>
      <c r="AG406" s="168"/>
      <c r="AH406" s="169"/>
      <c r="AI406" s="170">
        <v>0.7528103870858689</v>
      </c>
      <c r="AJ406" s="152" t="s">
        <v>143</v>
      </c>
      <c r="AK406" s="171"/>
      <c r="AL406" s="171"/>
      <c r="AM406" s="38"/>
      <c r="AN406" s="38"/>
      <c r="AO406" s="38"/>
      <c r="AP406" s="38"/>
      <c r="AQ406" s="38"/>
      <c r="AR406" s="38"/>
      <c r="AS406" s="38"/>
      <c r="AT406" s="38"/>
      <c r="AU406" s="38"/>
      <c r="AV406" s="38"/>
      <c r="AW406" s="38"/>
      <c r="AX406" s="38"/>
      <c r="AY406" s="38"/>
      <c r="AZ406" s="38"/>
      <c r="BA406" s="38"/>
      <c r="BB406" s="38"/>
      <c r="BC406" s="38"/>
      <c r="BD406" s="38"/>
      <c r="BE406" s="38"/>
      <c r="BF406" s="38"/>
    </row>
    <row r="407" spans="1:58" s="173" customFormat="1" ht="12.75" customHeight="1">
      <c r="A407" s="153"/>
      <c r="B407" s="154" t="s">
        <v>332</v>
      </c>
      <c r="C407" s="155" t="s">
        <v>332</v>
      </c>
      <c r="D407" s="156"/>
      <c r="E407" s="157">
        <v>801</v>
      </c>
      <c r="F407" s="158">
        <v>656</v>
      </c>
      <c r="G407" s="250" t="s">
        <v>471</v>
      </c>
      <c r="H407" s="160" t="s">
        <v>91</v>
      </c>
      <c r="I407" s="160">
        <v>226</v>
      </c>
      <c r="J407" s="161">
        <v>0</v>
      </c>
      <c r="K407" s="162"/>
      <c r="L407" s="163">
        <v>33000</v>
      </c>
      <c r="M407" s="163">
        <v>5000</v>
      </c>
      <c r="N407" s="163">
        <v>7328</v>
      </c>
      <c r="O407" s="163">
        <v>2000</v>
      </c>
      <c r="P407" s="163">
        <v>47328</v>
      </c>
      <c r="Q407" s="167"/>
      <c r="R407" s="162"/>
      <c r="S407" s="162"/>
      <c r="T407" s="162"/>
      <c r="U407" s="162"/>
      <c r="V407" s="314">
        <v>3000</v>
      </c>
      <c r="W407" s="162" t="s">
        <v>599</v>
      </c>
      <c r="X407" s="316">
        <v>0</v>
      </c>
      <c r="Y407" s="369"/>
      <c r="Z407" s="314">
        <v>42000</v>
      </c>
      <c r="AA407" s="314">
        <v>42000</v>
      </c>
      <c r="AB407" s="370"/>
      <c r="AC407" s="370"/>
      <c r="AD407" s="370"/>
      <c r="AE407" s="370"/>
      <c r="AF407" s="370"/>
      <c r="AG407" s="370"/>
      <c r="AH407" s="371"/>
      <c r="AI407" s="372"/>
      <c r="AJ407" s="152"/>
      <c r="AK407" s="171"/>
      <c r="AL407" s="171"/>
      <c r="AM407" s="172">
        <f>Z345-Z406-Z407-Z408-Z409-Z404</f>
        <v>-45000</v>
      </c>
      <c r="AN407" s="38"/>
      <c r="AO407" s="38"/>
      <c r="AP407" s="38"/>
      <c r="AQ407" s="38"/>
      <c r="AR407" s="38"/>
      <c r="AS407" s="38"/>
      <c r="AT407" s="38"/>
      <c r="AU407" s="38"/>
      <c r="AV407" s="38"/>
      <c r="AW407" s="38"/>
      <c r="AX407" s="38"/>
      <c r="AY407" s="38"/>
      <c r="AZ407" s="38"/>
      <c r="BA407" s="38"/>
      <c r="BB407" s="38"/>
      <c r="BC407" s="38"/>
      <c r="BD407" s="38"/>
      <c r="BE407" s="38"/>
      <c r="BF407" s="38"/>
    </row>
    <row r="408" spans="1:58" s="173" customFormat="1" ht="12.75" customHeight="1">
      <c r="A408" s="153"/>
      <c r="B408" s="359"/>
      <c r="C408" s="360"/>
      <c r="D408" s="361"/>
      <c r="E408" s="362"/>
      <c r="F408" s="363"/>
      <c r="G408" s="513" t="s">
        <v>471</v>
      </c>
      <c r="H408" s="364"/>
      <c r="I408" s="364"/>
      <c r="J408" s="365"/>
      <c r="K408" s="192"/>
      <c r="L408" s="366"/>
      <c r="M408" s="366"/>
      <c r="N408" s="366"/>
      <c r="O408" s="366"/>
      <c r="P408" s="366"/>
      <c r="Q408" s="367">
        <f>R408+S408+T408+U408</f>
        <v>0</v>
      </c>
      <c r="R408" s="192"/>
      <c r="S408" s="192"/>
      <c r="T408" s="192"/>
      <c r="U408" s="192"/>
      <c r="V408" s="314">
        <v>42000</v>
      </c>
      <c r="W408" s="162" t="s">
        <v>183</v>
      </c>
      <c r="X408" s="316">
        <v>0</v>
      </c>
      <c r="Y408" s="194"/>
      <c r="Z408" s="314"/>
      <c r="AA408" s="314"/>
      <c r="AB408" s="168"/>
      <c r="AC408" s="168"/>
      <c r="AD408" s="168"/>
      <c r="AE408" s="168">
        <v>35629.01</v>
      </c>
      <c r="AF408" s="168">
        <v>0</v>
      </c>
      <c r="AG408" s="168"/>
      <c r="AH408" s="169"/>
      <c r="AI408" s="170">
        <v>0.7528103870858689</v>
      </c>
      <c r="AJ408" s="152" t="s">
        <v>143</v>
      </c>
      <c r="AK408" s="171"/>
      <c r="AL408" s="171"/>
      <c r="AM408" s="38"/>
      <c r="AN408" s="38"/>
      <c r="AO408" s="38"/>
      <c r="AP408" s="38"/>
      <c r="AQ408" s="38"/>
      <c r="AR408" s="38"/>
      <c r="AS408" s="38"/>
      <c r="AT408" s="38"/>
      <c r="AU408" s="38"/>
      <c r="AV408" s="38"/>
      <c r="AW408" s="38"/>
      <c r="AX408" s="38"/>
      <c r="AY408" s="38"/>
      <c r="AZ408" s="38"/>
      <c r="BA408" s="38"/>
      <c r="BB408" s="38"/>
      <c r="BC408" s="38"/>
      <c r="BD408" s="38"/>
      <c r="BE408" s="38"/>
      <c r="BF408" s="38"/>
    </row>
    <row r="409" spans="1:58" s="173" customFormat="1" ht="12.75" customHeight="1">
      <c r="A409" s="153"/>
      <c r="B409" s="154" t="s">
        <v>332</v>
      </c>
      <c r="C409" s="155" t="s">
        <v>332</v>
      </c>
      <c r="D409" s="156"/>
      <c r="E409" s="157"/>
      <c r="F409" s="158"/>
      <c r="G409" s="250" t="s">
        <v>471</v>
      </c>
      <c r="H409" s="160" t="s">
        <v>91</v>
      </c>
      <c r="I409" s="160">
        <v>226</v>
      </c>
      <c r="J409" s="161"/>
      <c r="K409" s="162"/>
      <c r="L409" s="163"/>
      <c r="M409" s="163"/>
      <c r="N409" s="163"/>
      <c r="O409" s="163"/>
      <c r="P409" s="163"/>
      <c r="Q409" s="167">
        <f>R409+S409+T409+U409</f>
        <v>0</v>
      </c>
      <c r="R409" s="162"/>
      <c r="S409" s="162"/>
      <c r="T409" s="162"/>
      <c r="U409" s="162"/>
      <c r="V409" s="314">
        <v>30000</v>
      </c>
      <c r="W409" s="162" t="s">
        <v>600</v>
      </c>
      <c r="X409" s="316">
        <v>0</v>
      </c>
      <c r="Y409" s="194"/>
      <c r="Z409" s="195"/>
      <c r="AA409" s="195"/>
      <c r="AB409" s="168"/>
      <c r="AC409" s="168"/>
      <c r="AD409" s="168"/>
      <c r="AE409" s="168">
        <v>35629.01</v>
      </c>
      <c r="AF409" s="168">
        <v>0</v>
      </c>
      <c r="AG409" s="168"/>
      <c r="AH409" s="169"/>
      <c r="AI409" s="170">
        <v>0.7528103870858689</v>
      </c>
      <c r="AJ409" s="152" t="s">
        <v>143</v>
      </c>
      <c r="AK409" s="171"/>
      <c r="AL409" s="171"/>
      <c r="AM409" s="38"/>
      <c r="AN409" s="38"/>
      <c r="AO409" s="38"/>
      <c r="AP409" s="38"/>
      <c r="AQ409" s="38"/>
      <c r="AR409" s="38"/>
      <c r="AS409" s="38"/>
      <c r="AT409" s="38"/>
      <c r="AU409" s="38"/>
      <c r="AV409" s="38"/>
      <c r="AW409" s="38"/>
      <c r="AX409" s="38"/>
      <c r="AY409" s="38"/>
      <c r="AZ409" s="38"/>
      <c r="BA409" s="38"/>
      <c r="BB409" s="38"/>
      <c r="BC409" s="38"/>
      <c r="BD409" s="38"/>
      <c r="BE409" s="38"/>
      <c r="BF409" s="38"/>
    </row>
    <row r="410" spans="1:58" s="173" customFormat="1" ht="56.25" customHeight="1">
      <c r="A410" s="153"/>
      <c r="B410" s="154" t="s">
        <v>332</v>
      </c>
      <c r="C410" s="155" t="s">
        <v>332</v>
      </c>
      <c r="D410" s="156"/>
      <c r="E410" s="157"/>
      <c r="F410" s="158"/>
      <c r="G410" s="250" t="s">
        <v>471</v>
      </c>
      <c r="H410" s="160" t="s">
        <v>91</v>
      </c>
      <c r="I410" s="160">
        <v>226</v>
      </c>
      <c r="J410" s="161"/>
      <c r="K410" s="162"/>
      <c r="L410" s="163"/>
      <c r="M410" s="163"/>
      <c r="N410" s="163"/>
      <c r="O410" s="163"/>
      <c r="P410" s="163"/>
      <c r="Q410" s="167">
        <f>R410+S410+T410+U410</f>
        <v>0</v>
      </c>
      <c r="R410" s="162"/>
      <c r="S410" s="162"/>
      <c r="T410" s="162"/>
      <c r="U410" s="162"/>
      <c r="V410" s="314">
        <v>25800</v>
      </c>
      <c r="W410" s="1001" t="s">
        <v>580</v>
      </c>
      <c r="X410" s="316">
        <v>-25800</v>
      </c>
      <c r="Y410" s="369"/>
      <c r="Z410" s="368"/>
      <c r="AA410" s="368"/>
      <c r="AB410" s="370"/>
      <c r="AC410" s="370"/>
      <c r="AD410" s="370"/>
      <c r="AE410" s="370"/>
      <c r="AF410" s="370"/>
      <c r="AG410" s="370"/>
      <c r="AH410" s="371"/>
      <c r="AI410" s="372"/>
      <c r="AJ410" s="152"/>
      <c r="AK410" s="171"/>
      <c r="AL410" s="171"/>
      <c r="AM410" s="38">
        <v>29996.31474944204</v>
      </c>
      <c r="AN410" s="38"/>
      <c r="AO410" s="38"/>
      <c r="AP410" s="38"/>
      <c r="AQ410" s="38"/>
      <c r="AR410" s="38"/>
      <c r="AS410" s="38"/>
      <c r="AT410" s="38"/>
      <c r="AU410" s="38"/>
      <c r="AV410" s="38"/>
      <c r="AW410" s="38"/>
      <c r="AX410" s="38"/>
      <c r="AY410" s="38"/>
      <c r="AZ410" s="38"/>
      <c r="BA410" s="38"/>
      <c r="BB410" s="38"/>
      <c r="BC410" s="38"/>
      <c r="BD410" s="38"/>
      <c r="BE410" s="38"/>
      <c r="BF410" s="38"/>
    </row>
    <row r="411" spans="1:58" s="173" customFormat="1" ht="39" customHeight="1">
      <c r="A411" s="153"/>
      <c r="B411" s="359"/>
      <c r="C411" s="360"/>
      <c r="D411" s="361"/>
      <c r="E411" s="362"/>
      <c r="F411" s="363"/>
      <c r="G411" s="513" t="s">
        <v>471</v>
      </c>
      <c r="H411" s="364"/>
      <c r="I411" s="364">
        <v>226</v>
      </c>
      <c r="J411" s="365"/>
      <c r="K411" s="192"/>
      <c r="L411" s="366"/>
      <c r="M411" s="366"/>
      <c r="N411" s="366"/>
      <c r="O411" s="366"/>
      <c r="P411" s="366"/>
      <c r="Q411" s="367">
        <f>R411+S411+T411+U411</f>
        <v>0</v>
      </c>
      <c r="R411" s="192"/>
      <c r="S411" s="192"/>
      <c r="T411" s="192"/>
      <c r="U411" s="192"/>
      <c r="V411" s="314">
        <v>1756800</v>
      </c>
      <c r="W411" s="366" t="s">
        <v>586</v>
      </c>
      <c r="X411" s="316">
        <v>-786480</v>
      </c>
      <c r="Y411" s="369"/>
      <c r="Z411" s="314">
        <f>220*24*365</f>
        <v>1927200</v>
      </c>
      <c r="AA411" s="314">
        <f>220*24*365</f>
        <v>1927200</v>
      </c>
      <c r="AB411" s="370"/>
      <c r="AC411" s="370"/>
      <c r="AD411" s="370"/>
      <c r="AE411" s="370"/>
      <c r="AF411" s="370"/>
      <c r="AG411" s="370"/>
      <c r="AH411" s="371"/>
      <c r="AI411" s="372"/>
      <c r="AJ411" s="152"/>
      <c r="AK411" s="171"/>
      <c r="AL411" s="171"/>
      <c r="AM411" s="172"/>
      <c r="AN411" s="38"/>
      <c r="AO411" s="38"/>
      <c r="AP411" s="38"/>
      <c r="AQ411" s="38"/>
      <c r="AR411" s="38"/>
      <c r="AS411" s="38"/>
      <c r="AT411" s="38"/>
      <c r="AU411" s="38"/>
      <c r="AV411" s="38"/>
      <c r="AW411" s="38"/>
      <c r="AX411" s="38"/>
      <c r="AY411" s="38"/>
      <c r="AZ411" s="38"/>
      <c r="BA411" s="38"/>
      <c r="BB411" s="38"/>
      <c r="BC411" s="38"/>
      <c r="BD411" s="38"/>
      <c r="BE411" s="38"/>
      <c r="BF411" s="38"/>
    </row>
    <row r="412" spans="1:58" s="173" customFormat="1" ht="12" customHeight="1">
      <c r="A412" s="153"/>
      <c r="B412" s="359"/>
      <c r="C412" s="360"/>
      <c r="D412" s="361"/>
      <c r="E412" s="362"/>
      <c r="F412" s="363"/>
      <c r="G412" s="513"/>
      <c r="H412" s="364"/>
      <c r="I412" s="364">
        <v>226</v>
      </c>
      <c r="J412" s="365"/>
      <c r="K412" s="192"/>
      <c r="L412" s="366"/>
      <c r="M412" s="366"/>
      <c r="N412" s="366"/>
      <c r="O412" s="366"/>
      <c r="P412" s="366"/>
      <c r="Q412" s="367"/>
      <c r="R412" s="192"/>
      <c r="S412" s="192"/>
      <c r="T412" s="192"/>
      <c r="U412" s="192"/>
      <c r="V412" s="368"/>
      <c r="W412" s="366"/>
      <c r="X412" s="193"/>
      <c r="Y412" s="369"/>
      <c r="Z412" s="556">
        <f>SUM(Z406:Z411)</f>
        <v>1972200</v>
      </c>
      <c r="AA412" s="556">
        <f>SUM(AA406:AA411)</f>
        <v>1972200</v>
      </c>
      <c r="AB412" s="370"/>
      <c r="AC412" s="370"/>
      <c r="AD412" s="370"/>
      <c r="AE412" s="370"/>
      <c r="AF412" s="370"/>
      <c r="AG412" s="370"/>
      <c r="AH412" s="371"/>
      <c r="AI412" s="372"/>
      <c r="AJ412" s="152"/>
      <c r="AK412" s="171"/>
      <c r="AL412" s="171"/>
      <c r="AM412" s="996"/>
      <c r="AN412" s="172"/>
      <c r="AO412" s="38"/>
      <c r="AP412" s="38"/>
      <c r="AQ412" s="38"/>
      <c r="AR412" s="38"/>
      <c r="AS412" s="38"/>
      <c r="AT412" s="38"/>
      <c r="AU412" s="38"/>
      <c r="AV412" s="38"/>
      <c r="AW412" s="38"/>
      <c r="AX412" s="38"/>
      <c r="AY412" s="38"/>
      <c r="AZ412" s="38"/>
      <c r="BA412" s="38"/>
      <c r="BB412" s="38"/>
      <c r="BC412" s="38"/>
      <c r="BD412" s="38"/>
      <c r="BE412" s="38"/>
      <c r="BF412" s="38"/>
    </row>
    <row r="413" spans="1:58" s="564" customFormat="1" ht="15" customHeight="1">
      <c r="A413" s="153"/>
      <c r="B413" s="359"/>
      <c r="C413" s="360"/>
      <c r="D413" s="361"/>
      <c r="E413" s="362"/>
      <c r="F413" s="363"/>
      <c r="G413" s="513"/>
      <c r="H413" s="364"/>
      <c r="I413" s="364"/>
      <c r="J413" s="1009" t="s">
        <v>604</v>
      </c>
      <c r="K413" s="192"/>
      <c r="L413" s="366"/>
      <c r="M413" s="366"/>
      <c r="N413" s="366"/>
      <c r="O413" s="366"/>
      <c r="P413" s="366"/>
      <c r="Q413" s="556">
        <f>Q409+Q410+Q411</f>
        <v>0</v>
      </c>
      <c r="R413" s="556">
        <f>R409+R410+R411</f>
        <v>0</v>
      </c>
      <c r="S413" s="556">
        <f>S409+S410</f>
        <v>0</v>
      </c>
      <c r="T413" s="556">
        <f>T409+T410</f>
        <v>0</v>
      </c>
      <c r="U413" s="556">
        <f>U409+U410</f>
        <v>0</v>
      </c>
      <c r="V413" s="556">
        <f>V409+V410+V411+V407+V408+V412</f>
        <v>1857600</v>
      </c>
      <c r="W413" s="192"/>
      <c r="X413" s="557">
        <v>-761480</v>
      </c>
      <c r="Y413" s="367"/>
      <c r="Z413" s="1008"/>
      <c r="AA413" s="1008"/>
      <c r="AB413" s="558"/>
      <c r="AC413" s="558"/>
      <c r="AD413" s="558"/>
      <c r="AE413" s="558">
        <v>15974.02</v>
      </c>
      <c r="AF413" s="558">
        <v>0</v>
      </c>
      <c r="AG413" s="558"/>
      <c r="AH413" s="559"/>
      <c r="AI413" s="560">
        <v>0.7590122494749547</v>
      </c>
      <c r="AJ413" s="561" t="s">
        <v>143</v>
      </c>
      <c r="AK413" s="562"/>
      <c r="AL413" s="562"/>
      <c r="AM413" s="996"/>
      <c r="AN413" s="563"/>
      <c r="AO413" s="563"/>
      <c r="AP413" s="563"/>
      <c r="AQ413" s="563"/>
      <c r="AR413" s="563"/>
      <c r="AS413" s="563"/>
      <c r="AT413" s="563"/>
      <c r="AU413" s="563"/>
      <c r="AV413" s="563"/>
      <c r="AW413" s="563"/>
      <c r="AX413" s="563"/>
      <c r="AY413" s="563"/>
      <c r="AZ413" s="563"/>
      <c r="BA413" s="563"/>
      <c r="BB413" s="563"/>
      <c r="BC413" s="563"/>
      <c r="BD413" s="563"/>
      <c r="BE413" s="563"/>
      <c r="BF413" s="563"/>
    </row>
    <row r="414" spans="1:58" s="173" customFormat="1" ht="12" customHeight="1">
      <c r="A414" s="153"/>
      <c r="B414" s="359"/>
      <c r="C414" s="785"/>
      <c r="D414" s="361"/>
      <c r="E414" s="362"/>
      <c r="F414" s="363"/>
      <c r="G414" s="513"/>
      <c r="H414" s="364"/>
      <c r="I414" s="364">
        <v>228</v>
      </c>
      <c r="J414" s="365"/>
      <c r="K414" s="192"/>
      <c r="L414" s="366"/>
      <c r="M414" s="366"/>
      <c r="N414" s="366"/>
      <c r="O414" s="366"/>
      <c r="P414" s="366"/>
      <c r="Q414" s="367"/>
      <c r="R414" s="192"/>
      <c r="S414" s="192"/>
      <c r="T414" s="192"/>
      <c r="U414" s="192"/>
      <c r="V414" s="368">
        <v>70000</v>
      </c>
      <c r="W414" s="366"/>
      <c r="X414" s="193"/>
      <c r="Y414" s="369"/>
      <c r="Z414" s="556">
        <f>SUM(Z408:Z413)</f>
        <v>3899400</v>
      </c>
      <c r="AA414" s="556">
        <f>SUM(AA408:AA413)</f>
        <v>3899400</v>
      </c>
      <c r="AB414" s="370"/>
      <c r="AC414" s="370"/>
      <c r="AD414" s="370"/>
      <c r="AE414" s="370"/>
      <c r="AF414" s="370"/>
      <c r="AG414" s="370"/>
      <c r="AH414" s="371"/>
      <c r="AI414" s="372"/>
      <c r="AJ414" s="152"/>
      <c r="AK414" s="171"/>
      <c r="AL414" s="171"/>
      <c r="AM414" s="996"/>
      <c r="AN414" s="172"/>
      <c r="AO414" s="38"/>
      <c r="AP414" s="38"/>
      <c r="AQ414" s="38"/>
      <c r="AR414" s="38"/>
      <c r="AS414" s="38"/>
      <c r="AT414" s="38"/>
      <c r="AU414" s="38"/>
      <c r="AV414" s="38"/>
      <c r="AW414" s="38"/>
      <c r="AX414" s="38"/>
      <c r="AY414" s="38"/>
      <c r="AZ414" s="38"/>
      <c r="BA414" s="38"/>
      <c r="BB414" s="38"/>
      <c r="BC414" s="38"/>
      <c r="BD414" s="38"/>
      <c r="BE414" s="38"/>
      <c r="BF414" s="38"/>
    </row>
    <row r="415" spans="1:58" s="564" customFormat="1" ht="15" customHeight="1">
      <c r="A415" s="153"/>
      <c r="B415" s="359"/>
      <c r="C415" s="785"/>
      <c r="D415" s="361"/>
      <c r="E415" s="362"/>
      <c r="F415" s="363"/>
      <c r="G415" s="513"/>
      <c r="H415" s="364"/>
      <c r="I415" s="364"/>
      <c r="J415" s="1009" t="s">
        <v>672</v>
      </c>
      <c r="K415" s="192"/>
      <c r="L415" s="366"/>
      <c r="M415" s="366"/>
      <c r="N415" s="366"/>
      <c r="O415" s="366"/>
      <c r="P415" s="366"/>
      <c r="Q415" s="556">
        <f>Q411+Q412+Q413</f>
        <v>0</v>
      </c>
      <c r="R415" s="556">
        <f>R411+R412+R413</f>
        <v>0</v>
      </c>
      <c r="S415" s="556">
        <f>S411+S412</f>
        <v>0</v>
      </c>
      <c r="T415" s="556">
        <f>T411+T412</f>
        <v>0</v>
      </c>
      <c r="U415" s="556">
        <f>U411+U412</f>
        <v>0</v>
      </c>
      <c r="V415" s="556">
        <f>V414</f>
        <v>70000</v>
      </c>
      <c r="W415" s="192"/>
      <c r="X415" s="556">
        <f>X414</f>
        <v>0</v>
      </c>
      <c r="Y415" s="367"/>
      <c r="Z415" s="1008"/>
      <c r="AA415" s="1008"/>
      <c r="AB415" s="558"/>
      <c r="AC415" s="558"/>
      <c r="AD415" s="558"/>
      <c r="AE415" s="558">
        <v>15974.02</v>
      </c>
      <c r="AF415" s="558">
        <v>0</v>
      </c>
      <c r="AG415" s="558"/>
      <c r="AH415" s="559"/>
      <c r="AI415" s="560">
        <v>0.7590122494749547</v>
      </c>
      <c r="AJ415" s="561" t="s">
        <v>143</v>
      </c>
      <c r="AK415" s="562"/>
      <c r="AL415" s="562"/>
      <c r="AM415" s="996"/>
      <c r="AN415" s="563"/>
      <c r="AO415" s="563"/>
      <c r="AP415" s="563"/>
      <c r="AQ415" s="563"/>
      <c r="AR415" s="563"/>
      <c r="AS415" s="563"/>
      <c r="AT415" s="563"/>
      <c r="AU415" s="563"/>
      <c r="AV415" s="563"/>
      <c r="AW415" s="563"/>
      <c r="AX415" s="563"/>
      <c r="AY415" s="563"/>
      <c r="AZ415" s="563"/>
      <c r="BA415" s="563"/>
      <c r="BB415" s="563"/>
      <c r="BC415" s="563"/>
      <c r="BD415" s="563"/>
      <c r="BE415" s="563"/>
      <c r="BF415" s="563"/>
    </row>
    <row r="416" spans="1:58" s="173" customFormat="1" ht="12.75" customHeight="1">
      <c r="A416" s="153"/>
      <c r="B416" s="359" t="s">
        <v>332</v>
      </c>
      <c r="C416" s="360" t="s">
        <v>332</v>
      </c>
      <c r="D416" s="361"/>
      <c r="E416" s="362"/>
      <c r="F416" s="363"/>
      <c r="G416" s="513" t="s">
        <v>471</v>
      </c>
      <c r="H416" s="1003">
        <v>853</v>
      </c>
      <c r="I416" s="1003">
        <v>290</v>
      </c>
      <c r="J416" s="1013" t="s">
        <v>174</v>
      </c>
      <c r="K416" s="192"/>
      <c r="L416" s="366"/>
      <c r="M416" s="366"/>
      <c r="N416" s="366"/>
      <c r="O416" s="366"/>
      <c r="P416" s="366"/>
      <c r="Q416" s="367">
        <f>R416+S416+T416+U416</f>
        <v>2000</v>
      </c>
      <c r="R416" s="192">
        <v>2000</v>
      </c>
      <c r="S416" s="192"/>
      <c r="T416" s="192"/>
      <c r="U416" s="192"/>
      <c r="V416" s="368">
        <v>3000</v>
      </c>
      <c r="W416" s="192" t="s">
        <v>342</v>
      </c>
      <c r="X416" s="193"/>
      <c r="Y416" s="369"/>
      <c r="Z416" s="368"/>
      <c r="AA416" s="368"/>
      <c r="AB416" s="370"/>
      <c r="AC416" s="370"/>
      <c r="AD416" s="370"/>
      <c r="AE416" s="370"/>
      <c r="AF416" s="370"/>
      <c r="AG416" s="370"/>
      <c r="AH416" s="371"/>
      <c r="AI416" s="372"/>
      <c r="AJ416" s="152"/>
      <c r="AK416" s="171"/>
      <c r="AL416" s="171"/>
      <c r="AM416" s="38"/>
      <c r="AN416" s="38"/>
      <c r="AO416" s="38"/>
      <c r="AP416" s="38"/>
      <c r="AQ416" s="38"/>
      <c r="AR416" s="38"/>
      <c r="AS416" s="38"/>
      <c r="AT416" s="38"/>
      <c r="AU416" s="38"/>
      <c r="AV416" s="38"/>
      <c r="AW416" s="38"/>
      <c r="AX416" s="38"/>
      <c r="AY416" s="38"/>
      <c r="AZ416" s="38"/>
      <c r="BA416" s="38"/>
      <c r="BB416" s="38"/>
      <c r="BC416" s="38"/>
      <c r="BD416" s="38"/>
      <c r="BE416" s="38"/>
      <c r="BF416" s="38"/>
    </row>
    <row r="417" spans="1:58" s="173" customFormat="1" ht="12.75" customHeight="1">
      <c r="A417" s="153"/>
      <c r="B417" s="359"/>
      <c r="C417" s="360"/>
      <c r="D417" s="361"/>
      <c r="E417" s="362"/>
      <c r="F417" s="363"/>
      <c r="G417" s="513" t="s">
        <v>471</v>
      </c>
      <c r="H417" s="1003"/>
      <c r="I417" s="1003"/>
      <c r="J417" s="1013"/>
      <c r="K417" s="192"/>
      <c r="L417" s="366"/>
      <c r="M417" s="366"/>
      <c r="N417" s="366"/>
      <c r="O417" s="366"/>
      <c r="P417" s="366"/>
      <c r="Q417" s="367"/>
      <c r="R417" s="192"/>
      <c r="S417" s="192"/>
      <c r="T417" s="192"/>
      <c r="U417" s="192"/>
      <c r="V417" s="368"/>
      <c r="W417" s="192"/>
      <c r="X417" s="193">
        <v>0</v>
      </c>
      <c r="Y417" s="369"/>
      <c r="Z417" s="556"/>
      <c r="AA417" s="556"/>
      <c r="AB417" s="370"/>
      <c r="AC417" s="370"/>
      <c r="AD417" s="370"/>
      <c r="AE417" s="370"/>
      <c r="AF417" s="370"/>
      <c r="AG417" s="370"/>
      <c r="AH417" s="371"/>
      <c r="AI417" s="372"/>
      <c r="AJ417" s="152"/>
      <c r="AK417" s="171"/>
      <c r="AL417" s="171"/>
      <c r="AM417" s="38"/>
      <c r="AN417" s="38"/>
      <c r="AO417" s="38"/>
      <c r="AP417" s="38"/>
      <c r="AQ417" s="38"/>
      <c r="AR417" s="38"/>
      <c r="AS417" s="38"/>
      <c r="AT417" s="38"/>
      <c r="AU417" s="38"/>
      <c r="AV417" s="38"/>
      <c r="AW417" s="38"/>
      <c r="AX417" s="38"/>
      <c r="AY417" s="38"/>
      <c r="AZ417" s="38"/>
      <c r="BA417" s="38"/>
      <c r="BB417" s="38"/>
      <c r="BC417" s="38"/>
      <c r="BD417" s="38"/>
      <c r="BE417" s="38"/>
      <c r="BF417" s="38"/>
    </row>
    <row r="418" spans="1:58" s="173" customFormat="1" ht="12.75" customHeight="1">
      <c r="A418" s="153"/>
      <c r="B418" s="359"/>
      <c r="C418" s="360"/>
      <c r="D418" s="361"/>
      <c r="E418" s="362"/>
      <c r="F418" s="363"/>
      <c r="G418" s="513"/>
      <c r="H418" s="364"/>
      <c r="I418" s="364"/>
      <c r="J418" s="1009" t="s">
        <v>607</v>
      </c>
      <c r="K418" s="192"/>
      <c r="L418" s="366"/>
      <c r="M418" s="366"/>
      <c r="N418" s="366"/>
      <c r="O418" s="366"/>
      <c r="P418" s="366"/>
      <c r="Q418" s="367" t="e">
        <f>#REF!+Q416</f>
        <v>#REF!</v>
      </c>
      <c r="R418" s="556" t="e">
        <f>#REF!+R416</f>
        <v>#REF!</v>
      </c>
      <c r="S418" s="556" t="e">
        <f>#REF!+S416</f>
        <v>#REF!</v>
      </c>
      <c r="T418" s="556" t="e">
        <f>#REF!+T416</f>
        <v>#REF!</v>
      </c>
      <c r="U418" s="556" t="e">
        <f>#REF!+U416</f>
        <v>#REF!</v>
      </c>
      <c r="V418" s="556">
        <f>V416+V417</f>
        <v>3000</v>
      </c>
      <c r="W418" s="192"/>
      <c r="X418" s="557">
        <f>X416+X417</f>
        <v>0</v>
      </c>
      <c r="Y418" s="369"/>
      <c r="Z418" s="368">
        <v>0</v>
      </c>
      <c r="AA418" s="368">
        <v>0</v>
      </c>
      <c r="AB418" s="370"/>
      <c r="AC418" s="370"/>
      <c r="AD418" s="370"/>
      <c r="AE418" s="370">
        <v>4800</v>
      </c>
      <c r="AF418" s="370">
        <v>0</v>
      </c>
      <c r="AG418" s="370"/>
      <c r="AH418" s="371"/>
      <c r="AI418" s="372">
        <v>0.01079136690647482</v>
      </c>
      <c r="AJ418" s="152" t="s">
        <v>143</v>
      </c>
      <c r="AK418" s="171"/>
      <c r="AL418" s="171"/>
      <c r="AM418" s="38"/>
      <c r="AN418" s="38"/>
      <c r="AO418" s="38"/>
      <c r="AP418" s="38"/>
      <c r="AQ418" s="38"/>
      <c r="AR418" s="38"/>
      <c r="AS418" s="38"/>
      <c r="AT418" s="38"/>
      <c r="AU418" s="38"/>
      <c r="AV418" s="38"/>
      <c r="AW418" s="38"/>
      <c r="AX418" s="38"/>
      <c r="AY418" s="38"/>
      <c r="AZ418" s="38"/>
      <c r="BA418" s="38"/>
      <c r="BB418" s="38"/>
      <c r="BC418" s="38"/>
      <c r="BD418" s="38"/>
      <c r="BE418" s="38"/>
      <c r="BF418" s="38"/>
    </row>
    <row r="419" spans="1:58" s="173" customFormat="1" ht="12.75" customHeight="1">
      <c r="A419" s="153"/>
      <c r="B419" s="359" t="s">
        <v>332</v>
      </c>
      <c r="C419" s="360" t="s">
        <v>332</v>
      </c>
      <c r="D419" s="361"/>
      <c r="E419" s="362">
        <v>801</v>
      </c>
      <c r="F419" s="363">
        <v>656</v>
      </c>
      <c r="G419" s="513" t="s">
        <v>471</v>
      </c>
      <c r="H419" s="364" t="s">
        <v>91</v>
      </c>
      <c r="I419" s="364">
        <v>310</v>
      </c>
      <c r="J419" s="365" t="s">
        <v>265</v>
      </c>
      <c r="K419" s="192"/>
      <c r="L419" s="366">
        <v>0</v>
      </c>
      <c r="M419" s="366">
        <v>4800</v>
      </c>
      <c r="N419" s="366">
        <v>440000</v>
      </c>
      <c r="O419" s="366">
        <v>0</v>
      </c>
      <c r="P419" s="366">
        <v>444800</v>
      </c>
      <c r="Q419" s="367"/>
      <c r="R419" s="192"/>
      <c r="S419" s="192"/>
      <c r="T419" s="192"/>
      <c r="U419" s="192"/>
      <c r="V419" s="314"/>
      <c r="W419" s="366" t="s">
        <v>608</v>
      </c>
      <c r="X419" s="193">
        <v>40000</v>
      </c>
      <c r="Y419" s="369" t="s">
        <v>673</v>
      </c>
      <c r="Z419" s="556"/>
      <c r="AA419" s="556"/>
      <c r="AB419" s="370"/>
      <c r="AC419" s="370"/>
      <c r="AD419" s="370"/>
      <c r="AE419" s="370">
        <v>44793.9</v>
      </c>
      <c r="AF419" s="370">
        <v>0</v>
      </c>
      <c r="AG419" s="370"/>
      <c r="AH419" s="371"/>
      <c r="AI419" s="372">
        <v>0.5646527165006934</v>
      </c>
      <c r="AJ419" s="152" t="s">
        <v>143</v>
      </c>
      <c r="AK419" s="171"/>
      <c r="AL419" s="171"/>
      <c r="AM419" s="38"/>
      <c r="AN419" s="38"/>
      <c r="AO419" s="38"/>
      <c r="AP419" s="38"/>
      <c r="AQ419" s="38"/>
      <c r="AR419" s="38"/>
      <c r="AS419" s="38"/>
      <c r="AT419" s="38"/>
      <c r="AU419" s="38"/>
      <c r="AV419" s="38"/>
      <c r="AW419" s="38"/>
      <c r="AX419" s="38"/>
      <c r="AY419" s="38"/>
      <c r="AZ419" s="38"/>
      <c r="BA419" s="38"/>
      <c r="BB419" s="38"/>
      <c r="BC419" s="38"/>
      <c r="BD419" s="38"/>
      <c r="BE419" s="38"/>
      <c r="BF419" s="38"/>
    </row>
    <row r="420" spans="1:58" s="173" customFormat="1" ht="12.75" customHeight="1">
      <c r="A420" s="153"/>
      <c r="B420" s="359" t="s">
        <v>332</v>
      </c>
      <c r="C420" s="785" t="s">
        <v>332</v>
      </c>
      <c r="D420" s="361"/>
      <c r="E420" s="362">
        <v>801</v>
      </c>
      <c r="F420" s="363">
        <v>656</v>
      </c>
      <c r="G420" s="513" t="s">
        <v>471</v>
      </c>
      <c r="H420" s="364" t="s">
        <v>91</v>
      </c>
      <c r="I420" s="364">
        <v>310</v>
      </c>
      <c r="J420" s="365" t="s">
        <v>265</v>
      </c>
      <c r="K420" s="192"/>
      <c r="L420" s="366">
        <v>0</v>
      </c>
      <c r="M420" s="366">
        <v>4800</v>
      </c>
      <c r="N420" s="366">
        <v>440000</v>
      </c>
      <c r="O420" s="366">
        <v>0</v>
      </c>
      <c r="P420" s="366">
        <v>444800</v>
      </c>
      <c r="Q420" s="367"/>
      <c r="R420" s="192"/>
      <c r="S420" s="192"/>
      <c r="T420" s="192"/>
      <c r="U420" s="192"/>
      <c r="V420" s="314"/>
      <c r="W420" s="366" t="s">
        <v>609</v>
      </c>
      <c r="X420" s="193">
        <v>75000</v>
      </c>
      <c r="Y420" s="369" t="s">
        <v>680</v>
      </c>
      <c r="Z420" s="556"/>
      <c r="AA420" s="556"/>
      <c r="AB420" s="370"/>
      <c r="AC420" s="370"/>
      <c r="AD420" s="370"/>
      <c r="AE420" s="370">
        <v>44793.9</v>
      </c>
      <c r="AF420" s="370">
        <v>0</v>
      </c>
      <c r="AG420" s="370"/>
      <c r="AH420" s="371"/>
      <c r="AI420" s="372">
        <v>0.5646527165006934</v>
      </c>
      <c r="AJ420" s="152" t="s">
        <v>143</v>
      </c>
      <c r="AK420" s="171"/>
      <c r="AL420" s="171"/>
      <c r="AM420" s="38"/>
      <c r="AN420" s="38"/>
      <c r="AO420" s="38"/>
      <c r="AP420" s="38"/>
      <c r="AQ420" s="38"/>
      <c r="AR420" s="38"/>
      <c r="AS420" s="38"/>
      <c r="AT420" s="38"/>
      <c r="AU420" s="38"/>
      <c r="AV420" s="38"/>
      <c r="AW420" s="38"/>
      <c r="AX420" s="38"/>
      <c r="AY420" s="38"/>
      <c r="AZ420" s="38"/>
      <c r="BA420" s="38"/>
      <c r="BB420" s="38"/>
      <c r="BC420" s="38"/>
      <c r="BD420" s="38"/>
      <c r="BE420" s="38"/>
      <c r="BF420" s="38"/>
    </row>
    <row r="421" spans="1:58" s="173" customFormat="1" ht="12.75" customHeight="1">
      <c r="A421" s="153"/>
      <c r="B421" s="359" t="s">
        <v>332</v>
      </c>
      <c r="C421" s="785" t="s">
        <v>332</v>
      </c>
      <c r="D421" s="361"/>
      <c r="E421" s="362">
        <v>801</v>
      </c>
      <c r="F421" s="363">
        <v>656</v>
      </c>
      <c r="G421" s="513" t="s">
        <v>471</v>
      </c>
      <c r="H421" s="364" t="s">
        <v>91</v>
      </c>
      <c r="I421" s="364">
        <v>310</v>
      </c>
      <c r="J421" s="365" t="s">
        <v>265</v>
      </c>
      <c r="K421" s="192"/>
      <c r="L421" s="366">
        <v>0</v>
      </c>
      <c r="M421" s="366">
        <v>4800</v>
      </c>
      <c r="N421" s="366">
        <v>440000</v>
      </c>
      <c r="O421" s="366">
        <v>0</v>
      </c>
      <c r="P421" s="366">
        <v>444800</v>
      </c>
      <c r="Q421" s="367"/>
      <c r="R421" s="192"/>
      <c r="S421" s="192"/>
      <c r="T421" s="192"/>
      <c r="U421" s="192"/>
      <c r="V421" s="314">
        <v>10000</v>
      </c>
      <c r="W421" s="366" t="s">
        <v>610</v>
      </c>
      <c r="X421" s="193"/>
      <c r="Y421" s="369" t="s">
        <v>703</v>
      </c>
      <c r="Z421" s="556"/>
      <c r="AA421" s="556"/>
      <c r="AB421" s="370"/>
      <c r="AC421" s="370"/>
      <c r="AD421" s="370"/>
      <c r="AE421" s="370">
        <v>44793.9</v>
      </c>
      <c r="AF421" s="370">
        <v>0</v>
      </c>
      <c r="AG421" s="370"/>
      <c r="AH421" s="371"/>
      <c r="AI421" s="372">
        <v>0.5646527165006934</v>
      </c>
      <c r="AJ421" s="152" t="s">
        <v>143</v>
      </c>
      <c r="AK421" s="171"/>
      <c r="AL421" s="171"/>
      <c r="AM421" s="38"/>
      <c r="AN421" s="38"/>
      <c r="AO421" s="38"/>
      <c r="AP421" s="38"/>
      <c r="AQ421" s="38"/>
      <c r="AR421" s="38"/>
      <c r="AS421" s="38"/>
      <c r="AT421" s="38"/>
      <c r="AU421" s="38"/>
      <c r="AV421" s="38"/>
      <c r="AW421" s="38"/>
      <c r="AX421" s="38"/>
      <c r="AY421" s="38"/>
      <c r="AZ421" s="38"/>
      <c r="BA421" s="38"/>
      <c r="BB421" s="38"/>
      <c r="BC421" s="38"/>
      <c r="BD421" s="38"/>
      <c r="BE421" s="38"/>
      <c r="BF421" s="38"/>
    </row>
    <row r="422" spans="1:58" s="173" customFormat="1" ht="12.75" customHeight="1">
      <c r="A422" s="153"/>
      <c r="B422" s="359"/>
      <c r="C422" s="785"/>
      <c r="D422" s="361"/>
      <c r="E422" s="362"/>
      <c r="F422" s="363"/>
      <c r="G422" s="513"/>
      <c r="H422" s="364"/>
      <c r="I422" s="364"/>
      <c r="J422" s="365"/>
      <c r="K422" s="192"/>
      <c r="L422" s="366"/>
      <c r="M422" s="366"/>
      <c r="N422" s="366"/>
      <c r="O422" s="366"/>
      <c r="P422" s="366"/>
      <c r="Q422" s="367"/>
      <c r="R422" s="192"/>
      <c r="S422" s="192"/>
      <c r="T422" s="192"/>
      <c r="U422" s="192"/>
      <c r="V422" s="314"/>
      <c r="W422" s="366"/>
      <c r="X422" s="193"/>
      <c r="Y422" s="369" t="s">
        <v>674</v>
      </c>
      <c r="Z422" s="556"/>
      <c r="AA422" s="556"/>
      <c r="AB422" s="370"/>
      <c r="AC422" s="370"/>
      <c r="AD422" s="370"/>
      <c r="AE422" s="370"/>
      <c r="AF422" s="370"/>
      <c r="AG422" s="370"/>
      <c r="AH422" s="371"/>
      <c r="AI422" s="372"/>
      <c r="AJ422" s="152"/>
      <c r="AK422" s="171"/>
      <c r="AL422" s="171"/>
      <c r="AM422" s="38"/>
      <c r="AN422" s="38"/>
      <c r="AO422" s="38"/>
      <c r="AP422" s="38"/>
      <c r="AQ422" s="38"/>
      <c r="AR422" s="38"/>
      <c r="AS422" s="38"/>
      <c r="AT422" s="38"/>
      <c r="AU422" s="38"/>
      <c r="AV422" s="38"/>
      <c r="AW422" s="38"/>
      <c r="AX422" s="38"/>
      <c r="AY422" s="38"/>
      <c r="AZ422" s="38"/>
      <c r="BA422" s="38"/>
      <c r="BB422" s="38"/>
      <c r="BC422" s="38"/>
      <c r="BD422" s="38"/>
      <c r="BE422" s="38"/>
      <c r="BF422" s="38"/>
    </row>
    <row r="423" spans="1:58" s="173" customFormat="1" ht="14.25" customHeight="1">
      <c r="A423" s="153"/>
      <c r="B423" s="359" t="s">
        <v>332</v>
      </c>
      <c r="C423" s="785" t="s">
        <v>332</v>
      </c>
      <c r="D423" s="361"/>
      <c r="E423" s="362">
        <v>801</v>
      </c>
      <c r="F423" s="363">
        <v>656</v>
      </c>
      <c r="G423" s="513" t="s">
        <v>471</v>
      </c>
      <c r="H423" s="364" t="s">
        <v>91</v>
      </c>
      <c r="I423" s="364"/>
      <c r="J423" s="1009" t="s">
        <v>611</v>
      </c>
      <c r="K423" s="192"/>
      <c r="L423" s="366">
        <v>0</v>
      </c>
      <c r="M423" s="366">
        <v>4800</v>
      </c>
      <c r="N423" s="366">
        <v>440000</v>
      </c>
      <c r="O423" s="366">
        <v>0</v>
      </c>
      <c r="P423" s="366">
        <v>444800</v>
      </c>
      <c r="Q423" s="367"/>
      <c r="R423" s="192"/>
      <c r="S423" s="192"/>
      <c r="T423" s="192"/>
      <c r="U423" s="192"/>
      <c r="V423" s="1011">
        <f>V419+V420+V421</f>
        <v>10000</v>
      </c>
      <c r="W423" s="366"/>
      <c r="X423" s="375">
        <f>SUM(X419:X422)</f>
        <v>115000</v>
      </c>
      <c r="Y423" s="369"/>
      <c r="Z423" s="556"/>
      <c r="AA423" s="556"/>
      <c r="AB423" s="370"/>
      <c r="AC423" s="370"/>
      <c r="AD423" s="370"/>
      <c r="AE423" s="370">
        <v>44793.9</v>
      </c>
      <c r="AF423" s="370">
        <v>0</v>
      </c>
      <c r="AG423" s="370"/>
      <c r="AH423" s="371"/>
      <c r="AI423" s="372">
        <v>0.5646527165006934</v>
      </c>
      <c r="AJ423" s="152" t="s">
        <v>143</v>
      </c>
      <c r="AK423" s="171"/>
      <c r="AL423" s="171"/>
      <c r="AM423" s="38"/>
      <c r="AN423" s="38"/>
      <c r="AO423" s="38"/>
      <c r="AP423" s="38"/>
      <c r="AQ423" s="38"/>
      <c r="AR423" s="38"/>
      <c r="AS423" s="38"/>
      <c r="AT423" s="38"/>
      <c r="AU423" s="38"/>
      <c r="AV423" s="38"/>
      <c r="AW423" s="38"/>
      <c r="AX423" s="38"/>
      <c r="AY423" s="38"/>
      <c r="AZ423" s="38"/>
      <c r="BA423" s="38"/>
      <c r="BB423" s="38"/>
      <c r="BC423" s="38"/>
      <c r="BD423" s="38"/>
      <c r="BE423" s="38"/>
      <c r="BF423" s="38"/>
    </row>
    <row r="424" spans="1:58" s="173" customFormat="1" ht="12.75" customHeight="1">
      <c r="A424" s="153"/>
      <c r="B424" s="359" t="s">
        <v>332</v>
      </c>
      <c r="C424" s="360" t="s">
        <v>332</v>
      </c>
      <c r="D424" s="361"/>
      <c r="E424" s="362">
        <v>801</v>
      </c>
      <c r="F424" s="363">
        <v>656</v>
      </c>
      <c r="G424" s="513" t="s">
        <v>471</v>
      </c>
      <c r="H424" s="364" t="s">
        <v>91</v>
      </c>
      <c r="I424" s="364">
        <v>346</v>
      </c>
      <c r="J424" s="1012" t="s">
        <v>566</v>
      </c>
      <c r="K424" s="192"/>
      <c r="L424" s="366">
        <v>17000</v>
      </c>
      <c r="M424" s="366">
        <v>62360</v>
      </c>
      <c r="N424" s="366">
        <v>-30</v>
      </c>
      <c r="O424" s="366">
        <v>0</v>
      </c>
      <c r="P424" s="366">
        <v>79330</v>
      </c>
      <c r="Q424" s="367">
        <f>R424+S424+T424+U424</f>
        <v>50000</v>
      </c>
      <c r="R424" s="192">
        <v>20000</v>
      </c>
      <c r="S424" s="192">
        <v>30000</v>
      </c>
      <c r="T424" s="192"/>
      <c r="U424" s="192"/>
      <c r="V424" s="314"/>
      <c r="W424" s="366"/>
      <c r="X424" s="316">
        <v>0</v>
      </c>
      <c r="Y424" s="474">
        <f>V435-W435</f>
        <v>378101.28000000026</v>
      </c>
      <c r="Z424" s="472">
        <f>Z412+Z405+Z395+Z388+Z381+Z384</f>
        <v>8615500.79</v>
      </c>
      <c r="AA424" s="472">
        <f>AA412+AA405+AA395+AA388+AA381+AA384</f>
        <v>8615500.79</v>
      </c>
      <c r="AB424" s="1493"/>
      <c r="AC424" s="1493"/>
      <c r="AD424" s="1493"/>
      <c r="AE424" s="521">
        <v>733770.84</v>
      </c>
      <c r="AF424" s="522">
        <v>0</v>
      </c>
      <c r="AG424" s="1493"/>
      <c r="AH424" s="1493"/>
      <c r="AI424" s="523">
        <v>0.49143197368209557</v>
      </c>
      <c r="AJ424" s="152" t="s">
        <v>143</v>
      </c>
      <c r="AK424" s="171"/>
      <c r="AL424" s="171"/>
      <c r="AM424" s="38"/>
      <c r="AN424" s="172">
        <f>AA419+AA416+AA412+AA405+AA395+AA45+AA388</f>
        <v>2955442.1</v>
      </c>
      <c r="AO424" s="38"/>
      <c r="AP424" s="38"/>
      <c r="AQ424" s="38"/>
      <c r="AR424" s="38"/>
      <c r="AS424" s="38"/>
      <c r="AT424" s="38"/>
      <c r="AU424" s="38"/>
      <c r="AV424" s="38"/>
      <c r="AW424" s="38"/>
      <c r="AX424" s="38"/>
      <c r="AY424" s="38"/>
      <c r="AZ424" s="38"/>
      <c r="BA424" s="38"/>
      <c r="BB424" s="38"/>
      <c r="BC424" s="38"/>
      <c r="BD424" s="38"/>
      <c r="BE424" s="38"/>
      <c r="BF424" s="38"/>
    </row>
    <row r="425" spans="1:58" s="173" customFormat="1" ht="12.75" customHeight="1">
      <c r="A425" s="153"/>
      <c r="B425" s="359" t="s">
        <v>332</v>
      </c>
      <c r="C425" s="785" t="s">
        <v>332</v>
      </c>
      <c r="D425" s="361"/>
      <c r="E425" s="362">
        <v>801</v>
      </c>
      <c r="F425" s="363">
        <v>656</v>
      </c>
      <c r="G425" s="513" t="s">
        <v>471</v>
      </c>
      <c r="H425" s="364" t="s">
        <v>91</v>
      </c>
      <c r="I425" s="364">
        <v>346</v>
      </c>
      <c r="J425" s="365" t="s">
        <v>566</v>
      </c>
      <c r="K425" s="192"/>
      <c r="L425" s="366">
        <v>17000</v>
      </c>
      <c r="M425" s="366">
        <v>62360</v>
      </c>
      <c r="N425" s="366">
        <v>-30</v>
      </c>
      <c r="O425" s="366">
        <v>0</v>
      </c>
      <c r="P425" s="366">
        <v>79330</v>
      </c>
      <c r="Q425" s="367">
        <f>R425+S425+T425+U425</f>
        <v>50000</v>
      </c>
      <c r="R425" s="192">
        <v>20000</v>
      </c>
      <c r="S425" s="192">
        <v>30000</v>
      </c>
      <c r="T425" s="192"/>
      <c r="U425" s="192"/>
      <c r="V425" s="314">
        <v>10000</v>
      </c>
      <c r="W425" s="192" t="s">
        <v>612</v>
      </c>
      <c r="X425" s="316">
        <v>25000</v>
      </c>
      <c r="Y425" s="1085" t="s">
        <v>704</v>
      </c>
      <c r="Z425" s="472"/>
      <c r="AA425" s="472"/>
      <c r="AB425" s="1493"/>
      <c r="AC425" s="1493"/>
      <c r="AD425" s="1493"/>
      <c r="AE425" s="521">
        <v>733770.84</v>
      </c>
      <c r="AF425" s="522">
        <v>0</v>
      </c>
      <c r="AG425" s="1493"/>
      <c r="AH425" s="1493"/>
      <c r="AI425" s="523">
        <v>0.49143197368209557</v>
      </c>
      <c r="AJ425" s="152" t="s">
        <v>143</v>
      </c>
      <c r="AK425" s="171"/>
      <c r="AL425" s="171"/>
      <c r="AM425" s="172">
        <f>Z419+Z416+Z412+Z405+Z395+Z388</f>
        <v>2955442.1</v>
      </c>
      <c r="AN425" s="172">
        <f>AA420+AA417+AA413+AA406+AA396+AA46</f>
        <v>71868.6</v>
      </c>
      <c r="AO425" s="38"/>
      <c r="AP425" s="38"/>
      <c r="AQ425" s="38"/>
      <c r="AR425" s="38"/>
      <c r="AS425" s="38"/>
      <c r="AT425" s="38"/>
      <c r="AU425" s="38"/>
      <c r="AV425" s="38"/>
      <c r="AW425" s="38"/>
      <c r="AX425" s="38"/>
      <c r="AY425" s="38"/>
      <c r="AZ425" s="38"/>
      <c r="BA425" s="38"/>
      <c r="BB425" s="38"/>
      <c r="BC425" s="38"/>
      <c r="BD425" s="38"/>
      <c r="BE425" s="38"/>
      <c r="BF425" s="38"/>
    </row>
    <row r="426" spans="1:58" s="173" customFormat="1" ht="12.75" customHeight="1">
      <c r="A426" s="153"/>
      <c r="B426" s="359" t="s">
        <v>332</v>
      </c>
      <c r="C426" s="785" t="s">
        <v>332</v>
      </c>
      <c r="D426" s="361"/>
      <c r="E426" s="362">
        <v>801</v>
      </c>
      <c r="F426" s="363">
        <v>656</v>
      </c>
      <c r="G426" s="513" t="s">
        <v>471</v>
      </c>
      <c r="H426" s="364" t="s">
        <v>91</v>
      </c>
      <c r="I426" s="364">
        <v>346</v>
      </c>
      <c r="J426" s="1009" t="s">
        <v>613</v>
      </c>
      <c r="K426" s="192"/>
      <c r="L426" s="366">
        <v>17000</v>
      </c>
      <c r="M426" s="366">
        <v>62360</v>
      </c>
      <c r="N426" s="366">
        <v>-30</v>
      </c>
      <c r="O426" s="366">
        <v>0</v>
      </c>
      <c r="P426" s="366">
        <v>79330</v>
      </c>
      <c r="Q426" s="367">
        <f>R426+S426+T426+U426</f>
        <v>50000</v>
      </c>
      <c r="R426" s="192">
        <v>20000</v>
      </c>
      <c r="S426" s="192">
        <v>30000</v>
      </c>
      <c r="T426" s="192"/>
      <c r="U426" s="192"/>
      <c r="V426" s="1011">
        <f>V424+V425</f>
        <v>10000</v>
      </c>
      <c r="W426" s="366"/>
      <c r="X426" s="315">
        <f>SUM(X424:X425)</f>
        <v>25000</v>
      </c>
      <c r="Y426" s="1085">
        <f>V437-W437</f>
        <v>0</v>
      </c>
      <c r="Z426" s="472"/>
      <c r="AA426" s="472"/>
      <c r="AB426" s="1493"/>
      <c r="AC426" s="1493"/>
      <c r="AD426" s="1493"/>
      <c r="AE426" s="521">
        <v>733770.84</v>
      </c>
      <c r="AF426" s="522">
        <v>0</v>
      </c>
      <c r="AG426" s="1493"/>
      <c r="AH426" s="1493"/>
      <c r="AI426" s="523">
        <v>0.49143197368209557</v>
      </c>
      <c r="AJ426" s="152" t="s">
        <v>143</v>
      </c>
      <c r="AK426" s="171"/>
      <c r="AL426" s="171"/>
      <c r="AM426" s="172">
        <f>Z420+Z417+Z413+Z406+Z396</f>
        <v>71868.6</v>
      </c>
      <c r="AN426" s="172" t="e">
        <f>AA421+AA418+#REF!+AA407+AA397+AA47</f>
        <v>#REF!</v>
      </c>
      <c r="AO426" s="38"/>
      <c r="AP426" s="38"/>
      <c r="AQ426" s="38"/>
      <c r="AR426" s="38"/>
      <c r="AS426" s="38"/>
      <c r="AT426" s="38"/>
      <c r="AU426" s="38"/>
      <c r="AV426" s="38"/>
      <c r="AW426" s="38"/>
      <c r="AX426" s="38"/>
      <c r="AY426" s="38"/>
      <c r="AZ426" s="38"/>
      <c r="BA426" s="38"/>
      <c r="BB426" s="38"/>
      <c r="BC426" s="38"/>
      <c r="BD426" s="38"/>
      <c r="BE426" s="38"/>
      <c r="BF426" s="38"/>
    </row>
    <row r="427" spans="1:58" s="173" customFormat="1" ht="14.25" customHeight="1">
      <c r="A427" s="153"/>
      <c r="B427" s="359" t="s">
        <v>332</v>
      </c>
      <c r="C427" s="785" t="s">
        <v>332</v>
      </c>
      <c r="D427" s="361"/>
      <c r="E427" s="362">
        <v>801</v>
      </c>
      <c r="F427" s="363">
        <v>656</v>
      </c>
      <c r="G427" s="513" t="s">
        <v>471</v>
      </c>
      <c r="H427" s="364" t="s">
        <v>91</v>
      </c>
      <c r="I427" s="364">
        <v>349</v>
      </c>
      <c r="J427" s="1012" t="s">
        <v>601</v>
      </c>
      <c r="K427" s="192"/>
      <c r="L427" s="366">
        <v>17000</v>
      </c>
      <c r="M427" s="366">
        <v>62360</v>
      </c>
      <c r="N427" s="366">
        <v>-30</v>
      </c>
      <c r="O427" s="366">
        <v>0</v>
      </c>
      <c r="P427" s="366">
        <v>79330</v>
      </c>
      <c r="Q427" s="367">
        <f>R427+S427+T427+U427</f>
        <v>50000</v>
      </c>
      <c r="R427" s="192">
        <v>20000</v>
      </c>
      <c r="S427" s="192">
        <v>30000</v>
      </c>
      <c r="T427" s="192"/>
      <c r="U427" s="192"/>
      <c r="V427" s="1008">
        <v>20000</v>
      </c>
      <c r="W427" s="366" t="s">
        <v>602</v>
      </c>
      <c r="X427" s="316"/>
      <c r="Y427" s="1085" t="s">
        <v>675</v>
      </c>
      <c r="Z427" s="472">
        <f>Z415+Z408+Z398+Z391+Z384+Z387</f>
        <v>207297</v>
      </c>
      <c r="AA427" s="472">
        <f>AA415+AA408+AA398+AA391+AA384+AA387</f>
        <v>207297</v>
      </c>
      <c r="AB427" s="1493"/>
      <c r="AC427" s="1493"/>
      <c r="AD427" s="1493"/>
      <c r="AE427" s="521">
        <v>733770.84</v>
      </c>
      <c r="AF427" s="522">
        <v>0</v>
      </c>
      <c r="AG427" s="1493"/>
      <c r="AH427" s="1493"/>
      <c r="AI427" s="523">
        <v>0.49143197368209557</v>
      </c>
      <c r="AJ427" s="152" t="s">
        <v>143</v>
      </c>
      <c r="AK427" s="171"/>
      <c r="AL427" s="171"/>
      <c r="AM427" s="38"/>
      <c r="AN427" s="172">
        <f>AA422+AA419+AA415+AA408+AA398+AA48+AA391</f>
        <v>50000</v>
      </c>
      <c r="AO427" s="38"/>
      <c r="AP427" s="38"/>
      <c r="AQ427" s="38"/>
      <c r="AR427" s="38"/>
      <c r="AS427" s="38"/>
      <c r="AT427" s="38"/>
      <c r="AU427" s="38"/>
      <c r="AV427" s="38"/>
      <c r="AW427" s="38"/>
      <c r="AX427" s="38"/>
      <c r="AY427" s="38"/>
      <c r="AZ427" s="38"/>
      <c r="BA427" s="38"/>
      <c r="BB427" s="38"/>
      <c r="BC427" s="38"/>
      <c r="BD427" s="38"/>
      <c r="BE427" s="38"/>
      <c r="BF427" s="38"/>
    </row>
    <row r="428" spans="1:58" s="173" customFormat="1" ht="12.75" customHeight="1">
      <c r="A428" s="153"/>
      <c r="B428" s="359" t="s">
        <v>332</v>
      </c>
      <c r="C428" s="785" t="s">
        <v>332</v>
      </c>
      <c r="D428" s="361"/>
      <c r="E428" s="362">
        <v>801</v>
      </c>
      <c r="F428" s="363">
        <v>656</v>
      </c>
      <c r="G428" s="513" t="s">
        <v>471</v>
      </c>
      <c r="H428" s="364" t="s">
        <v>91</v>
      </c>
      <c r="I428" s="364">
        <v>349</v>
      </c>
      <c r="J428" s="365" t="s">
        <v>601</v>
      </c>
      <c r="K428" s="192"/>
      <c r="L428" s="366">
        <v>17000</v>
      </c>
      <c r="M428" s="366">
        <v>62360</v>
      </c>
      <c r="N428" s="366">
        <v>-30</v>
      </c>
      <c r="O428" s="366">
        <v>0</v>
      </c>
      <c r="P428" s="366">
        <v>79330</v>
      </c>
      <c r="Q428" s="367">
        <f>R428+S428+T428+U428</f>
        <v>50000</v>
      </c>
      <c r="R428" s="192">
        <v>20000</v>
      </c>
      <c r="S428" s="192">
        <v>30000</v>
      </c>
      <c r="T428" s="192"/>
      <c r="U428" s="192"/>
      <c r="V428" s="1008">
        <v>5000</v>
      </c>
      <c r="W428" s="366" t="s">
        <v>614</v>
      </c>
      <c r="X428" s="316"/>
      <c r="Y428" s="1085" t="s">
        <v>676</v>
      </c>
      <c r="Z428" s="472"/>
      <c r="AA428" s="472"/>
      <c r="AB428" s="1493"/>
      <c r="AC428" s="1493"/>
      <c r="AD428" s="1493"/>
      <c r="AE428" s="521">
        <v>733770.84</v>
      </c>
      <c r="AF428" s="522">
        <v>0</v>
      </c>
      <c r="AG428" s="1493"/>
      <c r="AH428" s="1493"/>
      <c r="AI428" s="523">
        <v>0.49143197368209557</v>
      </c>
      <c r="AJ428" s="152" t="s">
        <v>143</v>
      </c>
      <c r="AK428" s="171"/>
      <c r="AL428" s="171"/>
      <c r="AM428" s="172">
        <f>Z422+Z419+Z415+Z408+Z398+Z391</f>
        <v>50000</v>
      </c>
      <c r="AN428" s="172" t="e">
        <f>AA423+AA420+#REF!+AA409+AA399+AA49</f>
        <v>#REF!</v>
      </c>
      <c r="AO428" s="38"/>
      <c r="AP428" s="38"/>
      <c r="AQ428" s="38"/>
      <c r="AR428" s="38"/>
      <c r="AS428" s="38"/>
      <c r="AT428" s="38"/>
      <c r="AU428" s="38"/>
      <c r="AV428" s="38"/>
      <c r="AW428" s="38"/>
      <c r="AX428" s="38"/>
      <c r="AY428" s="38"/>
      <c r="AZ428" s="38"/>
      <c r="BA428" s="38"/>
      <c r="BB428" s="38"/>
      <c r="BC428" s="38"/>
      <c r="BD428" s="38"/>
      <c r="BE428" s="38"/>
      <c r="BF428" s="38"/>
    </row>
    <row r="429" spans="1:58" s="173" customFormat="1" ht="12.75" customHeight="1">
      <c r="A429" s="153"/>
      <c r="B429" s="359"/>
      <c r="C429" s="785"/>
      <c r="D429" s="361"/>
      <c r="E429" s="362"/>
      <c r="F429" s="363"/>
      <c r="G429" s="513"/>
      <c r="H429" s="364"/>
      <c r="I429" s="364"/>
      <c r="J429" s="365"/>
      <c r="K429" s="192"/>
      <c r="L429" s="366"/>
      <c r="M429" s="366"/>
      <c r="N429" s="366"/>
      <c r="O429" s="366"/>
      <c r="P429" s="366"/>
      <c r="Q429" s="367"/>
      <c r="R429" s="192"/>
      <c r="S429" s="192"/>
      <c r="T429" s="192"/>
      <c r="U429" s="192"/>
      <c r="V429" s="314">
        <v>5600</v>
      </c>
      <c r="W429" s="192" t="s">
        <v>615</v>
      </c>
      <c r="X429" s="316"/>
      <c r="Y429" s="1085" t="s">
        <v>677</v>
      </c>
      <c r="Z429" s="472"/>
      <c r="AA429" s="472"/>
      <c r="AB429" s="1078"/>
      <c r="AC429" s="1078"/>
      <c r="AD429" s="1078"/>
      <c r="AE429" s="521"/>
      <c r="AF429" s="522"/>
      <c r="AG429" s="1078"/>
      <c r="AH429" s="1078"/>
      <c r="AI429" s="523"/>
      <c r="AJ429" s="152"/>
      <c r="AK429" s="171"/>
      <c r="AL429" s="171"/>
      <c r="AM429" s="172"/>
      <c r="AN429" s="172"/>
      <c r="AO429" s="38"/>
      <c r="AP429" s="38"/>
      <c r="AQ429" s="38"/>
      <c r="AR429" s="38"/>
      <c r="AS429" s="38"/>
      <c r="AT429" s="38"/>
      <c r="AU429" s="38"/>
      <c r="AV429" s="38"/>
      <c r="AW429" s="38"/>
      <c r="AX429" s="38"/>
      <c r="AY429" s="38"/>
      <c r="AZ429" s="38"/>
      <c r="BA429" s="38"/>
      <c r="BB429" s="38"/>
      <c r="BC429" s="38"/>
      <c r="BD429" s="38"/>
      <c r="BE429" s="38"/>
      <c r="BF429" s="38"/>
    </row>
    <row r="430" spans="1:58" s="173" customFormat="1" ht="32.25" customHeight="1">
      <c r="A430" s="153"/>
      <c r="B430" s="359"/>
      <c r="C430" s="785"/>
      <c r="D430" s="361"/>
      <c r="E430" s="362"/>
      <c r="F430" s="363"/>
      <c r="G430" s="513"/>
      <c r="H430" s="364"/>
      <c r="I430" s="364"/>
      <c r="J430" s="365"/>
      <c r="K430" s="192"/>
      <c r="L430" s="366"/>
      <c r="M430" s="366"/>
      <c r="N430" s="366"/>
      <c r="O430" s="366"/>
      <c r="P430" s="366"/>
      <c r="Q430" s="367"/>
      <c r="R430" s="192"/>
      <c r="S430" s="192"/>
      <c r="T430" s="192"/>
      <c r="U430" s="192"/>
      <c r="V430" s="314">
        <v>10000</v>
      </c>
      <c r="W430" s="366" t="s">
        <v>616</v>
      </c>
      <c r="X430" s="316">
        <v>5000</v>
      </c>
      <c r="Y430" s="1085" t="s">
        <v>678</v>
      </c>
      <c r="Z430" s="472"/>
      <c r="AA430" s="472"/>
      <c r="AB430" s="1078"/>
      <c r="AC430" s="1078"/>
      <c r="AD430" s="1078"/>
      <c r="AE430" s="521"/>
      <c r="AF430" s="522"/>
      <c r="AG430" s="1078"/>
      <c r="AH430" s="1078"/>
      <c r="AI430" s="523"/>
      <c r="AJ430" s="152"/>
      <c r="AK430" s="171"/>
      <c r="AL430" s="171"/>
      <c r="AM430" s="172"/>
      <c r="AN430" s="172"/>
      <c r="AO430" s="38"/>
      <c r="AP430" s="38"/>
      <c r="AQ430" s="38"/>
      <c r="AR430" s="38"/>
      <c r="AS430" s="38"/>
      <c r="AT430" s="38"/>
      <c r="AU430" s="38"/>
      <c r="AV430" s="38"/>
      <c r="AW430" s="38"/>
      <c r="AX430" s="38"/>
      <c r="AY430" s="38"/>
      <c r="AZ430" s="38"/>
      <c r="BA430" s="38"/>
      <c r="BB430" s="38"/>
      <c r="BC430" s="38"/>
      <c r="BD430" s="38"/>
      <c r="BE430" s="38"/>
      <c r="BF430" s="38"/>
    </row>
    <row r="431" spans="1:58" s="173" customFormat="1" ht="24" customHeight="1">
      <c r="A431" s="153"/>
      <c r="B431" s="359"/>
      <c r="C431" s="785"/>
      <c r="D431" s="361"/>
      <c r="E431" s="362"/>
      <c r="F431" s="363"/>
      <c r="G431" s="513"/>
      <c r="H431" s="364"/>
      <c r="I431" s="364"/>
      <c r="J431" s="365"/>
      <c r="K431" s="192"/>
      <c r="L431" s="366"/>
      <c r="M431" s="366"/>
      <c r="N431" s="366"/>
      <c r="O431" s="366"/>
      <c r="P431" s="366"/>
      <c r="Q431" s="367"/>
      <c r="R431" s="192"/>
      <c r="S431" s="192"/>
      <c r="T431" s="192"/>
      <c r="U431" s="192"/>
      <c r="V431" s="314">
        <v>7000</v>
      </c>
      <c r="W431" s="366" t="s">
        <v>617</v>
      </c>
      <c r="X431" s="316">
        <v>10000</v>
      </c>
      <c r="Y431" s="1086" t="s">
        <v>679</v>
      </c>
      <c r="Z431" s="472"/>
      <c r="AA431" s="472"/>
      <c r="AB431" s="1078"/>
      <c r="AC431" s="1078"/>
      <c r="AD431" s="1078"/>
      <c r="AE431" s="521"/>
      <c r="AF431" s="522"/>
      <c r="AG431" s="1078"/>
      <c r="AH431" s="1078"/>
      <c r="AI431" s="523"/>
      <c r="AJ431" s="152"/>
      <c r="AK431" s="171"/>
      <c r="AL431" s="171"/>
      <c r="AM431" s="172"/>
      <c r="AN431" s="172"/>
      <c r="AO431" s="38"/>
      <c r="AP431" s="38"/>
      <c r="AQ431" s="38"/>
      <c r="AR431" s="38"/>
      <c r="AS431" s="38"/>
      <c r="AT431" s="38"/>
      <c r="AU431" s="38"/>
      <c r="AV431" s="38"/>
      <c r="AW431" s="38"/>
      <c r="AX431" s="38"/>
      <c r="AY431" s="38"/>
      <c r="AZ431" s="38"/>
      <c r="BA431" s="38"/>
      <c r="BB431" s="38"/>
      <c r="BC431" s="38"/>
      <c r="BD431" s="38"/>
      <c r="BE431" s="38"/>
      <c r="BF431" s="38"/>
    </row>
    <row r="432" spans="1:58" s="173" customFormat="1" ht="12.75" customHeight="1">
      <c r="A432" s="153"/>
      <c r="B432" s="359" t="s">
        <v>332</v>
      </c>
      <c r="C432" s="785" t="s">
        <v>332</v>
      </c>
      <c r="D432" s="361"/>
      <c r="E432" s="362">
        <v>801</v>
      </c>
      <c r="F432" s="363">
        <v>656</v>
      </c>
      <c r="G432" s="513" t="s">
        <v>471</v>
      </c>
      <c r="H432" s="364" t="s">
        <v>91</v>
      </c>
      <c r="I432" s="364">
        <v>346</v>
      </c>
      <c r="J432" s="1009" t="s">
        <v>603</v>
      </c>
      <c r="K432" s="192"/>
      <c r="L432" s="366">
        <v>17000</v>
      </c>
      <c r="M432" s="366">
        <v>62360</v>
      </c>
      <c r="N432" s="366">
        <v>-30</v>
      </c>
      <c r="O432" s="366">
        <v>0</v>
      </c>
      <c r="P432" s="366">
        <v>79330</v>
      </c>
      <c r="Q432" s="367">
        <f>R432+S432+T432+U432</f>
        <v>50000</v>
      </c>
      <c r="R432" s="192">
        <v>20000</v>
      </c>
      <c r="S432" s="192">
        <v>30000</v>
      </c>
      <c r="T432" s="192"/>
      <c r="U432" s="192"/>
      <c r="V432" s="1011">
        <f>SUM(V427:V431)</f>
        <v>47600</v>
      </c>
      <c r="W432" s="366"/>
      <c r="X432" s="315">
        <f>SUM(X427:X431)</f>
        <v>15000</v>
      </c>
      <c r="Y432" s="474">
        <f>V445-W445</f>
        <v>0</v>
      </c>
      <c r="Z432" s="472"/>
      <c r="AA432" s="472"/>
      <c r="AB432" s="1493"/>
      <c r="AC432" s="1493"/>
      <c r="AD432" s="1493"/>
      <c r="AE432" s="521">
        <v>733770.84</v>
      </c>
      <c r="AF432" s="522">
        <v>0</v>
      </c>
      <c r="AG432" s="1493"/>
      <c r="AH432" s="1493"/>
      <c r="AI432" s="523">
        <v>0.49143197368209557</v>
      </c>
      <c r="AJ432" s="152" t="s">
        <v>143</v>
      </c>
      <c r="AK432" s="171"/>
      <c r="AL432" s="171"/>
      <c r="AM432" s="172" t="e">
        <f>Z423+Z420+#REF!+Z409+Z399</f>
        <v>#REF!</v>
      </c>
      <c r="AN432" s="172" t="e">
        <f>AA424+AA421+#REF!+AA410+AA400+AA50</f>
        <v>#REF!</v>
      </c>
      <c r="AO432" s="38"/>
      <c r="AP432" s="38"/>
      <c r="AQ432" s="38"/>
      <c r="AR432" s="38"/>
      <c r="AS432" s="38"/>
      <c r="AT432" s="38"/>
      <c r="AU432" s="38"/>
      <c r="AV432" s="38"/>
      <c r="AW432" s="38"/>
      <c r="AX432" s="38"/>
      <c r="AY432" s="38"/>
      <c r="AZ432" s="38"/>
      <c r="BA432" s="38"/>
      <c r="BB432" s="38"/>
      <c r="BC432" s="38"/>
      <c r="BD432" s="38"/>
      <c r="BE432" s="38"/>
      <c r="BF432" s="38"/>
    </row>
    <row r="433" spans="1:58" s="173" customFormat="1" ht="12.75" customHeight="1">
      <c r="A433" s="153"/>
      <c r="B433" s="1155"/>
      <c r="C433" s="1141"/>
      <c r="D433" s="361"/>
      <c r="E433" s="1156"/>
      <c r="F433" s="1157"/>
      <c r="G433" s="1158"/>
      <c r="H433" s="1163" t="s">
        <v>719</v>
      </c>
      <c r="I433" s="1159"/>
      <c r="J433" s="1160"/>
      <c r="K433" s="519"/>
      <c r="L433" s="1149"/>
      <c r="M433" s="366"/>
      <c r="N433" s="366"/>
      <c r="O433" s="1149"/>
      <c r="P433" s="366"/>
      <c r="Q433" s="1150"/>
      <c r="R433" s="377"/>
      <c r="S433" s="377"/>
      <c r="T433" s="377"/>
      <c r="U433" s="377"/>
      <c r="V433" s="1164">
        <f>V432+V426+V423+V415+V413+V406+V396+V389</f>
        <v>2978442.1</v>
      </c>
      <c r="W433" s="1165"/>
      <c r="X433" s="1164">
        <f>X432+X426+X423+X415+X413+X406+X396+X389</f>
        <v>-665407.7</v>
      </c>
      <c r="Y433" s="1161"/>
      <c r="Z433" s="1162"/>
      <c r="AA433" s="1162"/>
      <c r="AB433" s="1140"/>
      <c r="AC433" s="1140"/>
      <c r="AD433" s="1140"/>
      <c r="AE433" s="521"/>
      <c r="AF433" s="522"/>
      <c r="AG433" s="1140"/>
      <c r="AH433" s="1140"/>
      <c r="AI433" s="523"/>
      <c r="AJ433" s="152"/>
      <c r="AK433" s="171"/>
      <c r="AL433" s="171"/>
      <c r="AM433" s="172"/>
      <c r="AN433" s="172"/>
      <c r="AO433" s="38"/>
      <c r="AP433" s="38"/>
      <c r="AQ433" s="38"/>
      <c r="AR433" s="38"/>
      <c r="AS433" s="38"/>
      <c r="AT433" s="38"/>
      <c r="AU433" s="38"/>
      <c r="AV433" s="38"/>
      <c r="AW433" s="38"/>
      <c r="AX433" s="38"/>
      <c r="AY433" s="38"/>
      <c r="AZ433" s="38"/>
      <c r="BA433" s="38"/>
      <c r="BB433" s="38"/>
      <c r="BC433" s="38"/>
      <c r="BD433" s="38"/>
      <c r="BE433" s="38"/>
      <c r="BF433" s="38"/>
    </row>
    <row r="434" spans="1:58" s="173" customFormat="1" ht="12.75" customHeight="1">
      <c r="A434" s="153"/>
      <c r="B434" s="1155"/>
      <c r="C434" s="1141"/>
      <c r="D434" s="361"/>
      <c r="E434" s="1156"/>
      <c r="F434" s="1157"/>
      <c r="G434" s="1158"/>
      <c r="H434" s="1163" t="s">
        <v>718</v>
      </c>
      <c r="I434" s="1159"/>
      <c r="J434" s="1160"/>
      <c r="K434" s="519"/>
      <c r="L434" s="1149"/>
      <c r="M434" s="366"/>
      <c r="N434" s="366"/>
      <c r="O434" s="1149"/>
      <c r="P434" s="366"/>
      <c r="Q434" s="1150"/>
      <c r="R434" s="377"/>
      <c r="S434" s="377"/>
      <c r="T434" s="377"/>
      <c r="U434" s="377"/>
      <c r="V434" s="1164">
        <f>V418</f>
        <v>3000</v>
      </c>
      <c r="W434" s="1165"/>
      <c r="X434" s="1164">
        <f>X418</f>
        <v>0</v>
      </c>
      <c r="Y434" s="1161"/>
      <c r="Z434" s="1162"/>
      <c r="AA434" s="1162"/>
      <c r="AB434" s="1140"/>
      <c r="AC434" s="1140"/>
      <c r="AD434" s="1140"/>
      <c r="AE434" s="521"/>
      <c r="AF434" s="522"/>
      <c r="AG434" s="1140"/>
      <c r="AH434" s="1140"/>
      <c r="AI434" s="523"/>
      <c r="AJ434" s="152"/>
      <c r="AK434" s="171"/>
      <c r="AL434" s="171"/>
      <c r="AM434" s="172"/>
      <c r="AN434" s="172"/>
      <c r="AO434" s="38"/>
      <c r="AP434" s="38"/>
      <c r="AQ434" s="38"/>
      <c r="AR434" s="38"/>
      <c r="AS434" s="38"/>
      <c r="AT434" s="38"/>
      <c r="AU434" s="38"/>
      <c r="AV434" s="38"/>
      <c r="AW434" s="38"/>
      <c r="AX434" s="38"/>
      <c r="AY434" s="38"/>
      <c r="AZ434" s="38"/>
      <c r="BA434" s="38"/>
      <c r="BB434" s="38"/>
      <c r="BC434" s="38"/>
      <c r="BD434" s="38"/>
      <c r="BE434" s="38"/>
      <c r="BF434" s="38"/>
    </row>
    <row r="435" spans="1:58" s="173" customFormat="1" ht="12.75" customHeight="1">
      <c r="A435" s="153"/>
      <c r="B435" s="1492" t="s">
        <v>161</v>
      </c>
      <c r="C435" s="1492"/>
      <c r="D435" s="1492"/>
      <c r="E435" s="1492"/>
      <c r="F435" s="1492"/>
      <c r="G435" s="1492"/>
      <c r="H435" s="1492"/>
      <c r="I435" s="1492"/>
      <c r="J435" s="1492"/>
      <c r="K435" s="1420"/>
      <c r="L435" s="516">
        <v>673376</v>
      </c>
      <c r="M435" s="517">
        <v>257624</v>
      </c>
      <c r="N435" s="517">
        <v>537328</v>
      </c>
      <c r="O435" s="516">
        <v>24800</v>
      </c>
      <c r="P435" s="517">
        <v>1493128</v>
      </c>
      <c r="Q435" s="472" t="e">
        <f>R435+S435+T435+U435</f>
        <v>#REF!</v>
      </c>
      <c r="R435" s="472" t="e">
        <f>R396+R406+R413+R418+R424</f>
        <v>#REF!</v>
      </c>
      <c r="S435" s="472" t="e">
        <f>S396+S406+S413+S418+S424</f>
        <v>#REF!</v>
      </c>
      <c r="T435" s="472" t="e">
        <f>T396+T406+T413+T418+T424</f>
        <v>#REF!</v>
      </c>
      <c r="U435" s="472" t="e">
        <f>U396+U406+U413+U418+U424</f>
        <v>#REF!</v>
      </c>
      <c r="V435" s="1166">
        <f>V382+V385+V389+V396+V406+V413+V418+V423+V426+V432+V415</f>
        <v>8571497.1</v>
      </c>
      <c r="W435" s="839">
        <f>V435+X435</f>
        <v>8193395.819999999</v>
      </c>
      <c r="X435" s="1166">
        <f>X382+X385+X389+X396+X406+X413+X418+X423+X426+X432+X415</f>
        <v>-378101.28</v>
      </c>
      <c r="Y435" s="785"/>
      <c r="Z435" s="785"/>
      <c r="AA435" s="785"/>
      <c r="AB435" s="785"/>
      <c r="AC435" s="785"/>
      <c r="AD435" s="785"/>
      <c r="AE435" s="785"/>
      <c r="AF435" s="785"/>
      <c r="AG435" s="785"/>
      <c r="AH435" s="785"/>
      <c r="AI435" s="785"/>
      <c r="AJ435" s="152" t="s">
        <v>143</v>
      </c>
      <c r="AK435" s="171"/>
      <c r="AL435" s="171"/>
      <c r="AM435" s="172" t="e">
        <f>Z421+Z418+#REF!+Z407+Z397</f>
        <v>#REF!</v>
      </c>
      <c r="AN435" s="38"/>
      <c r="AO435" s="38"/>
      <c r="AP435" s="38"/>
      <c r="AQ435" s="38"/>
      <c r="AR435" s="38"/>
      <c r="AS435" s="38"/>
      <c r="AT435" s="38"/>
      <c r="AU435" s="38"/>
      <c r="AV435" s="38"/>
      <c r="AW435" s="38"/>
      <c r="AX435" s="38"/>
      <c r="AY435" s="38"/>
      <c r="AZ435" s="38"/>
      <c r="BA435" s="38"/>
      <c r="BB435" s="38"/>
      <c r="BC435" s="38"/>
      <c r="BD435" s="38"/>
      <c r="BE435" s="38"/>
      <c r="BF435" s="38"/>
    </row>
    <row r="436" spans="1:58" s="173" customFormat="1" ht="12.75" customHeight="1" hidden="1">
      <c r="A436" s="153"/>
      <c r="B436" s="785" t="s">
        <v>343</v>
      </c>
      <c r="C436" s="785"/>
      <c r="D436" s="785"/>
      <c r="E436" s="785"/>
      <c r="F436" s="785"/>
      <c r="G436" s="785"/>
      <c r="H436" s="785"/>
      <c r="I436" s="785"/>
      <c r="J436" s="785"/>
      <c r="K436" s="785"/>
      <c r="L436" s="785"/>
      <c r="M436" s="785"/>
      <c r="N436" s="785"/>
      <c r="O436" s="785"/>
      <c r="P436" s="785"/>
      <c r="Q436" s="785"/>
      <c r="R436" s="785"/>
      <c r="S436" s="785"/>
      <c r="T436" s="785"/>
      <c r="U436" s="785"/>
      <c r="V436" s="785"/>
      <c r="W436" s="785"/>
      <c r="X436" s="785"/>
      <c r="Y436" s="369"/>
      <c r="Z436" s="192"/>
      <c r="AA436" s="514"/>
      <c r="AB436" s="370"/>
      <c r="AC436" s="370"/>
      <c r="AD436" s="370"/>
      <c r="AE436" s="370">
        <v>0</v>
      </c>
      <c r="AF436" s="370">
        <v>0</v>
      </c>
      <c r="AG436" s="370"/>
      <c r="AH436" s="371"/>
      <c r="AI436" s="372"/>
      <c r="AJ436" s="152" t="s">
        <v>143</v>
      </c>
      <c r="AK436" s="171"/>
      <c r="AL436" s="171"/>
      <c r="AM436" s="38"/>
      <c r="AN436" s="38"/>
      <c r="AO436" s="38"/>
      <c r="AP436" s="38"/>
      <c r="AQ436" s="38"/>
      <c r="AR436" s="38"/>
      <c r="AS436" s="38"/>
      <c r="AT436" s="38"/>
      <c r="AU436" s="38"/>
      <c r="AV436" s="38"/>
      <c r="AW436" s="38"/>
      <c r="AX436" s="38"/>
      <c r="AY436" s="38"/>
      <c r="AZ436" s="38"/>
      <c r="BA436" s="38"/>
      <c r="BB436" s="38"/>
      <c r="BC436" s="38"/>
      <c r="BD436" s="38"/>
      <c r="BE436" s="38"/>
      <c r="BF436" s="38"/>
    </row>
    <row r="437" spans="1:58" s="173" customFormat="1" ht="12.75" customHeight="1" hidden="1">
      <c r="A437" s="153"/>
      <c r="B437" s="359" t="s">
        <v>343</v>
      </c>
      <c r="C437" s="360" t="s">
        <v>343</v>
      </c>
      <c r="D437" s="361">
        <v>656080015</v>
      </c>
      <c r="E437" s="362">
        <v>801</v>
      </c>
      <c r="F437" s="363">
        <v>656</v>
      </c>
      <c r="G437" s="513">
        <v>4409900</v>
      </c>
      <c r="H437" s="364" t="s">
        <v>91</v>
      </c>
      <c r="I437" s="364">
        <v>0</v>
      </c>
      <c r="J437" s="365">
        <v>0</v>
      </c>
      <c r="K437" s="192"/>
      <c r="L437" s="366">
        <v>0</v>
      </c>
      <c r="M437" s="366">
        <v>0</v>
      </c>
      <c r="N437" s="366">
        <v>0</v>
      </c>
      <c r="O437" s="366">
        <v>0</v>
      </c>
      <c r="P437" s="366">
        <v>0</v>
      </c>
      <c r="Q437" s="367"/>
      <c r="R437" s="192"/>
      <c r="S437" s="192"/>
      <c r="T437" s="192"/>
      <c r="U437" s="192"/>
      <c r="V437" s="368">
        <v>0</v>
      </c>
      <c r="W437" s="192"/>
      <c r="X437" s="193"/>
      <c r="Y437" s="369"/>
      <c r="Z437" s="192"/>
      <c r="AA437" s="514"/>
      <c r="AB437" s="370"/>
      <c r="AC437" s="370"/>
      <c r="AD437" s="370"/>
      <c r="AE437" s="370">
        <v>100000</v>
      </c>
      <c r="AF437" s="370">
        <v>0</v>
      </c>
      <c r="AG437" s="370"/>
      <c r="AH437" s="371"/>
      <c r="AI437" s="372">
        <v>1</v>
      </c>
      <c r="AJ437" s="152" t="s">
        <v>143</v>
      </c>
      <c r="AK437" s="171"/>
      <c r="AL437" s="171"/>
      <c r="AM437" s="38"/>
      <c r="AN437" s="38"/>
      <c r="AO437" s="38"/>
      <c r="AP437" s="38"/>
      <c r="AQ437" s="38"/>
      <c r="AR437" s="38"/>
      <c r="AS437" s="38"/>
      <c r="AT437" s="38"/>
      <c r="AU437" s="38"/>
      <c r="AV437" s="38"/>
      <c r="AW437" s="38"/>
      <c r="AX437" s="38"/>
      <c r="AY437" s="38"/>
      <c r="AZ437" s="38"/>
      <c r="BA437" s="38"/>
      <c r="BB437" s="38"/>
      <c r="BC437" s="38"/>
      <c r="BD437" s="38"/>
      <c r="BE437" s="38"/>
      <c r="BF437" s="38"/>
    </row>
    <row r="438" spans="1:58" s="173" customFormat="1" ht="12.75" customHeight="1" hidden="1">
      <c r="A438" s="153"/>
      <c r="B438" s="359" t="s">
        <v>343</v>
      </c>
      <c r="C438" s="360" t="s">
        <v>343</v>
      </c>
      <c r="D438" s="361">
        <v>656080015</v>
      </c>
      <c r="E438" s="362">
        <v>801</v>
      </c>
      <c r="F438" s="363">
        <v>656</v>
      </c>
      <c r="G438" s="513">
        <v>4409900</v>
      </c>
      <c r="H438" s="364" t="s">
        <v>91</v>
      </c>
      <c r="I438" s="364">
        <v>310</v>
      </c>
      <c r="J438" s="365" t="s">
        <v>265</v>
      </c>
      <c r="K438" s="192"/>
      <c r="L438" s="366">
        <v>0</v>
      </c>
      <c r="M438" s="366">
        <v>100000</v>
      </c>
      <c r="N438" s="366">
        <v>0</v>
      </c>
      <c r="O438" s="366">
        <v>0</v>
      </c>
      <c r="P438" s="366">
        <v>100000</v>
      </c>
      <c r="Q438" s="367"/>
      <c r="R438" s="192"/>
      <c r="S438" s="192"/>
      <c r="T438" s="192"/>
      <c r="U438" s="192"/>
      <c r="V438" s="368">
        <v>0</v>
      </c>
      <c r="W438" s="192"/>
      <c r="X438" s="193"/>
      <c r="Y438" s="474"/>
      <c r="Z438" s="473"/>
      <c r="AA438" s="520"/>
      <c r="AB438" s="1493"/>
      <c r="AC438" s="1493"/>
      <c r="AD438" s="1493"/>
      <c r="AE438" s="521">
        <v>100000</v>
      </c>
      <c r="AF438" s="522">
        <v>0</v>
      </c>
      <c r="AG438" s="1493"/>
      <c r="AH438" s="1493"/>
      <c r="AI438" s="523">
        <v>1</v>
      </c>
      <c r="AJ438" s="152" t="s">
        <v>143</v>
      </c>
      <c r="AK438" s="171"/>
      <c r="AL438" s="171"/>
      <c r="AM438" s="38"/>
      <c r="AN438" s="38"/>
      <c r="AO438" s="38"/>
      <c r="AP438" s="38"/>
      <c r="AQ438" s="38"/>
      <c r="AR438" s="38"/>
      <c r="AS438" s="38"/>
      <c r="AT438" s="38"/>
      <c r="AU438" s="38"/>
      <c r="AV438" s="38"/>
      <c r="AW438" s="38"/>
      <c r="AX438" s="38"/>
      <c r="AY438" s="38"/>
      <c r="AZ438" s="38"/>
      <c r="BA438" s="38"/>
      <c r="BB438" s="38"/>
      <c r="BC438" s="38"/>
      <c r="BD438" s="38"/>
      <c r="BE438" s="38"/>
      <c r="BF438" s="38"/>
    </row>
    <row r="439" spans="1:58" s="173" customFormat="1" ht="30.75" customHeight="1" hidden="1">
      <c r="A439" s="153"/>
      <c r="B439" s="1492" t="s">
        <v>161</v>
      </c>
      <c r="C439" s="1492"/>
      <c r="D439" s="1492"/>
      <c r="E439" s="1492"/>
      <c r="F439" s="1492"/>
      <c r="G439" s="1492"/>
      <c r="H439" s="1492"/>
      <c r="I439" s="1492"/>
      <c r="J439" s="1492"/>
      <c r="K439" s="1420"/>
      <c r="L439" s="516">
        <v>0</v>
      </c>
      <c r="M439" s="517">
        <v>100000</v>
      </c>
      <c r="N439" s="517">
        <v>0</v>
      </c>
      <c r="O439" s="516">
        <v>0</v>
      </c>
      <c r="P439" s="517">
        <v>100000</v>
      </c>
      <c r="Q439" s="524"/>
      <c r="R439" s="373"/>
      <c r="S439" s="519"/>
      <c r="T439" s="373"/>
      <c r="U439" s="519"/>
      <c r="V439" s="472">
        <v>0</v>
      </c>
      <c r="W439" s="473"/>
      <c r="X439" s="254"/>
      <c r="Y439" s="786"/>
      <c r="Z439" s="786"/>
      <c r="AA439" s="786"/>
      <c r="AB439" s="786"/>
      <c r="AC439" s="786"/>
      <c r="AD439" s="786"/>
      <c r="AE439" s="786"/>
      <c r="AF439" s="786"/>
      <c r="AG439" s="786"/>
      <c r="AH439" s="786"/>
      <c r="AI439" s="786"/>
      <c r="AJ439" s="152" t="s">
        <v>143</v>
      </c>
      <c r="AK439" s="171"/>
      <c r="AL439" s="171"/>
      <c r="AM439" s="38"/>
      <c r="AN439" s="38"/>
      <c r="AO439" s="38"/>
      <c r="AP439" s="38"/>
      <c r="AQ439" s="38"/>
      <c r="AR439" s="38"/>
      <c r="AS439" s="38"/>
      <c r="AT439" s="38"/>
      <c r="AU439" s="38"/>
      <c r="AV439" s="38"/>
      <c r="AW439" s="38"/>
      <c r="AX439" s="38"/>
      <c r="AY439" s="38"/>
      <c r="AZ439" s="38"/>
      <c r="BA439" s="38"/>
      <c r="BB439" s="38"/>
      <c r="BC439" s="38"/>
      <c r="BD439" s="38"/>
      <c r="BE439" s="38"/>
      <c r="BF439" s="38"/>
    </row>
    <row r="440" spans="1:58" s="173" customFormat="1" ht="30.75" customHeight="1">
      <c r="A440" s="153"/>
      <c r="B440" s="1079"/>
      <c r="C440" s="1079"/>
      <c r="D440" s="1082"/>
      <c r="E440" s="1081"/>
      <c r="F440" s="1081"/>
      <c r="G440" s="1081"/>
      <c r="H440" s="1081"/>
      <c r="I440" s="1081"/>
      <c r="J440" s="1081"/>
      <c r="K440" s="1080"/>
      <c r="L440" s="516"/>
      <c r="M440" s="517"/>
      <c r="N440" s="517"/>
      <c r="O440" s="516"/>
      <c r="P440" s="517"/>
      <c r="Q440" s="524"/>
      <c r="R440" s="373"/>
      <c r="S440" s="519"/>
      <c r="T440" s="373"/>
      <c r="U440" s="519"/>
      <c r="V440" s="472"/>
      <c r="W440" s="473"/>
      <c r="X440" s="840"/>
      <c r="Y440" s="1083"/>
      <c r="Z440" s="1083"/>
      <c r="AA440" s="1083"/>
      <c r="AB440" s="786"/>
      <c r="AC440" s="786"/>
      <c r="AD440" s="786"/>
      <c r="AE440" s="786"/>
      <c r="AF440" s="786"/>
      <c r="AG440" s="786"/>
      <c r="AH440" s="786"/>
      <c r="AI440" s="786"/>
      <c r="AJ440" s="152"/>
      <c r="AK440" s="171"/>
      <c r="AL440" s="171"/>
      <c r="AM440" s="38"/>
      <c r="AN440" s="38"/>
      <c r="AO440" s="38"/>
      <c r="AP440" s="38"/>
      <c r="AQ440" s="38"/>
      <c r="AR440" s="38"/>
      <c r="AS440" s="38"/>
      <c r="AT440" s="38"/>
      <c r="AU440" s="38"/>
      <c r="AV440" s="38"/>
      <c r="AW440" s="38"/>
      <c r="AX440" s="38"/>
      <c r="AY440" s="38"/>
      <c r="AZ440" s="38"/>
      <c r="BA440" s="38"/>
      <c r="BB440" s="38"/>
      <c r="BC440" s="38"/>
      <c r="BD440" s="38"/>
      <c r="BE440" s="38"/>
      <c r="BF440" s="38"/>
    </row>
    <row r="441" spans="1:58" s="1109" customFormat="1" ht="26.25" customHeight="1">
      <c r="A441" s="1088"/>
      <c r="B441" s="1089" t="s">
        <v>344</v>
      </c>
      <c r="C441" s="1090" t="s">
        <v>344</v>
      </c>
      <c r="D441" s="1091">
        <v>656410016</v>
      </c>
      <c r="E441" s="1092">
        <v>801</v>
      </c>
      <c r="F441" s="1093">
        <v>656</v>
      </c>
      <c r="G441" s="1094" t="s">
        <v>684</v>
      </c>
      <c r="H441" s="1095">
        <v>244</v>
      </c>
      <c r="I441" s="1095">
        <v>226</v>
      </c>
      <c r="J441" s="1096">
        <v>0</v>
      </c>
      <c r="K441" s="1097"/>
      <c r="L441" s="1098">
        <v>65000</v>
      </c>
      <c r="M441" s="1098">
        <v>97000</v>
      </c>
      <c r="N441" s="1098">
        <v>73000</v>
      </c>
      <c r="O441" s="1098">
        <v>60400</v>
      </c>
      <c r="P441" s="1098">
        <v>295400</v>
      </c>
      <c r="Q441" s="1099">
        <f>R441+S441+T441+U441</f>
        <v>326000</v>
      </c>
      <c r="R441" s="1097">
        <v>81500</v>
      </c>
      <c r="S441" s="1097">
        <f>81500+20000</f>
        <v>101500</v>
      </c>
      <c r="T441" s="1097">
        <v>81500</v>
      </c>
      <c r="U441" s="1097">
        <f>81500-20000</f>
        <v>61500</v>
      </c>
      <c r="V441" s="1100">
        <v>232200</v>
      </c>
      <c r="W441" s="1098" t="s">
        <v>685</v>
      </c>
      <c r="X441" s="1101"/>
      <c r="Y441" s="1508" t="s">
        <v>580</v>
      </c>
      <c r="Z441" s="1100"/>
      <c r="AA441" s="1100"/>
      <c r="AB441" s="1102"/>
      <c r="AC441" s="1102"/>
      <c r="AD441" s="1102"/>
      <c r="AE441" s="1102">
        <v>38563.15</v>
      </c>
      <c r="AF441" s="1102">
        <v>0</v>
      </c>
      <c r="AG441" s="1102"/>
      <c r="AH441" s="1103"/>
      <c r="AI441" s="1104">
        <v>0.4322690027014605</v>
      </c>
      <c r="AJ441" s="1105" t="s">
        <v>143</v>
      </c>
      <c r="AK441" s="1106"/>
      <c r="AL441" s="1106"/>
      <c r="AM441" s="1107"/>
      <c r="AN441" s="1108">
        <f>Z442+Z340+Z419</f>
        <v>0</v>
      </c>
      <c r="AO441" s="1107"/>
      <c r="AP441" s="1107"/>
      <c r="AQ441" s="1107"/>
      <c r="AR441" s="1107"/>
      <c r="AS441" s="1107"/>
      <c r="AT441" s="1107"/>
      <c r="AU441" s="1107"/>
      <c r="AV441" s="1107"/>
      <c r="AW441" s="1107"/>
      <c r="AX441" s="1107"/>
      <c r="AY441" s="1107"/>
      <c r="AZ441" s="1107"/>
      <c r="BA441" s="1107"/>
      <c r="BB441" s="1107"/>
      <c r="BC441" s="1107"/>
      <c r="BD441" s="1107"/>
      <c r="BE441" s="1107"/>
      <c r="BF441" s="1107"/>
    </row>
    <row r="442" spans="1:58" s="1109" customFormat="1" ht="12" customHeight="1">
      <c r="A442" s="1088"/>
      <c r="B442" s="1089" t="s">
        <v>344</v>
      </c>
      <c r="C442" s="1090" t="s">
        <v>344</v>
      </c>
      <c r="D442" s="1091"/>
      <c r="E442" s="1092">
        <v>801</v>
      </c>
      <c r="F442" s="1093">
        <v>656</v>
      </c>
      <c r="G442" s="1094" t="s">
        <v>684</v>
      </c>
      <c r="H442" s="1095">
        <v>119</v>
      </c>
      <c r="I442" s="1095">
        <v>213</v>
      </c>
      <c r="J442" s="1096">
        <v>0</v>
      </c>
      <c r="K442" s="1097"/>
      <c r="L442" s="1098">
        <v>21000</v>
      </c>
      <c r="M442" s="1098">
        <v>24000</v>
      </c>
      <c r="N442" s="1098">
        <v>29000</v>
      </c>
      <c r="O442" s="1098">
        <v>15211</v>
      </c>
      <c r="P442" s="1098">
        <v>89211</v>
      </c>
      <c r="Q442" s="1097">
        <f>R442+S442+T442+U442</f>
        <v>0</v>
      </c>
      <c r="R442" s="1097">
        <f>V442-S442-T442-U442</f>
        <v>-73839</v>
      </c>
      <c r="S442" s="1097">
        <f>S441*30.2%</f>
        <v>30653</v>
      </c>
      <c r="T442" s="1097">
        <f>T441*30.2%</f>
        <v>24613</v>
      </c>
      <c r="U442" s="1097">
        <f>U441*30.2%</f>
        <v>18573</v>
      </c>
      <c r="V442" s="1100"/>
      <c r="W442" s="1097"/>
      <c r="X442" s="1101">
        <v>25800</v>
      </c>
      <c r="Y442" s="1509"/>
      <c r="Z442" s="1111">
        <f>Z439+Z441</f>
        <v>0</v>
      </c>
      <c r="AA442" s="1111">
        <f>AA439+AA441</f>
        <v>0</v>
      </c>
      <c r="AB442" s="1494"/>
      <c r="AC442" s="1494"/>
      <c r="AD442" s="1494"/>
      <c r="AE442" s="1112">
        <v>249246.77</v>
      </c>
      <c r="AF442" s="1113">
        <v>0</v>
      </c>
      <c r="AG442" s="1494"/>
      <c r="AH442" s="1494"/>
      <c r="AI442" s="1114">
        <v>0.6480489897584832</v>
      </c>
      <c r="AJ442" s="1105" t="s">
        <v>143</v>
      </c>
      <c r="AK442" s="1106"/>
      <c r="AL442" s="1106"/>
      <c r="AM442" s="1108">
        <f>Z442+Z419</f>
        <v>0</v>
      </c>
      <c r="AN442" s="1108">
        <f>AA419+AA442</f>
        <v>0</v>
      </c>
      <c r="AO442" s="1107"/>
      <c r="AP442" s="1107"/>
      <c r="AQ442" s="1107"/>
      <c r="AR442" s="1107"/>
      <c r="AS442" s="1107"/>
      <c r="AT442" s="1107"/>
      <c r="AU442" s="1107"/>
      <c r="AV442" s="1107"/>
      <c r="AW442" s="1107"/>
      <c r="AX442" s="1107"/>
      <c r="AY442" s="1107"/>
      <c r="AZ442" s="1107"/>
      <c r="BA442" s="1107"/>
      <c r="BB442" s="1107"/>
      <c r="BC442" s="1107"/>
      <c r="BD442" s="1107"/>
      <c r="BE442" s="1107"/>
      <c r="BF442" s="1107"/>
    </row>
    <row r="443" spans="1:58" s="1109" customFormat="1" ht="12" customHeight="1">
      <c r="A443" s="1088"/>
      <c r="B443" s="1125"/>
      <c r="C443" s="1124"/>
      <c r="D443" s="1091"/>
      <c r="E443" s="1126"/>
      <c r="F443" s="1127"/>
      <c r="G443" s="1128" t="s">
        <v>684</v>
      </c>
      <c r="H443" s="1129"/>
      <c r="I443" s="1129"/>
      <c r="J443" s="1130"/>
      <c r="K443" s="1131"/>
      <c r="L443" s="1132"/>
      <c r="M443" s="1098"/>
      <c r="N443" s="1098"/>
      <c r="O443" s="1132"/>
      <c r="P443" s="1098"/>
      <c r="Q443" s="1131"/>
      <c r="R443" s="1133"/>
      <c r="S443" s="1133"/>
      <c r="T443" s="1133"/>
      <c r="U443" s="1133"/>
      <c r="V443" s="1134"/>
      <c r="W443" s="1133"/>
      <c r="X443" s="1135">
        <v>5160</v>
      </c>
      <c r="Y443" s="1510"/>
      <c r="Z443" s="1136"/>
      <c r="AA443" s="1136"/>
      <c r="AB443" s="1123"/>
      <c r="AC443" s="1123"/>
      <c r="AD443" s="1123"/>
      <c r="AE443" s="1112"/>
      <c r="AF443" s="1113"/>
      <c r="AG443" s="1123"/>
      <c r="AH443" s="1123"/>
      <c r="AI443" s="1114"/>
      <c r="AJ443" s="1105"/>
      <c r="AK443" s="1106"/>
      <c r="AL443" s="1106"/>
      <c r="AM443" s="1108"/>
      <c r="AN443" s="1108"/>
      <c r="AO443" s="1107"/>
      <c r="AP443" s="1107"/>
      <c r="AQ443" s="1107"/>
      <c r="AR443" s="1107"/>
      <c r="AS443" s="1107"/>
      <c r="AT443" s="1107"/>
      <c r="AU443" s="1107"/>
      <c r="AV443" s="1107"/>
      <c r="AW443" s="1107"/>
      <c r="AX443" s="1107"/>
      <c r="AY443" s="1107"/>
      <c r="AZ443" s="1107"/>
      <c r="BA443" s="1107"/>
      <c r="BB443" s="1107"/>
      <c r="BC443" s="1107"/>
      <c r="BD443" s="1107"/>
      <c r="BE443" s="1107"/>
      <c r="BF443" s="1107"/>
    </row>
    <row r="444" spans="1:58" s="1109" customFormat="1" ht="12.75" customHeight="1">
      <c r="A444" s="1088"/>
      <c r="B444" s="1495" t="s">
        <v>161</v>
      </c>
      <c r="C444" s="1495"/>
      <c r="D444" s="1495"/>
      <c r="E444" s="1495"/>
      <c r="F444" s="1495"/>
      <c r="G444" s="1495"/>
      <c r="H444" s="1495"/>
      <c r="I444" s="1495"/>
      <c r="J444" s="1495"/>
      <c r="K444" s="1496"/>
      <c r="L444" s="1115">
        <v>86000</v>
      </c>
      <c r="M444" s="1116">
        <v>121000</v>
      </c>
      <c r="N444" s="1116">
        <v>102000</v>
      </c>
      <c r="O444" s="1115">
        <v>75611</v>
      </c>
      <c r="P444" s="1116">
        <v>384611</v>
      </c>
      <c r="Q444" s="1117">
        <f>R444+S444+T444+U444</f>
        <v>326000</v>
      </c>
      <c r="R444" s="1111">
        <f>R441+R442</f>
        <v>7661</v>
      </c>
      <c r="S444" s="1111">
        <f>S441+S442</f>
        <v>132153</v>
      </c>
      <c r="T444" s="1111">
        <f>T441+T442</f>
        <v>106113</v>
      </c>
      <c r="U444" s="1111">
        <f>U441+U442</f>
        <v>80073</v>
      </c>
      <c r="V444" s="1111">
        <f>V441+V442</f>
        <v>232200</v>
      </c>
      <c r="W444" s="1110">
        <f>V428+X428+V444</f>
        <v>237200</v>
      </c>
      <c r="X444" s="1111">
        <f>X441+X442+X443</f>
        <v>30960</v>
      </c>
      <c r="Y444" s="1090"/>
      <c r="Z444" s="1090"/>
      <c r="AA444" s="1090"/>
      <c r="AB444" s="1090"/>
      <c r="AC444" s="1090"/>
      <c r="AD444" s="1090"/>
      <c r="AE444" s="1090"/>
      <c r="AF444" s="1090"/>
      <c r="AG444" s="1090"/>
      <c r="AH444" s="1090"/>
      <c r="AI444" s="1090"/>
      <c r="AJ444" s="1105" t="s">
        <v>143</v>
      </c>
      <c r="AK444" s="1106"/>
      <c r="AL444" s="1106"/>
      <c r="AM444" s="1108">
        <f>AA442+AA419</f>
        <v>0</v>
      </c>
      <c r="AN444" s="1107"/>
      <c r="AO444" s="1107"/>
      <c r="AP444" s="1107"/>
      <c r="AQ444" s="1107"/>
      <c r="AR444" s="1107"/>
      <c r="AS444" s="1107"/>
      <c r="AT444" s="1107"/>
      <c r="AU444" s="1107"/>
      <c r="AV444" s="1107"/>
      <c r="AW444" s="1107"/>
      <c r="AX444" s="1107"/>
      <c r="AY444" s="1107"/>
      <c r="AZ444" s="1107"/>
      <c r="BA444" s="1107"/>
      <c r="BB444" s="1107"/>
      <c r="BC444" s="1107"/>
      <c r="BD444" s="1107"/>
      <c r="BE444" s="1107"/>
      <c r="BF444" s="1107"/>
    </row>
    <row r="445" spans="1:58" s="173" customFormat="1" ht="12.75" customHeight="1">
      <c r="A445" s="151"/>
      <c r="B445" s="588"/>
      <c r="C445" s="589"/>
      <c r="D445" s="784" t="s">
        <v>346</v>
      </c>
      <c r="E445" s="784"/>
      <c r="F445" s="784"/>
      <c r="G445" s="784"/>
      <c r="H445" s="784"/>
      <c r="I445" s="784"/>
      <c r="J445" s="784"/>
      <c r="K445" s="784"/>
      <c r="L445" s="784"/>
      <c r="M445" s="784"/>
      <c r="N445" s="784"/>
      <c r="O445" s="784"/>
      <c r="P445" s="784"/>
      <c r="Q445" s="784"/>
      <c r="R445" s="784"/>
      <c r="S445" s="784"/>
      <c r="T445" s="784"/>
      <c r="U445" s="784"/>
      <c r="V445" s="784"/>
      <c r="W445" s="784"/>
      <c r="X445" s="784"/>
      <c r="Y445" s="155"/>
      <c r="Z445" s="155"/>
      <c r="AA445" s="155"/>
      <c r="AB445" s="155"/>
      <c r="AC445" s="155"/>
      <c r="AD445" s="155"/>
      <c r="AE445" s="155"/>
      <c r="AF445" s="155"/>
      <c r="AG445" s="155"/>
      <c r="AH445" s="155"/>
      <c r="AI445" s="155"/>
      <c r="AJ445" s="152" t="s">
        <v>143</v>
      </c>
      <c r="AK445" s="171"/>
      <c r="AL445" s="171"/>
      <c r="AM445" s="38"/>
      <c r="AN445" s="38"/>
      <c r="AO445" s="38"/>
      <c r="AP445" s="38"/>
      <c r="AQ445" s="38"/>
      <c r="AR445" s="38"/>
      <c r="AS445" s="38"/>
      <c r="AT445" s="38"/>
      <c r="AU445" s="38"/>
      <c r="AV445" s="38"/>
      <c r="AW445" s="38"/>
      <c r="AX445" s="38"/>
      <c r="AY445" s="38"/>
      <c r="AZ445" s="38"/>
      <c r="BA445" s="38"/>
      <c r="BB445" s="38"/>
      <c r="BC445" s="38"/>
      <c r="BD445" s="38"/>
      <c r="BE445" s="38"/>
      <c r="BF445" s="38"/>
    </row>
    <row r="446" spans="1:58" s="173" customFormat="1" ht="12.75" customHeight="1">
      <c r="A446" s="151"/>
      <c r="B446" s="1049"/>
      <c r="C446" s="1050"/>
      <c r="D446" s="784"/>
      <c r="E446" s="784"/>
      <c r="F446" s="784"/>
      <c r="G446" s="784"/>
      <c r="H446" s="784"/>
      <c r="I446" s="784"/>
      <c r="J446" s="784"/>
      <c r="K446" s="784"/>
      <c r="L446" s="784"/>
      <c r="M446" s="784"/>
      <c r="N446" s="784"/>
      <c r="O446" s="784"/>
      <c r="P446" s="784"/>
      <c r="Q446" s="784"/>
      <c r="R446" s="784"/>
      <c r="S446" s="784"/>
      <c r="T446" s="784"/>
      <c r="U446" s="784"/>
      <c r="V446" s="784"/>
      <c r="W446" s="784"/>
      <c r="X446" s="784"/>
      <c r="Y446" s="175"/>
      <c r="Z446" s="546">
        <f>12130*1.5*2.2*13</f>
        <v>520377</v>
      </c>
      <c r="AA446" s="546">
        <f>12130*1.5*2.2*13</f>
        <v>520377</v>
      </c>
      <c r="AB446" s="155"/>
      <c r="AC446" s="155"/>
      <c r="AD446" s="155"/>
      <c r="AE446" s="155"/>
      <c r="AF446" s="155"/>
      <c r="AG446" s="155"/>
      <c r="AH446" s="155"/>
      <c r="AI446" s="155"/>
      <c r="AJ446" s="152"/>
      <c r="AK446" s="171"/>
      <c r="AL446" s="171"/>
      <c r="AM446" s="38"/>
      <c r="AN446" s="38"/>
      <c r="AO446" s="38"/>
      <c r="AP446" s="38"/>
      <c r="AQ446" s="38"/>
      <c r="AR446" s="38"/>
      <c r="AS446" s="38"/>
      <c r="AT446" s="38"/>
      <c r="AU446" s="38"/>
      <c r="AV446" s="38"/>
      <c r="AW446" s="38"/>
      <c r="AX446" s="38"/>
      <c r="AY446" s="38"/>
      <c r="AZ446" s="38"/>
      <c r="BA446" s="38"/>
      <c r="BB446" s="38"/>
      <c r="BC446" s="38"/>
      <c r="BD446" s="38"/>
      <c r="BE446" s="38"/>
      <c r="BF446" s="38"/>
    </row>
    <row r="447" spans="1:58" s="173" customFormat="1" ht="26.25" customHeight="1">
      <c r="A447" s="153"/>
      <c r="B447" s="154" t="s">
        <v>344</v>
      </c>
      <c r="C447" s="155" t="s">
        <v>344</v>
      </c>
      <c r="D447" s="545">
        <v>656410016</v>
      </c>
      <c r="E447" s="157">
        <v>802</v>
      </c>
      <c r="F447" s="158">
        <v>656</v>
      </c>
      <c r="G447" s="250" t="s">
        <v>471</v>
      </c>
      <c r="H447" s="160" t="s">
        <v>190</v>
      </c>
      <c r="I447" s="160">
        <v>211</v>
      </c>
      <c r="J447" s="161">
        <v>0</v>
      </c>
      <c r="K447" s="162"/>
      <c r="L447" s="163">
        <v>65000</v>
      </c>
      <c r="M447" s="163">
        <v>97000</v>
      </c>
      <c r="N447" s="163">
        <v>73000</v>
      </c>
      <c r="O447" s="163">
        <v>60400</v>
      </c>
      <c r="P447" s="163">
        <v>295400</v>
      </c>
      <c r="Q447" s="167">
        <f>R447+S447+T447+U447</f>
        <v>326000</v>
      </c>
      <c r="R447" s="162">
        <v>81500</v>
      </c>
      <c r="S447" s="162">
        <f>81500+20000</f>
        <v>101500</v>
      </c>
      <c r="T447" s="162">
        <v>81500</v>
      </c>
      <c r="U447" s="162">
        <f>81500-20000</f>
        <v>61500</v>
      </c>
      <c r="V447" s="546">
        <f>12130*1.5*2.2*13</f>
        <v>520377</v>
      </c>
      <c r="W447" s="163" t="s">
        <v>578</v>
      </c>
      <c r="X447" s="193"/>
      <c r="Y447" s="194"/>
      <c r="Z447" s="546">
        <f>Z446*30.2%+0.4</f>
        <v>157154.254</v>
      </c>
      <c r="AA447" s="546">
        <f>AA446*30.2%+0.4</f>
        <v>157154.254</v>
      </c>
      <c r="AB447" s="168"/>
      <c r="AC447" s="168"/>
      <c r="AD447" s="168"/>
      <c r="AE447" s="168">
        <v>38563.15</v>
      </c>
      <c r="AF447" s="168">
        <v>0</v>
      </c>
      <c r="AG447" s="168"/>
      <c r="AH447" s="169"/>
      <c r="AI447" s="170">
        <v>0.4322690027014605</v>
      </c>
      <c r="AJ447" s="152" t="s">
        <v>143</v>
      </c>
      <c r="AK447" s="171"/>
      <c r="AL447" s="171"/>
      <c r="AM447" s="38"/>
      <c r="AN447" s="172">
        <f>Z448+Z345+Z424</f>
        <v>9293032.044</v>
      </c>
      <c r="AO447" s="38"/>
      <c r="AP447" s="38"/>
      <c r="AQ447" s="38"/>
      <c r="AR447" s="38"/>
      <c r="AS447" s="38"/>
      <c r="AT447" s="38"/>
      <c r="AU447" s="38"/>
      <c r="AV447" s="38"/>
      <c r="AW447" s="38"/>
      <c r="AX447" s="38"/>
      <c r="AY447" s="38"/>
      <c r="AZ447" s="38"/>
      <c r="BA447" s="38"/>
      <c r="BB447" s="38"/>
      <c r="BC447" s="38"/>
      <c r="BD447" s="38"/>
      <c r="BE447" s="38"/>
      <c r="BF447" s="38"/>
    </row>
    <row r="448" spans="1:58" s="173" customFormat="1" ht="12" customHeight="1">
      <c r="A448" s="153"/>
      <c r="B448" s="154" t="s">
        <v>344</v>
      </c>
      <c r="C448" s="155" t="s">
        <v>344</v>
      </c>
      <c r="D448" s="545"/>
      <c r="E448" s="157">
        <v>802</v>
      </c>
      <c r="F448" s="158">
        <v>656</v>
      </c>
      <c r="G448" s="250" t="s">
        <v>471</v>
      </c>
      <c r="H448" s="160">
        <v>119</v>
      </c>
      <c r="I448" s="160">
        <v>213</v>
      </c>
      <c r="J448" s="161">
        <v>0</v>
      </c>
      <c r="K448" s="162"/>
      <c r="L448" s="163">
        <v>21000</v>
      </c>
      <c r="M448" s="163">
        <v>24000</v>
      </c>
      <c r="N448" s="163">
        <v>29000</v>
      </c>
      <c r="O448" s="163">
        <v>15211</v>
      </c>
      <c r="P448" s="163">
        <v>89211</v>
      </c>
      <c r="Q448" s="162">
        <f>R448+S448+T448+U448</f>
        <v>157154.254</v>
      </c>
      <c r="R448" s="162">
        <f>V448-S448-T448-U448</f>
        <v>83315.25399999999</v>
      </c>
      <c r="S448" s="162">
        <f>S447*30.2%</f>
        <v>30653</v>
      </c>
      <c r="T448" s="162">
        <f>T447*30.2%</f>
        <v>24613</v>
      </c>
      <c r="U448" s="162">
        <f>U447*30.2%</f>
        <v>18573</v>
      </c>
      <c r="V448" s="546">
        <f>V447*30.2%+0.4</f>
        <v>157154.254</v>
      </c>
      <c r="W448" s="162"/>
      <c r="X448" s="193"/>
      <c r="Y448" s="255"/>
      <c r="Z448" s="534">
        <f>Z446+Z447</f>
        <v>677531.254</v>
      </c>
      <c r="AA448" s="534">
        <f>AA446+AA447</f>
        <v>677531.254</v>
      </c>
      <c r="AB448" s="1487"/>
      <c r="AC448" s="1487"/>
      <c r="AD448" s="1487"/>
      <c r="AE448" s="184">
        <v>249246.77</v>
      </c>
      <c r="AF448" s="185">
        <v>0</v>
      </c>
      <c r="AG448" s="1487"/>
      <c r="AH448" s="1487"/>
      <c r="AI448" s="186">
        <v>0.6480489897584832</v>
      </c>
      <c r="AJ448" s="152" t="s">
        <v>143</v>
      </c>
      <c r="AK448" s="171"/>
      <c r="AL448" s="171"/>
      <c r="AM448" s="172">
        <f>Z448+Z424</f>
        <v>9293032.044</v>
      </c>
      <c r="AN448" s="172">
        <f>AA424+AA448</f>
        <v>9293032.044</v>
      </c>
      <c r="AO448" s="38"/>
      <c r="AP448" s="38"/>
      <c r="AQ448" s="38"/>
      <c r="AR448" s="38"/>
      <c r="AS448" s="38"/>
      <c r="AT448" s="38"/>
      <c r="AU448" s="38"/>
      <c r="AV448" s="38"/>
      <c r="AW448" s="38"/>
      <c r="AX448" s="38"/>
      <c r="AY448" s="38"/>
      <c r="AZ448" s="38"/>
      <c r="BA448" s="38"/>
      <c r="BB448" s="38"/>
      <c r="BC448" s="38"/>
      <c r="BD448" s="38"/>
      <c r="BE448" s="38"/>
      <c r="BF448" s="38"/>
    </row>
    <row r="449" spans="1:39" ht="12.75" customHeight="1">
      <c r="A449" s="153"/>
      <c r="B449" s="1486" t="s">
        <v>161</v>
      </c>
      <c r="C449" s="1486"/>
      <c r="D449" s="1486"/>
      <c r="E449" s="1486"/>
      <c r="F449" s="1486"/>
      <c r="G449" s="1486"/>
      <c r="H449" s="1486"/>
      <c r="I449" s="1486"/>
      <c r="J449" s="1486"/>
      <c r="K449" s="1413"/>
      <c r="L449" s="177">
        <v>86000</v>
      </c>
      <c r="M449" s="178">
        <v>121000</v>
      </c>
      <c r="N449" s="178">
        <v>102000</v>
      </c>
      <c r="O449" s="177">
        <v>75611</v>
      </c>
      <c r="P449" s="178">
        <v>384611</v>
      </c>
      <c r="Q449" s="322">
        <f>R449+S449+T449+U449</f>
        <v>483154.25399999996</v>
      </c>
      <c r="R449" s="252">
        <f>R447+R448</f>
        <v>164815.254</v>
      </c>
      <c r="S449" s="252">
        <f>S447+S448</f>
        <v>132153</v>
      </c>
      <c r="T449" s="252">
        <f>T447+T448</f>
        <v>106113</v>
      </c>
      <c r="U449" s="252">
        <f>U447+U448</f>
        <v>80073</v>
      </c>
      <c r="V449" s="534">
        <f>V447+V448</f>
        <v>677531.254</v>
      </c>
      <c r="W449" s="255">
        <f>V435+X435+V449+V444+X444</f>
        <v>9134087.074</v>
      </c>
      <c r="X449" s="252">
        <f>X447+X448</f>
        <v>0</v>
      </c>
      <c r="Y449" s="155"/>
      <c r="Z449" s="155"/>
      <c r="AA449" s="155"/>
      <c r="AB449" s="155"/>
      <c r="AC449" s="155"/>
      <c r="AD449" s="155"/>
      <c r="AE449" s="155"/>
      <c r="AF449" s="155"/>
      <c r="AG449" s="155"/>
      <c r="AH449" s="155"/>
      <c r="AI449" s="155"/>
      <c r="AJ449" s="152" t="s">
        <v>143</v>
      </c>
      <c r="AK449" s="30"/>
      <c r="AL449" s="30"/>
      <c r="AM449" s="172">
        <f>AA448+AA424</f>
        <v>9293032.044</v>
      </c>
    </row>
    <row r="450" spans="1:38" ht="0.75" customHeight="1">
      <c r="A450" s="151"/>
      <c r="B450" s="155" t="s">
        <v>347</v>
      </c>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94"/>
      <c r="Z450" s="591">
        <v>0</v>
      </c>
      <c r="AA450" s="591">
        <v>0</v>
      </c>
      <c r="AB450" s="168"/>
      <c r="AC450" s="168"/>
      <c r="AD450" s="168"/>
      <c r="AE450" s="168">
        <v>942.75</v>
      </c>
      <c r="AF450" s="168">
        <v>0</v>
      </c>
      <c r="AG450" s="168"/>
      <c r="AH450" s="169"/>
      <c r="AI450" s="170">
        <v>0.6369932432432434</v>
      </c>
      <c r="AJ450" s="152" t="s">
        <v>143</v>
      </c>
      <c r="AK450" s="30"/>
      <c r="AL450" s="30"/>
    </row>
    <row r="451" spans="1:38" ht="12.75" customHeight="1" hidden="1">
      <c r="A451" s="151"/>
      <c r="B451" s="154" t="s">
        <v>347</v>
      </c>
      <c r="C451" s="155" t="s">
        <v>347</v>
      </c>
      <c r="D451" s="156">
        <v>656080022</v>
      </c>
      <c r="E451" s="157">
        <v>802</v>
      </c>
      <c r="F451" s="158">
        <v>656</v>
      </c>
      <c r="G451" s="250">
        <v>4409900</v>
      </c>
      <c r="H451" s="160" t="s">
        <v>91</v>
      </c>
      <c r="I451" s="160">
        <v>226</v>
      </c>
      <c r="J451" s="161">
        <v>0</v>
      </c>
      <c r="K451" s="162"/>
      <c r="L451" s="165">
        <v>1480</v>
      </c>
      <c r="M451" s="165">
        <v>0</v>
      </c>
      <c r="N451" s="165">
        <v>0</v>
      </c>
      <c r="O451" s="165">
        <v>0</v>
      </c>
      <c r="P451" s="165">
        <v>1480</v>
      </c>
      <c r="Q451" s="167"/>
      <c r="R451" s="481">
        <v>600</v>
      </c>
      <c r="S451" s="481">
        <v>600</v>
      </c>
      <c r="T451" s="481">
        <v>600</v>
      </c>
      <c r="U451" s="481">
        <f>V451-T451-S451-R451</f>
        <v>-1800</v>
      </c>
      <c r="V451" s="591">
        <v>0</v>
      </c>
      <c r="W451" s="162"/>
      <c r="X451" s="193"/>
      <c r="Y451" s="255"/>
      <c r="Z451" s="411">
        <f>Z450</f>
        <v>0</v>
      </c>
      <c r="AA451" s="411">
        <f>AA450</f>
        <v>0</v>
      </c>
      <c r="AB451" s="1487"/>
      <c r="AC451" s="1487"/>
      <c r="AD451" s="1487"/>
      <c r="AE451" s="184">
        <v>942.75</v>
      </c>
      <c r="AF451" s="185">
        <v>0</v>
      </c>
      <c r="AG451" s="1487"/>
      <c r="AH451" s="1487"/>
      <c r="AI451" s="186">
        <v>0.6369932432432434</v>
      </c>
      <c r="AJ451" s="152" t="s">
        <v>143</v>
      </c>
      <c r="AK451" s="30"/>
      <c r="AL451" s="30"/>
    </row>
    <row r="452" spans="1:38" ht="13.5" customHeight="1" hidden="1">
      <c r="A452" s="151"/>
      <c r="B452" s="1486" t="s">
        <v>161</v>
      </c>
      <c r="C452" s="1486"/>
      <c r="D452" s="1486"/>
      <c r="E452" s="1486"/>
      <c r="F452" s="1486"/>
      <c r="G452" s="1486"/>
      <c r="H452" s="1486"/>
      <c r="I452" s="1486"/>
      <c r="J452" s="1486"/>
      <c r="K452" s="1413"/>
      <c r="L452" s="408">
        <v>1480</v>
      </c>
      <c r="M452" s="180">
        <v>0</v>
      </c>
      <c r="N452" s="180">
        <v>0</v>
      </c>
      <c r="O452" s="408">
        <v>0</v>
      </c>
      <c r="P452" s="180">
        <v>1480</v>
      </c>
      <c r="Q452" s="164"/>
      <c r="R452" s="411">
        <f>R451</f>
        <v>600</v>
      </c>
      <c r="S452" s="411">
        <f>S451</f>
        <v>600</v>
      </c>
      <c r="T452" s="411">
        <f>T451</f>
        <v>600</v>
      </c>
      <c r="U452" s="411">
        <f>U451</f>
        <v>-1800</v>
      </c>
      <c r="V452" s="411">
        <f>V451</f>
        <v>0</v>
      </c>
      <c r="W452" s="253"/>
      <c r="X452" s="254"/>
      <c r="Y452" s="148"/>
      <c r="Z452" s="140"/>
      <c r="AA452" s="140"/>
      <c r="AB452" s="149"/>
      <c r="AC452" s="149"/>
      <c r="AD452" s="149"/>
      <c r="AE452" s="149"/>
      <c r="AF452" s="149"/>
      <c r="AG452" s="149"/>
      <c r="AH452" s="149"/>
      <c r="AI452" s="150"/>
      <c r="AJ452" s="107"/>
      <c r="AK452" s="30"/>
      <c r="AL452" s="30"/>
    </row>
    <row r="453" spans="1:39" ht="18" customHeight="1">
      <c r="A453" s="30"/>
      <c r="B453" s="138"/>
      <c r="C453" s="138"/>
      <c r="D453" s="139" t="s">
        <v>557</v>
      </c>
      <c r="E453" s="140"/>
      <c r="F453" s="140"/>
      <c r="G453" s="140"/>
      <c r="H453" s="140"/>
      <c r="I453" s="140"/>
      <c r="J453" s="141"/>
      <c r="K453" s="142"/>
      <c r="L453" s="143"/>
      <c r="M453" s="143"/>
      <c r="N453" s="143"/>
      <c r="O453" s="143"/>
      <c r="P453" s="143"/>
      <c r="Q453" s="144"/>
      <c r="R453" s="142"/>
      <c r="S453" s="145"/>
      <c r="T453" s="140"/>
      <c r="U453" s="146"/>
      <c r="V453" s="140"/>
      <c r="W453" s="140"/>
      <c r="X453" s="147"/>
      <c r="Y453" s="783"/>
      <c r="Z453" s="783"/>
      <c r="AA453" s="783"/>
      <c r="AB453" s="183"/>
      <c r="AC453" s="183"/>
      <c r="AD453" s="183"/>
      <c r="AE453" s="249"/>
      <c r="AF453" s="249"/>
      <c r="AG453" s="183"/>
      <c r="AH453" s="183"/>
      <c r="AI453" s="186"/>
      <c r="AJ453" s="152"/>
      <c r="AK453" s="30"/>
      <c r="AL453" s="30"/>
      <c r="AM453" s="83">
        <f>AM448-9293028.35</f>
        <v>3.6940000001341105</v>
      </c>
    </row>
    <row r="454" spans="1:58" s="173" customFormat="1" ht="12.75" customHeight="1">
      <c r="A454" s="151"/>
      <c r="B454" s="174"/>
      <c r="C454" s="175"/>
      <c r="D454" s="783" t="s">
        <v>348</v>
      </c>
      <c r="E454" s="783"/>
      <c r="F454" s="783"/>
      <c r="G454" s="783"/>
      <c r="H454" s="783"/>
      <c r="I454" s="783"/>
      <c r="J454" s="783"/>
      <c r="K454" s="783"/>
      <c r="L454" s="783"/>
      <c r="M454" s="783"/>
      <c r="N454" s="783"/>
      <c r="O454" s="783"/>
      <c r="P454" s="783"/>
      <c r="Q454" s="783"/>
      <c r="R454" s="783"/>
      <c r="S454" s="783"/>
      <c r="T454" s="783"/>
      <c r="U454" s="783"/>
      <c r="V454" s="783"/>
      <c r="W454" s="783"/>
      <c r="X454" s="783"/>
      <c r="Y454" s="155"/>
      <c r="Z454" s="155"/>
      <c r="AA454" s="155"/>
      <c r="AB454" s="155"/>
      <c r="AC454" s="155"/>
      <c r="AD454" s="155"/>
      <c r="AE454" s="155"/>
      <c r="AF454" s="155"/>
      <c r="AG454" s="155"/>
      <c r="AH454" s="155"/>
      <c r="AI454" s="155"/>
      <c r="AJ454" s="152" t="s">
        <v>143</v>
      </c>
      <c r="AK454" s="171"/>
      <c r="AL454" s="171"/>
      <c r="AM454" s="38"/>
      <c r="AN454" s="38"/>
      <c r="AO454" s="38"/>
      <c r="AP454" s="38"/>
      <c r="AQ454" s="38"/>
      <c r="AR454" s="38"/>
      <c r="AS454" s="38"/>
      <c r="AT454" s="38"/>
      <c r="AU454" s="38"/>
      <c r="AV454" s="38"/>
      <c r="AW454" s="38"/>
      <c r="AX454" s="38"/>
      <c r="AY454" s="38"/>
      <c r="AZ454" s="38"/>
      <c r="BA454" s="38"/>
      <c r="BB454" s="38"/>
      <c r="BC454" s="38"/>
      <c r="BD454" s="38"/>
      <c r="BE454" s="38"/>
      <c r="BF454" s="38"/>
    </row>
    <row r="455" spans="1:58" s="173" customFormat="1" ht="12.75" customHeight="1">
      <c r="A455" s="153"/>
      <c r="B455" s="155" t="s">
        <v>349</v>
      </c>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94"/>
      <c r="Z455" s="195">
        <f>60000+12*25000</f>
        <v>360000</v>
      </c>
      <c r="AA455" s="195">
        <f>60000+12*25000</f>
        <v>360000</v>
      </c>
      <c r="AB455" s="168"/>
      <c r="AC455" s="168"/>
      <c r="AD455" s="168"/>
      <c r="AE455" s="168">
        <v>85000</v>
      </c>
      <c r="AF455" s="168">
        <v>0</v>
      </c>
      <c r="AG455" s="168"/>
      <c r="AH455" s="169"/>
      <c r="AI455" s="170">
        <v>0.7083333333333334</v>
      </c>
      <c r="AJ455" s="152" t="s">
        <v>143</v>
      </c>
      <c r="AK455" s="171"/>
      <c r="AL455" s="171"/>
      <c r="AM455" s="38"/>
      <c r="AN455" s="38"/>
      <c r="AO455" s="38"/>
      <c r="AP455" s="38"/>
      <c r="AQ455" s="38"/>
      <c r="AR455" s="38"/>
      <c r="AS455" s="38"/>
      <c r="AT455" s="38"/>
      <c r="AU455" s="38"/>
      <c r="AV455" s="38"/>
      <c r="AW455" s="38"/>
      <c r="AX455" s="38"/>
      <c r="AY455" s="38"/>
      <c r="AZ455" s="38"/>
      <c r="BA455" s="38"/>
      <c r="BB455" s="38"/>
      <c r="BC455" s="38"/>
      <c r="BD455" s="38"/>
      <c r="BE455" s="38"/>
      <c r="BF455" s="38"/>
    </row>
    <row r="456" spans="1:58" s="173" customFormat="1" ht="12.75" customHeight="1" thickBot="1">
      <c r="A456" s="153"/>
      <c r="B456" s="154" t="s">
        <v>349</v>
      </c>
      <c r="C456" s="155" t="s">
        <v>349</v>
      </c>
      <c r="D456" s="156" t="s">
        <v>558</v>
      </c>
      <c r="E456" s="157">
        <v>1001</v>
      </c>
      <c r="F456" s="158">
        <v>656</v>
      </c>
      <c r="G456" s="250" t="s">
        <v>546</v>
      </c>
      <c r="H456" s="160" t="s">
        <v>350</v>
      </c>
      <c r="I456" s="160">
        <v>263</v>
      </c>
      <c r="J456" s="161">
        <v>0</v>
      </c>
      <c r="K456" s="162"/>
      <c r="L456" s="163">
        <v>30000</v>
      </c>
      <c r="M456" s="163">
        <v>30000</v>
      </c>
      <c r="N456" s="163">
        <v>30000</v>
      </c>
      <c r="O456" s="163">
        <v>30000</v>
      </c>
      <c r="P456" s="163">
        <v>120000</v>
      </c>
      <c r="Q456" s="167">
        <f>R456+S456+T456+U456</f>
        <v>120000</v>
      </c>
      <c r="R456" s="162">
        <v>30000</v>
      </c>
      <c r="S456" s="162">
        <v>30000</v>
      </c>
      <c r="T456" s="162">
        <v>30000</v>
      </c>
      <c r="U456" s="162">
        <v>30000</v>
      </c>
      <c r="V456" s="191">
        <v>210000</v>
      </c>
      <c r="W456" s="592" t="s">
        <v>589</v>
      </c>
      <c r="X456" s="193"/>
      <c r="Y456" s="398"/>
      <c r="Z456" s="383">
        <f>Z455</f>
        <v>360000</v>
      </c>
      <c r="AA456" s="383">
        <f>AA455</f>
        <v>360000</v>
      </c>
      <c r="AB456" s="1487"/>
      <c r="AC456" s="1487"/>
      <c r="AD456" s="1487"/>
      <c r="AE456" s="184">
        <v>85000</v>
      </c>
      <c r="AF456" s="185">
        <v>0</v>
      </c>
      <c r="AG456" s="1487"/>
      <c r="AH456" s="1487"/>
      <c r="AI456" s="186">
        <v>0.7083333333333334</v>
      </c>
      <c r="AJ456" s="152" t="s">
        <v>143</v>
      </c>
      <c r="AK456" s="171"/>
      <c r="AL456" s="171"/>
      <c r="AM456" s="38"/>
      <c r="AN456" s="38"/>
      <c r="AO456" s="38"/>
      <c r="AP456" s="38"/>
      <c r="AQ456" s="38"/>
      <c r="AR456" s="38"/>
      <c r="AS456" s="38"/>
      <c r="AT456" s="38"/>
      <c r="AU456" s="38"/>
      <c r="AV456" s="38"/>
      <c r="AW456" s="38"/>
      <c r="AX456" s="38"/>
      <c r="AY456" s="38"/>
      <c r="AZ456" s="38"/>
      <c r="BA456" s="38"/>
      <c r="BB456" s="38"/>
      <c r="BC456" s="38"/>
      <c r="BD456" s="38"/>
      <c r="BE456" s="38"/>
      <c r="BF456" s="38"/>
    </row>
    <row r="457" spans="1:38" ht="19.5" customHeight="1" thickBot="1">
      <c r="A457" s="153"/>
      <c r="B457" s="1486" t="s">
        <v>161</v>
      </c>
      <c r="C457" s="1486"/>
      <c r="D457" s="1488"/>
      <c r="E457" s="1488"/>
      <c r="F457" s="1488"/>
      <c r="G457" s="1488"/>
      <c r="H457" s="1488"/>
      <c r="I457" s="1488"/>
      <c r="J457" s="1488"/>
      <c r="K457" s="1489"/>
      <c r="L457" s="390">
        <v>30000</v>
      </c>
      <c r="M457" s="391">
        <v>30000</v>
      </c>
      <c r="N457" s="391">
        <v>30000</v>
      </c>
      <c r="O457" s="390">
        <v>30000</v>
      </c>
      <c r="P457" s="391">
        <v>120000</v>
      </c>
      <c r="Q457" s="593">
        <f>R457+S457+T457+U457</f>
        <v>120000</v>
      </c>
      <c r="R457" s="383">
        <f>R456</f>
        <v>30000</v>
      </c>
      <c r="S457" s="383">
        <f>S456</f>
        <v>30000</v>
      </c>
      <c r="T457" s="383">
        <f>T456</f>
        <v>30000</v>
      </c>
      <c r="U457" s="383">
        <f>U456</f>
        <v>30000</v>
      </c>
      <c r="V457" s="383">
        <f>V456</f>
        <v>210000</v>
      </c>
      <c r="W457" s="397"/>
      <c r="X457" s="507"/>
      <c r="Y457" s="781"/>
      <c r="Z457" s="781"/>
      <c r="AA457" s="782"/>
      <c r="AB457" s="349"/>
      <c r="AC457" s="349"/>
      <c r="AD457" s="349"/>
      <c r="AE457" s="184"/>
      <c r="AF457" s="185"/>
      <c r="AG457" s="349"/>
      <c r="AH457" s="349"/>
      <c r="AI457" s="186"/>
      <c r="AJ457" s="152"/>
      <c r="AK457" s="30"/>
      <c r="AL457" s="30"/>
    </row>
    <row r="458" spans="1:38" ht="27" customHeight="1" thickBot="1">
      <c r="A458" s="151"/>
      <c r="B458" s="174"/>
      <c r="C458" s="174"/>
      <c r="D458" s="1490" t="s">
        <v>482</v>
      </c>
      <c r="E458" s="1491"/>
      <c r="F458" s="1491"/>
      <c r="G458" s="1491"/>
      <c r="H458" s="1491" t="s">
        <v>482</v>
      </c>
      <c r="I458" s="1491"/>
      <c r="J458" s="1491"/>
      <c r="K458" s="1491"/>
      <c r="L458" s="1491" t="s">
        <v>482</v>
      </c>
      <c r="M458" s="1491"/>
      <c r="N458" s="1491"/>
      <c r="O458" s="1491"/>
      <c r="P458" s="1491" t="s">
        <v>482</v>
      </c>
      <c r="Q458" s="1491"/>
      <c r="R458" s="1491"/>
      <c r="S458" s="1491"/>
      <c r="T458" s="1491" t="s">
        <v>482</v>
      </c>
      <c r="U458" s="1491"/>
      <c r="V458" s="1491"/>
      <c r="W458" s="1491"/>
      <c r="X458" s="781"/>
      <c r="Y458" s="783"/>
      <c r="Z458" s="783"/>
      <c r="AA458" s="783"/>
      <c r="AB458" s="183"/>
      <c r="AC458" s="183"/>
      <c r="AD458" s="183"/>
      <c r="AE458" s="249"/>
      <c r="AF458" s="249"/>
      <c r="AG458" s="183"/>
      <c r="AH458" s="183"/>
      <c r="AI458" s="186"/>
      <c r="AJ458" s="152"/>
      <c r="AK458" s="30"/>
      <c r="AL458" s="30"/>
    </row>
    <row r="459" spans="1:38" ht="12.75" customHeight="1">
      <c r="A459" s="151"/>
      <c r="B459" s="174"/>
      <c r="C459" s="175"/>
      <c r="D459" s="783" t="s">
        <v>351</v>
      </c>
      <c r="E459" s="783"/>
      <c r="F459" s="783"/>
      <c r="G459" s="783"/>
      <c r="H459" s="783"/>
      <c r="I459" s="783"/>
      <c r="J459" s="783"/>
      <c r="K459" s="783"/>
      <c r="L459" s="783"/>
      <c r="M459" s="783"/>
      <c r="N459" s="783"/>
      <c r="O459" s="783"/>
      <c r="P459" s="783"/>
      <c r="Q459" s="783"/>
      <c r="R459" s="783"/>
      <c r="S459" s="783"/>
      <c r="T459" s="783"/>
      <c r="U459" s="783"/>
      <c r="V459" s="783"/>
      <c r="W459" s="783"/>
      <c r="X459" s="783"/>
      <c r="Y459" s="188"/>
      <c r="Z459" s="188"/>
      <c r="AA459" s="188"/>
      <c r="AB459" s="188"/>
      <c r="AC459" s="188"/>
      <c r="AD459" s="188"/>
      <c r="AE459" s="188"/>
      <c r="AF459" s="188"/>
      <c r="AG459" s="188"/>
      <c r="AH459" s="188"/>
      <c r="AI459" s="780"/>
      <c r="AJ459" s="152" t="s">
        <v>143</v>
      </c>
      <c r="AK459" s="30"/>
      <c r="AL459" s="30"/>
    </row>
    <row r="460" spans="1:58" s="173" customFormat="1" ht="12.75" customHeight="1">
      <c r="A460" s="151"/>
      <c r="B460" s="187" t="s">
        <v>352</v>
      </c>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94"/>
      <c r="Z460" s="165">
        <f>1*12130*2.2*12</f>
        <v>320232.00000000006</v>
      </c>
      <c r="AA460" s="165">
        <f>1*12130*2.2*12</f>
        <v>320232.00000000006</v>
      </c>
      <c r="AB460" s="168"/>
      <c r="AC460" s="168"/>
      <c r="AD460" s="168"/>
      <c r="AE460" s="168">
        <v>140522.56</v>
      </c>
      <c r="AF460" s="168">
        <v>0</v>
      </c>
      <c r="AG460" s="168"/>
      <c r="AH460" s="169"/>
      <c r="AI460" s="170">
        <v>0.5835387918325988</v>
      </c>
      <c r="AJ460" s="152" t="s">
        <v>143</v>
      </c>
      <c r="AK460" s="171"/>
      <c r="AL460" s="171"/>
      <c r="AM460" s="38" t="s">
        <v>353</v>
      </c>
      <c r="AN460" s="38" t="s">
        <v>355</v>
      </c>
      <c r="AO460" s="38"/>
      <c r="AP460" s="38"/>
      <c r="AQ460" s="38"/>
      <c r="AR460" s="38"/>
      <c r="AS460" s="38"/>
      <c r="AT460" s="38"/>
      <c r="AU460" s="38"/>
      <c r="AV460" s="38"/>
      <c r="AW460" s="38"/>
      <c r="AX460" s="38"/>
      <c r="AY460" s="38"/>
      <c r="AZ460" s="38"/>
      <c r="BA460" s="38"/>
      <c r="BB460" s="38"/>
      <c r="BC460" s="38"/>
      <c r="BD460" s="38"/>
      <c r="BE460" s="38"/>
      <c r="BF460" s="38"/>
    </row>
    <row r="461" spans="1:58" s="173" customFormat="1" ht="12.75" customHeight="1">
      <c r="A461" s="153"/>
      <c r="B461" s="154" t="s">
        <v>352</v>
      </c>
      <c r="C461" s="155" t="s">
        <v>352</v>
      </c>
      <c r="D461" s="852" t="s">
        <v>517</v>
      </c>
      <c r="E461" s="157">
        <v>1101</v>
      </c>
      <c r="F461" s="158">
        <v>656</v>
      </c>
      <c r="G461" s="250" t="s">
        <v>530</v>
      </c>
      <c r="H461" s="160" t="s">
        <v>190</v>
      </c>
      <c r="I461" s="160">
        <v>211</v>
      </c>
      <c r="J461" s="161">
        <v>0</v>
      </c>
      <c r="K461" s="162"/>
      <c r="L461" s="163">
        <v>70000</v>
      </c>
      <c r="M461" s="163">
        <v>80000</v>
      </c>
      <c r="N461" s="163">
        <v>50000</v>
      </c>
      <c r="O461" s="163">
        <v>40811</v>
      </c>
      <c r="P461" s="163">
        <v>240811</v>
      </c>
      <c r="Q461" s="167">
        <f>R461+S461+T461+U461</f>
        <v>906000</v>
      </c>
      <c r="R461" s="162">
        <f>226500+30000</f>
        <v>256500</v>
      </c>
      <c r="S461" s="162">
        <f>226500+26500-30000</f>
        <v>223000</v>
      </c>
      <c r="T461" s="162">
        <v>226500</v>
      </c>
      <c r="U461" s="162">
        <f>226500-26500</f>
        <v>200000</v>
      </c>
      <c r="V461" s="165">
        <f>1*12130*2.2*12</f>
        <v>320232.00000000006</v>
      </c>
      <c r="W461" s="162" t="s">
        <v>576</v>
      </c>
      <c r="X461" s="163"/>
      <c r="Y461" s="194"/>
      <c r="Z461" s="191"/>
      <c r="AA461" s="191"/>
      <c r="AB461" s="168"/>
      <c r="AC461" s="168"/>
      <c r="AD461" s="168"/>
      <c r="AE461" s="168">
        <v>24440.3</v>
      </c>
      <c r="AF461" s="168">
        <v>0</v>
      </c>
      <c r="AG461" s="168"/>
      <c r="AH461" s="169"/>
      <c r="AI461" s="170">
        <v>0.16293533333333332</v>
      </c>
      <c r="AJ461" s="152" t="s">
        <v>143</v>
      </c>
      <c r="AK461" s="171"/>
      <c r="AL461" s="171"/>
      <c r="AM461" s="38" t="s">
        <v>354</v>
      </c>
      <c r="AN461" s="328">
        <v>1.302</v>
      </c>
      <c r="AO461" s="38"/>
      <c r="AP461" s="38"/>
      <c r="AQ461" s="38"/>
      <c r="AR461" s="38"/>
      <c r="AS461" s="38"/>
      <c r="AT461" s="38"/>
      <c r="AU461" s="38"/>
      <c r="AV461" s="38"/>
      <c r="AW461" s="38"/>
      <c r="AX461" s="38"/>
      <c r="AY461" s="38"/>
      <c r="AZ461" s="38"/>
      <c r="BA461" s="38"/>
      <c r="BB461" s="38"/>
      <c r="BC461" s="38"/>
      <c r="BD461" s="38"/>
      <c r="BE461" s="38"/>
      <c r="BF461" s="38"/>
    </row>
    <row r="462" spans="1:58" s="173" customFormat="1" ht="12.75" customHeight="1">
      <c r="A462" s="153"/>
      <c r="B462" s="154" t="s">
        <v>329</v>
      </c>
      <c r="C462" s="155" t="s">
        <v>329</v>
      </c>
      <c r="D462" s="852"/>
      <c r="E462" s="157">
        <v>1101</v>
      </c>
      <c r="F462" s="158">
        <v>656</v>
      </c>
      <c r="G462" s="250" t="s">
        <v>530</v>
      </c>
      <c r="H462" s="160" t="s">
        <v>187</v>
      </c>
      <c r="I462" s="160">
        <v>212</v>
      </c>
      <c r="J462" s="161">
        <v>0</v>
      </c>
      <c r="K462" s="162"/>
      <c r="L462" s="163">
        <v>50000</v>
      </c>
      <c r="M462" s="163">
        <v>50000</v>
      </c>
      <c r="N462" s="163">
        <v>50000</v>
      </c>
      <c r="O462" s="163">
        <v>0</v>
      </c>
      <c r="P462" s="163">
        <v>150000</v>
      </c>
      <c r="Q462" s="167">
        <f>R462+S462+T462+U462</f>
        <v>60000</v>
      </c>
      <c r="R462" s="162"/>
      <c r="S462" s="162">
        <v>30000</v>
      </c>
      <c r="T462" s="162">
        <v>30000</v>
      </c>
      <c r="U462" s="162">
        <v>0</v>
      </c>
      <c r="V462" s="191"/>
      <c r="W462" s="162" t="s">
        <v>356</v>
      </c>
      <c r="X462" s="193"/>
      <c r="Y462" s="194"/>
      <c r="Z462" s="191">
        <f>Z460*27.3%+0.66</f>
        <v>87423.99600000003</v>
      </c>
      <c r="AA462" s="191">
        <f>AA460*27.3%+0.66</f>
        <v>87423.99600000003</v>
      </c>
      <c r="AB462" s="168"/>
      <c r="AC462" s="168"/>
      <c r="AD462" s="168"/>
      <c r="AE462" s="168">
        <v>60649.12</v>
      </c>
      <c r="AF462" s="168">
        <v>0</v>
      </c>
      <c r="AG462" s="168"/>
      <c r="AH462" s="169"/>
      <c r="AI462" s="170">
        <v>0.7073196104729139</v>
      </c>
      <c r="AJ462" s="152" t="s">
        <v>143</v>
      </c>
      <c r="AK462" s="171"/>
      <c r="AL462" s="171"/>
      <c r="AM462" s="83">
        <v>318964.71</v>
      </c>
      <c r="AN462" s="38" t="s">
        <v>192</v>
      </c>
      <c r="AO462" s="38"/>
      <c r="AP462" s="38"/>
      <c r="AQ462" s="38"/>
      <c r="AR462" s="38"/>
      <c r="AS462" s="38"/>
      <c r="AT462" s="38"/>
      <c r="AU462" s="38"/>
      <c r="AV462" s="38"/>
      <c r="AW462" s="38"/>
      <c r="AX462" s="38"/>
      <c r="AY462" s="38"/>
      <c r="AZ462" s="38"/>
      <c r="BA462" s="38"/>
      <c r="BB462" s="38"/>
      <c r="BC462" s="38"/>
      <c r="BD462" s="38"/>
      <c r="BE462" s="38"/>
      <c r="BF462" s="38"/>
    </row>
    <row r="463" spans="1:58" s="173" customFormat="1" ht="12.75" customHeight="1">
      <c r="A463" s="153"/>
      <c r="B463" s="154" t="s">
        <v>352</v>
      </c>
      <c r="C463" s="155" t="s">
        <v>352</v>
      </c>
      <c r="D463" s="852"/>
      <c r="E463" s="157">
        <v>1101</v>
      </c>
      <c r="F463" s="158">
        <v>656</v>
      </c>
      <c r="G463" s="250" t="s">
        <v>530</v>
      </c>
      <c r="H463" s="160">
        <v>119</v>
      </c>
      <c r="I463" s="160">
        <v>213</v>
      </c>
      <c r="J463" s="161">
        <v>0</v>
      </c>
      <c r="K463" s="162"/>
      <c r="L463" s="163">
        <v>35000</v>
      </c>
      <c r="M463" s="163">
        <v>25000</v>
      </c>
      <c r="N463" s="163">
        <v>15000</v>
      </c>
      <c r="O463" s="163">
        <v>10745</v>
      </c>
      <c r="P463" s="163">
        <v>85745</v>
      </c>
      <c r="Q463" s="167">
        <f>(R463+S463+T463+U463)</f>
        <v>87423.99600000003</v>
      </c>
      <c r="R463" s="162">
        <f>R461*30.2%</f>
        <v>77463</v>
      </c>
      <c r="S463" s="162">
        <f>S461*30.2%</f>
        <v>67346</v>
      </c>
      <c r="T463" s="162">
        <f>T461*30.2%</f>
        <v>68403</v>
      </c>
      <c r="U463" s="162">
        <f>V463-R463-S463-T463</f>
        <v>-125788.00399999997</v>
      </c>
      <c r="V463" s="191">
        <f>V461*27.3%+0.66</f>
        <v>87423.99600000003</v>
      </c>
      <c r="W463" s="162"/>
      <c r="X463" s="193">
        <v>9286.07</v>
      </c>
      <c r="Y463" s="194"/>
      <c r="Z463" s="574"/>
      <c r="AA463" s="574"/>
      <c r="AB463" s="168"/>
      <c r="AC463" s="168"/>
      <c r="AD463" s="168"/>
      <c r="AE463" s="168">
        <v>5000</v>
      </c>
      <c r="AF463" s="168">
        <v>0</v>
      </c>
      <c r="AG463" s="168"/>
      <c r="AH463" s="169"/>
      <c r="AI463" s="170">
        <v>0.5</v>
      </c>
      <c r="AJ463" s="152" t="s">
        <v>143</v>
      </c>
      <c r="AK463" s="171"/>
      <c r="AL463" s="171"/>
      <c r="AM463" s="38">
        <f>49.5*13</f>
        <v>643.5</v>
      </c>
      <c r="AN463" s="38"/>
      <c r="AO463" s="38"/>
      <c r="AP463" s="38"/>
      <c r="AQ463" s="38"/>
      <c r="AR463" s="38"/>
      <c r="AS463" s="38"/>
      <c r="AT463" s="38"/>
      <c r="AU463" s="38"/>
      <c r="AV463" s="38"/>
      <c r="AW463" s="38"/>
      <c r="AX463" s="38"/>
      <c r="AY463" s="38"/>
      <c r="AZ463" s="38"/>
      <c r="BA463" s="38"/>
      <c r="BB463" s="38"/>
      <c r="BC463" s="38"/>
      <c r="BD463" s="38"/>
      <c r="BE463" s="38"/>
      <c r="BF463" s="38"/>
    </row>
    <row r="464" spans="1:58" s="173" customFormat="1" ht="12.75" customHeight="1">
      <c r="A464" s="153"/>
      <c r="B464" s="154" t="s">
        <v>357</v>
      </c>
      <c r="C464" s="155" t="s">
        <v>357</v>
      </c>
      <c r="D464" s="852"/>
      <c r="E464" s="157">
        <v>1101</v>
      </c>
      <c r="F464" s="158">
        <v>656</v>
      </c>
      <c r="G464" s="250" t="s">
        <v>530</v>
      </c>
      <c r="H464" s="160" t="s">
        <v>91</v>
      </c>
      <c r="I464" s="160">
        <v>290</v>
      </c>
      <c r="J464" s="161" t="s">
        <v>601</v>
      </c>
      <c r="K464" s="162"/>
      <c r="L464" s="163">
        <v>10000</v>
      </c>
      <c r="M464" s="163">
        <v>0</v>
      </c>
      <c r="N464" s="163">
        <v>0</v>
      </c>
      <c r="O464" s="163">
        <v>0</v>
      </c>
      <c r="P464" s="163">
        <v>10000</v>
      </c>
      <c r="Q464" s="167">
        <f>R464+S464+T464+U464</f>
        <v>10000</v>
      </c>
      <c r="R464" s="195">
        <v>5000</v>
      </c>
      <c r="S464" s="162"/>
      <c r="T464" s="162">
        <v>5000</v>
      </c>
      <c r="U464" s="162"/>
      <c r="V464" s="574">
        <v>10000</v>
      </c>
      <c r="W464" s="162" t="s">
        <v>358</v>
      </c>
      <c r="X464" s="193"/>
      <c r="Y464" s="194"/>
      <c r="Z464" s="574"/>
      <c r="AA464" s="574"/>
      <c r="AB464" s="168"/>
      <c r="AC464" s="168"/>
      <c r="AD464" s="168"/>
      <c r="AE464" s="168">
        <v>0</v>
      </c>
      <c r="AF464" s="168">
        <v>0</v>
      </c>
      <c r="AG464" s="168"/>
      <c r="AH464" s="169"/>
      <c r="AI464" s="170">
        <v>0</v>
      </c>
      <c r="AJ464" s="152" t="s">
        <v>143</v>
      </c>
      <c r="AK464" s="171"/>
      <c r="AL464" s="171"/>
      <c r="AM464" s="38"/>
      <c r="AN464" s="38"/>
      <c r="AO464" s="38"/>
      <c r="AP464" s="38"/>
      <c r="AQ464" s="38"/>
      <c r="AR464" s="38"/>
      <c r="AS464" s="38"/>
      <c r="AT464" s="38"/>
      <c r="AU464" s="38"/>
      <c r="AV464" s="38"/>
      <c r="AW464" s="38"/>
      <c r="AX464" s="38"/>
      <c r="AY464" s="38"/>
      <c r="AZ464" s="38"/>
      <c r="BA464" s="38"/>
      <c r="BB464" s="38"/>
      <c r="BC464" s="38"/>
      <c r="BD464" s="38"/>
      <c r="BE464" s="38"/>
      <c r="BF464" s="38"/>
    </row>
    <row r="465" spans="1:58" s="173" customFormat="1" ht="12.75" customHeight="1">
      <c r="A465" s="153"/>
      <c r="B465" s="154"/>
      <c r="C465" s="155"/>
      <c r="D465" s="852"/>
      <c r="E465" s="157"/>
      <c r="F465" s="158"/>
      <c r="G465" s="250"/>
      <c r="H465" s="160"/>
      <c r="I465" s="160"/>
      <c r="J465" s="161" t="s">
        <v>705</v>
      </c>
      <c r="K465" s="162"/>
      <c r="L465" s="163"/>
      <c r="M465" s="163"/>
      <c r="N465" s="163"/>
      <c r="O465" s="163"/>
      <c r="P465" s="163"/>
      <c r="Q465" s="167"/>
      <c r="R465" s="195"/>
      <c r="S465" s="162"/>
      <c r="T465" s="162"/>
      <c r="U465" s="162"/>
      <c r="V465" s="574"/>
      <c r="W465" s="162"/>
      <c r="X465" s="193">
        <v>5000</v>
      </c>
      <c r="Y465" s="338"/>
      <c r="Z465" s="1137"/>
      <c r="AA465" s="1137"/>
      <c r="AB465" s="168"/>
      <c r="AC465" s="168"/>
      <c r="AD465" s="168"/>
      <c r="AE465" s="184"/>
      <c r="AF465" s="185"/>
      <c r="AG465" s="168"/>
      <c r="AH465" s="169"/>
      <c r="AI465" s="186"/>
      <c r="AJ465" s="152"/>
      <c r="AK465" s="171"/>
      <c r="AL465" s="171"/>
      <c r="AM465" s="38"/>
      <c r="AN465" s="38"/>
      <c r="AO465" s="38"/>
      <c r="AP465" s="38"/>
      <c r="AQ465" s="38"/>
      <c r="AR465" s="38"/>
      <c r="AS465" s="38"/>
      <c r="AT465" s="38"/>
      <c r="AU465" s="38"/>
      <c r="AV465" s="38"/>
      <c r="AW465" s="38"/>
      <c r="AX465" s="38"/>
      <c r="AY465" s="38"/>
      <c r="AZ465" s="38"/>
      <c r="BA465" s="38"/>
      <c r="BB465" s="38"/>
      <c r="BC465" s="38"/>
      <c r="BD465" s="38"/>
      <c r="BE465" s="38"/>
      <c r="BF465" s="38"/>
    </row>
    <row r="466" spans="1:58" s="173" customFormat="1" ht="12" customHeight="1">
      <c r="A466" s="153"/>
      <c r="B466" s="154" t="s">
        <v>357</v>
      </c>
      <c r="C466" s="155" t="s">
        <v>357</v>
      </c>
      <c r="D466" s="852"/>
      <c r="E466" s="157">
        <v>1101</v>
      </c>
      <c r="F466" s="158">
        <v>656</v>
      </c>
      <c r="G466" s="250" t="s">
        <v>530</v>
      </c>
      <c r="H466" s="160" t="s">
        <v>91</v>
      </c>
      <c r="I466" s="160">
        <v>340</v>
      </c>
      <c r="J466" s="161" t="s">
        <v>566</v>
      </c>
      <c r="K466" s="162"/>
      <c r="L466" s="163">
        <v>10000</v>
      </c>
      <c r="M466" s="163">
        <v>0</v>
      </c>
      <c r="N466" s="163">
        <v>0</v>
      </c>
      <c r="O466" s="163">
        <v>0</v>
      </c>
      <c r="P466" s="163">
        <v>10000</v>
      </c>
      <c r="Q466" s="167">
        <f>R466+S466+T466+U466</f>
        <v>10000</v>
      </c>
      <c r="R466" s="195">
        <v>5000</v>
      </c>
      <c r="S466" s="162"/>
      <c r="T466" s="162">
        <v>5000</v>
      </c>
      <c r="U466" s="162"/>
      <c r="V466" s="574">
        <v>10000</v>
      </c>
      <c r="W466" s="162" t="s">
        <v>233</v>
      </c>
      <c r="X466" s="193"/>
      <c r="Y466" s="255"/>
      <c r="Z466" s="252">
        <f>SUM(Z460:Z464)</f>
        <v>407655.9960000001</v>
      </c>
      <c r="AA466" s="252">
        <f>SUM(AA460:AA464)</f>
        <v>407655.9960000001</v>
      </c>
      <c r="AB466" s="1487"/>
      <c r="AC466" s="1487"/>
      <c r="AD466" s="1487"/>
      <c r="AE466" s="184">
        <v>201171.68</v>
      </c>
      <c r="AF466" s="185">
        <v>0</v>
      </c>
      <c r="AG466" s="1487"/>
      <c r="AH466" s="1487"/>
      <c r="AI466" s="186">
        <v>0.61604037286101</v>
      </c>
      <c r="AJ466" s="152" t="s">
        <v>143</v>
      </c>
      <c r="AK466" s="171"/>
      <c r="AL466" s="171"/>
      <c r="AM466" s="38"/>
      <c r="AN466" s="38" t="s">
        <v>241</v>
      </c>
      <c r="AO466" s="38"/>
      <c r="AP466" s="38"/>
      <c r="AQ466" s="38"/>
      <c r="AR466" s="38"/>
      <c r="AS466" s="38"/>
      <c r="AT466" s="38"/>
      <c r="AU466" s="38"/>
      <c r="AV466" s="38"/>
      <c r="AW466" s="38"/>
      <c r="AX466" s="38"/>
      <c r="AY466" s="38"/>
      <c r="AZ466" s="38"/>
      <c r="BA466" s="38"/>
      <c r="BB466" s="38"/>
      <c r="BC466" s="38"/>
      <c r="BD466" s="38"/>
      <c r="BE466" s="38"/>
      <c r="BF466" s="38"/>
    </row>
    <row r="467" spans="1:39" ht="12.75" customHeight="1">
      <c r="A467" s="153"/>
      <c r="B467" s="1486" t="s">
        <v>161</v>
      </c>
      <c r="C467" s="1486"/>
      <c r="D467" s="1486"/>
      <c r="E467" s="1486"/>
      <c r="F467" s="1486"/>
      <c r="G467" s="1486"/>
      <c r="H467" s="1486"/>
      <c r="I467" s="1486"/>
      <c r="J467" s="1486"/>
      <c r="K467" s="1413"/>
      <c r="L467" s="177">
        <v>105000</v>
      </c>
      <c r="M467" s="178">
        <v>105000</v>
      </c>
      <c r="N467" s="178">
        <v>65000</v>
      </c>
      <c r="O467" s="177">
        <v>51556</v>
      </c>
      <c r="P467" s="178">
        <v>326556</v>
      </c>
      <c r="Q467" s="322">
        <f>R467+S467+T467+U467</f>
        <v>993423.996</v>
      </c>
      <c r="R467" s="252">
        <f>R461+R463</f>
        <v>333963</v>
      </c>
      <c r="S467" s="252">
        <f>S461+S463</f>
        <v>290346</v>
      </c>
      <c r="T467" s="252">
        <f>T461+T463</f>
        <v>294903</v>
      </c>
      <c r="U467" s="252">
        <f>U461+U463</f>
        <v>74211.99600000003</v>
      </c>
      <c r="V467" s="252">
        <f>SUM(V461:V466)</f>
        <v>427655.9960000001</v>
      </c>
      <c r="W467" s="253">
        <f>V467+X467</f>
        <v>441942.0660000001</v>
      </c>
      <c r="X467" s="382">
        <f>SUM(X461:X466)</f>
        <v>14286.07</v>
      </c>
      <c r="Y467" s="155"/>
      <c r="Z467" s="155"/>
      <c r="AA467" s="155"/>
      <c r="AB467" s="155"/>
      <c r="AC467" s="155"/>
      <c r="AD467" s="155"/>
      <c r="AE467" s="155"/>
      <c r="AF467" s="155"/>
      <c r="AG467" s="155"/>
      <c r="AH467" s="155"/>
      <c r="AI467" s="155"/>
      <c r="AJ467" s="152" t="s">
        <v>143</v>
      </c>
      <c r="AK467" s="30"/>
      <c r="AL467" s="30"/>
      <c r="AM467" s="38">
        <f>AM463*30.2%</f>
        <v>194.337</v>
      </c>
    </row>
    <row r="468" spans="1:38" ht="12.75" customHeight="1" hidden="1">
      <c r="A468" s="151"/>
      <c r="B468" s="155" t="s">
        <v>359</v>
      </c>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94"/>
      <c r="Z468" s="591">
        <v>0</v>
      </c>
      <c r="AA468" s="591">
        <v>0</v>
      </c>
      <c r="AB468" s="168"/>
      <c r="AC468" s="168"/>
      <c r="AD468" s="168"/>
      <c r="AE468" s="168">
        <v>635.71</v>
      </c>
      <c r="AF468" s="168">
        <v>0</v>
      </c>
      <c r="AG468" s="168"/>
      <c r="AH468" s="169"/>
      <c r="AI468" s="170">
        <v>0.48900769230769253</v>
      </c>
      <c r="AJ468" s="152" t="s">
        <v>143</v>
      </c>
      <c r="AK468" s="30"/>
      <c r="AL468" s="30"/>
    </row>
    <row r="469" spans="1:38" ht="12.75" customHeight="1" hidden="1">
      <c r="A469" s="151"/>
      <c r="B469" s="154" t="s">
        <v>359</v>
      </c>
      <c r="C469" s="155" t="s">
        <v>359</v>
      </c>
      <c r="D469" s="156">
        <v>656110012</v>
      </c>
      <c r="E469" s="157">
        <v>1101</v>
      </c>
      <c r="F469" s="158">
        <v>656</v>
      </c>
      <c r="G469" s="250">
        <v>4829900</v>
      </c>
      <c r="H469" s="160" t="s">
        <v>91</v>
      </c>
      <c r="I469" s="160">
        <v>226</v>
      </c>
      <c r="J469" s="161">
        <v>0</v>
      </c>
      <c r="K469" s="162"/>
      <c r="L469" s="165">
        <v>1300</v>
      </c>
      <c r="M469" s="165">
        <v>0</v>
      </c>
      <c r="N469" s="165">
        <v>0</v>
      </c>
      <c r="O469" s="165">
        <v>0</v>
      </c>
      <c r="P469" s="165">
        <v>1300</v>
      </c>
      <c r="Q469" s="167"/>
      <c r="R469" s="481">
        <v>500</v>
      </c>
      <c r="S469" s="481">
        <v>400</v>
      </c>
      <c r="T469" s="481">
        <v>300</v>
      </c>
      <c r="U469" s="481">
        <f>V469-T469-S469-R469</f>
        <v>-1200</v>
      </c>
      <c r="V469" s="591">
        <v>0</v>
      </c>
      <c r="W469" s="162"/>
      <c r="X469" s="193"/>
      <c r="Y469" s="255"/>
      <c r="Z469" s="411">
        <f>Z468</f>
        <v>0</v>
      </c>
      <c r="AA469" s="411">
        <f>AA468</f>
        <v>0</v>
      </c>
      <c r="AB469" s="1487"/>
      <c r="AC469" s="1487"/>
      <c r="AD469" s="1487"/>
      <c r="AE469" s="184">
        <v>635.71</v>
      </c>
      <c r="AF469" s="185">
        <v>0</v>
      </c>
      <c r="AG469" s="1487"/>
      <c r="AH469" s="1487"/>
      <c r="AI469" s="186">
        <v>0.48900769230769253</v>
      </c>
      <c r="AJ469" s="152" t="s">
        <v>143</v>
      </c>
      <c r="AK469" s="30"/>
      <c r="AL469" s="30"/>
    </row>
    <row r="470" spans="1:58" s="173" customFormat="1" ht="12.75" customHeight="1" hidden="1">
      <c r="A470" s="151"/>
      <c r="B470" s="1486" t="s">
        <v>161</v>
      </c>
      <c r="C470" s="1486"/>
      <c r="D470" s="1486"/>
      <c r="E470" s="1486"/>
      <c r="F470" s="1486"/>
      <c r="G470" s="1486"/>
      <c r="H470" s="1486"/>
      <c r="I470" s="1486"/>
      <c r="J470" s="1486"/>
      <c r="K470" s="1413"/>
      <c r="L470" s="408">
        <v>1300</v>
      </c>
      <c r="M470" s="180">
        <v>0</v>
      </c>
      <c r="N470" s="180">
        <v>0</v>
      </c>
      <c r="O470" s="408">
        <v>0</v>
      </c>
      <c r="P470" s="180">
        <v>1300</v>
      </c>
      <c r="Q470" s="164"/>
      <c r="R470" s="411">
        <f>R469</f>
        <v>500</v>
      </c>
      <c r="S470" s="411">
        <f>S469</f>
        <v>400</v>
      </c>
      <c r="T470" s="411">
        <f>T469</f>
        <v>300</v>
      </c>
      <c r="U470" s="411">
        <f>U469</f>
        <v>-1200</v>
      </c>
      <c r="V470" s="411">
        <f>V469</f>
        <v>0</v>
      </c>
      <c r="W470" s="253"/>
      <c r="X470" s="254"/>
      <c r="Y470" s="188"/>
      <c r="Z470" s="188"/>
      <c r="AA470" s="188"/>
      <c r="AB470" s="188"/>
      <c r="AC470" s="188"/>
      <c r="AD470" s="188"/>
      <c r="AE470" s="188"/>
      <c r="AF470" s="188"/>
      <c r="AG470" s="188"/>
      <c r="AH470" s="188"/>
      <c r="AI470" s="780"/>
      <c r="AJ470" s="152" t="s">
        <v>143</v>
      </c>
      <c r="AK470" s="171"/>
      <c r="AL470" s="171"/>
      <c r="AM470" s="38"/>
      <c r="AN470" s="38"/>
      <c r="AO470" s="38"/>
      <c r="AP470" s="38"/>
      <c r="AQ470" s="38"/>
      <c r="AR470" s="38"/>
      <c r="AS470" s="38"/>
      <c r="AT470" s="38"/>
      <c r="AU470" s="38"/>
      <c r="AV470" s="38"/>
      <c r="AW470" s="38"/>
      <c r="AX470" s="38"/>
      <c r="AY470" s="38"/>
      <c r="AZ470" s="38"/>
      <c r="BA470" s="38"/>
      <c r="BB470" s="38"/>
      <c r="BC470" s="38"/>
      <c r="BD470" s="38"/>
      <c r="BE470" s="38"/>
      <c r="BF470" s="38"/>
    </row>
    <row r="471" spans="1:58" s="173" customFormat="1" ht="12.75" customHeight="1" hidden="1">
      <c r="A471" s="153"/>
      <c r="B471" s="187"/>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94"/>
      <c r="Z471" s="195"/>
      <c r="AA471" s="195"/>
      <c r="AB471" s="168"/>
      <c r="AC471" s="168"/>
      <c r="AD471" s="168"/>
      <c r="AE471" s="168">
        <v>24440.3</v>
      </c>
      <c r="AF471" s="168">
        <v>0</v>
      </c>
      <c r="AG471" s="168"/>
      <c r="AH471" s="169"/>
      <c r="AI471" s="170">
        <v>0.16293533333333332</v>
      </c>
      <c r="AJ471" s="152" t="s">
        <v>143</v>
      </c>
      <c r="AK471" s="171"/>
      <c r="AL471" s="171"/>
      <c r="AM471" s="38">
        <f>AM463+AM467</f>
        <v>837.837</v>
      </c>
      <c r="AN471" s="328">
        <v>1.302</v>
      </c>
      <c r="AO471" s="38"/>
      <c r="AP471" s="38"/>
      <c r="AQ471" s="38"/>
      <c r="AR471" s="38"/>
      <c r="AS471" s="38"/>
      <c r="AT471" s="38"/>
      <c r="AU471" s="38"/>
      <c r="AV471" s="38"/>
      <c r="AW471" s="38"/>
      <c r="AX471" s="38"/>
      <c r="AY471" s="38"/>
      <c r="AZ471" s="38"/>
      <c r="BA471" s="38"/>
      <c r="BB471" s="38"/>
      <c r="BC471" s="38"/>
      <c r="BD471" s="38"/>
      <c r="BE471" s="38"/>
      <c r="BF471" s="38"/>
    </row>
    <row r="472" spans="1:58" s="173" customFormat="1" ht="12.75" customHeight="1" hidden="1">
      <c r="A472" s="153"/>
      <c r="B472" s="154" t="s">
        <v>329</v>
      </c>
      <c r="C472" s="155" t="s">
        <v>329</v>
      </c>
      <c r="D472" s="156"/>
      <c r="E472" s="157"/>
      <c r="F472" s="158"/>
      <c r="G472" s="250"/>
      <c r="H472" s="160" t="s">
        <v>187</v>
      </c>
      <c r="I472" s="160">
        <v>212</v>
      </c>
      <c r="J472" s="161">
        <v>0</v>
      </c>
      <c r="K472" s="162"/>
      <c r="L472" s="163">
        <v>50000</v>
      </c>
      <c r="M472" s="163">
        <v>50000</v>
      </c>
      <c r="N472" s="163">
        <v>50000</v>
      </c>
      <c r="O472" s="163">
        <v>0</v>
      </c>
      <c r="P472" s="163">
        <v>150000</v>
      </c>
      <c r="Q472" s="167">
        <f>R472+S472+T472+U472</f>
        <v>60000</v>
      </c>
      <c r="R472" s="162"/>
      <c r="S472" s="162">
        <v>30000</v>
      </c>
      <c r="T472" s="162">
        <v>30000</v>
      </c>
      <c r="U472" s="162">
        <v>0</v>
      </c>
      <c r="V472" s="195">
        <v>0</v>
      </c>
      <c r="W472" s="162"/>
      <c r="X472" s="193">
        <v>0</v>
      </c>
      <c r="Y472" s="255"/>
      <c r="Z472" s="252">
        <f>Z471</f>
        <v>0</v>
      </c>
      <c r="AA472" s="252">
        <f>AA471</f>
        <v>0</v>
      </c>
      <c r="AB472" s="1410"/>
      <c r="AC472" s="1411"/>
      <c r="AD472" s="1412"/>
      <c r="AE472" s="184">
        <v>24440.3</v>
      </c>
      <c r="AF472" s="185">
        <v>0</v>
      </c>
      <c r="AG472" s="1410"/>
      <c r="AH472" s="1412"/>
      <c r="AI472" s="186">
        <v>0.16293533333333332</v>
      </c>
      <c r="AJ472" s="152" t="s">
        <v>143</v>
      </c>
      <c r="AK472" s="171"/>
      <c r="AL472" s="171"/>
      <c r="AM472" s="83">
        <v>318964.71</v>
      </c>
      <c r="AN472" s="325">
        <v>1</v>
      </c>
      <c r="AO472" s="38"/>
      <c r="AP472" s="38"/>
      <c r="AQ472" s="38"/>
      <c r="AR472" s="38"/>
      <c r="AS472" s="38"/>
      <c r="AT472" s="38"/>
      <c r="AU472" s="38"/>
      <c r="AV472" s="38"/>
      <c r="AW472" s="38"/>
      <c r="AX472" s="38"/>
      <c r="AY472" s="38"/>
      <c r="AZ472" s="38"/>
      <c r="BA472" s="38"/>
      <c r="BB472" s="38"/>
      <c r="BC472" s="38"/>
      <c r="BD472" s="38"/>
      <c r="BE472" s="38"/>
      <c r="BF472" s="38"/>
    </row>
    <row r="473" spans="1:40" ht="21" customHeight="1" hidden="1">
      <c r="A473" s="153"/>
      <c r="B473" s="1413" t="s">
        <v>161</v>
      </c>
      <c r="C473" s="1414"/>
      <c r="D473" s="1414"/>
      <c r="E473" s="1414"/>
      <c r="F473" s="1414"/>
      <c r="G473" s="1414"/>
      <c r="H473" s="1414"/>
      <c r="I473" s="1414"/>
      <c r="J473" s="1414"/>
      <c r="K473" s="1415"/>
      <c r="L473" s="177">
        <v>50000</v>
      </c>
      <c r="M473" s="178">
        <v>50000</v>
      </c>
      <c r="N473" s="178">
        <v>50000</v>
      </c>
      <c r="O473" s="177">
        <v>0</v>
      </c>
      <c r="P473" s="178">
        <v>150000</v>
      </c>
      <c r="Q473" s="322">
        <f>R473+S473+T473+U473</f>
        <v>60000</v>
      </c>
      <c r="R473" s="252">
        <f>R472</f>
        <v>0</v>
      </c>
      <c r="S473" s="252">
        <f>S472</f>
        <v>30000</v>
      </c>
      <c r="T473" s="252">
        <f>T472</f>
        <v>30000</v>
      </c>
      <c r="U473" s="252">
        <f>U472</f>
        <v>0</v>
      </c>
      <c r="V473" s="252">
        <f>V472</f>
        <v>0</v>
      </c>
      <c r="W473" s="253"/>
      <c r="X473" s="382">
        <f>X472</f>
        <v>0</v>
      </c>
      <c r="Y473" s="155"/>
      <c r="Z473" s="155"/>
      <c r="AA473" s="155"/>
      <c r="AB473" s="155"/>
      <c r="AC473" s="155"/>
      <c r="AD473" s="155"/>
      <c r="AE473" s="155"/>
      <c r="AF473" s="155"/>
      <c r="AG473" s="155"/>
      <c r="AH473" s="155"/>
      <c r="AI473" s="155"/>
      <c r="AJ473" s="152" t="s">
        <v>143</v>
      </c>
      <c r="AK473" s="30"/>
      <c r="AL473" s="30"/>
      <c r="AM473" s="83">
        <f>AM472*AN472/AN471</f>
        <v>244980.57603686638</v>
      </c>
      <c r="AN473" s="325">
        <v>0.302</v>
      </c>
    </row>
    <row r="474" spans="1:58" s="173" customFormat="1" ht="12.75" customHeight="1" hidden="1">
      <c r="A474" s="151"/>
      <c r="B474" s="155" t="s">
        <v>357</v>
      </c>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94"/>
      <c r="Z474" s="191"/>
      <c r="AA474" s="191"/>
      <c r="AB474" s="168"/>
      <c r="AC474" s="168"/>
      <c r="AD474" s="168"/>
      <c r="AE474" s="168">
        <v>5000</v>
      </c>
      <c r="AF474" s="168">
        <v>0</v>
      </c>
      <c r="AG474" s="168"/>
      <c r="AH474" s="169"/>
      <c r="AI474" s="170">
        <v>0.5</v>
      </c>
      <c r="AJ474" s="152" t="s">
        <v>143</v>
      </c>
      <c r="AK474" s="171"/>
      <c r="AL474" s="171"/>
      <c r="AM474" s="83">
        <f>AM472-AM473</f>
        <v>73984.13396313365</v>
      </c>
      <c r="AN474" s="38"/>
      <c r="AO474" s="38"/>
      <c r="AP474" s="38"/>
      <c r="AQ474" s="38"/>
      <c r="AR474" s="38"/>
      <c r="AS474" s="38"/>
      <c r="AT474" s="38"/>
      <c r="AU474" s="38"/>
      <c r="AV474" s="38"/>
      <c r="AW474" s="38"/>
      <c r="AX474" s="38"/>
      <c r="AY474" s="38"/>
      <c r="AZ474" s="38"/>
      <c r="BA474" s="38"/>
      <c r="BB474" s="38"/>
      <c r="BC474" s="38"/>
      <c r="BD474" s="38"/>
      <c r="BE474" s="38"/>
      <c r="BF474" s="38"/>
    </row>
    <row r="475" spans="1:58" s="173" customFormat="1" ht="12.75" customHeight="1" hidden="1">
      <c r="A475" s="153"/>
      <c r="B475" s="154" t="s">
        <v>357</v>
      </c>
      <c r="C475" s="155" t="s">
        <v>357</v>
      </c>
      <c r="D475" s="545">
        <v>656530071</v>
      </c>
      <c r="E475" s="157">
        <v>1101</v>
      </c>
      <c r="F475" s="158">
        <v>656</v>
      </c>
      <c r="G475" s="250">
        <v>5400000590</v>
      </c>
      <c r="H475" s="160" t="s">
        <v>91</v>
      </c>
      <c r="I475" s="160">
        <v>226</v>
      </c>
      <c r="J475" s="161" t="s">
        <v>160</v>
      </c>
      <c r="K475" s="162"/>
      <c r="L475" s="163">
        <v>10000</v>
      </c>
      <c r="M475" s="163">
        <v>0</v>
      </c>
      <c r="N475" s="163">
        <v>0</v>
      </c>
      <c r="O475" s="163">
        <v>0</v>
      </c>
      <c r="P475" s="163">
        <v>10000</v>
      </c>
      <c r="Q475" s="167">
        <f>R475+S475+T475+U475</f>
        <v>10000</v>
      </c>
      <c r="R475" s="195">
        <v>5000</v>
      </c>
      <c r="S475" s="162"/>
      <c r="T475" s="162">
        <v>5000</v>
      </c>
      <c r="U475" s="162"/>
      <c r="V475" s="191"/>
      <c r="W475" s="162" t="s">
        <v>360</v>
      </c>
      <c r="X475" s="193">
        <v>0</v>
      </c>
      <c r="Y475" s="194"/>
      <c r="Z475" s="195"/>
      <c r="AA475" s="195"/>
      <c r="AB475" s="168"/>
      <c r="AC475" s="168"/>
      <c r="AD475" s="168"/>
      <c r="AE475" s="168">
        <v>5000</v>
      </c>
      <c r="AF475" s="168">
        <v>0</v>
      </c>
      <c r="AG475" s="168"/>
      <c r="AH475" s="169"/>
      <c r="AI475" s="170">
        <v>0.5</v>
      </c>
      <c r="AJ475" s="152" t="s">
        <v>143</v>
      </c>
      <c r="AK475" s="171"/>
      <c r="AL475" s="171"/>
      <c r="AM475" s="38"/>
      <c r="AN475" s="38"/>
      <c r="AO475" s="38"/>
      <c r="AP475" s="38"/>
      <c r="AQ475" s="38"/>
      <c r="AR475" s="38"/>
      <c r="AS475" s="38"/>
      <c r="AT475" s="38"/>
      <c r="AU475" s="38"/>
      <c r="AV475" s="38"/>
      <c r="AW475" s="38"/>
      <c r="AX475" s="38"/>
      <c r="AY475" s="38"/>
      <c r="AZ475" s="38"/>
      <c r="BA475" s="38"/>
      <c r="BB475" s="38"/>
      <c r="BC475" s="38"/>
      <c r="BD475" s="38"/>
      <c r="BE475" s="38"/>
      <c r="BF475" s="38"/>
    </row>
    <row r="476" spans="1:58" s="173" customFormat="1" ht="12.75" customHeight="1" hidden="1">
      <c r="A476" s="153"/>
      <c r="B476" s="154" t="s">
        <v>357</v>
      </c>
      <c r="C476" s="155" t="s">
        <v>357</v>
      </c>
      <c r="D476" s="156">
        <v>656520071</v>
      </c>
      <c r="E476" s="157">
        <v>1101</v>
      </c>
      <c r="F476" s="158">
        <v>656</v>
      </c>
      <c r="G476" s="250">
        <v>5400000590</v>
      </c>
      <c r="H476" s="160" t="s">
        <v>91</v>
      </c>
      <c r="I476" s="160">
        <v>290</v>
      </c>
      <c r="J476" s="161" t="s">
        <v>174</v>
      </c>
      <c r="K476" s="162"/>
      <c r="L476" s="163">
        <v>10000</v>
      </c>
      <c r="M476" s="163">
        <v>0</v>
      </c>
      <c r="N476" s="163">
        <v>0</v>
      </c>
      <c r="O476" s="163">
        <v>0</v>
      </c>
      <c r="P476" s="163">
        <v>10000</v>
      </c>
      <c r="Q476" s="167">
        <f>R476+S476+T476+U476</f>
        <v>10000</v>
      </c>
      <c r="R476" s="195">
        <v>5000</v>
      </c>
      <c r="S476" s="162"/>
      <c r="T476" s="162">
        <v>5000</v>
      </c>
      <c r="U476" s="162"/>
      <c r="V476" s="195">
        <v>0</v>
      </c>
      <c r="W476" s="162" t="s">
        <v>358</v>
      </c>
      <c r="X476" s="193"/>
      <c r="Y476" s="194"/>
      <c r="Z476" s="195"/>
      <c r="AA476" s="195"/>
      <c r="AB476" s="168"/>
      <c r="AC476" s="168"/>
      <c r="AD476" s="168"/>
      <c r="AE476" s="168">
        <v>0</v>
      </c>
      <c r="AF476" s="168">
        <v>0</v>
      </c>
      <c r="AG476" s="168"/>
      <c r="AH476" s="169"/>
      <c r="AI476" s="170">
        <v>0</v>
      </c>
      <c r="AJ476" s="152" t="s">
        <v>143</v>
      </c>
      <c r="AK476" s="171"/>
      <c r="AL476" s="171"/>
      <c r="AM476" s="38"/>
      <c r="AN476" s="38"/>
      <c r="AO476" s="38"/>
      <c r="AP476" s="38"/>
      <c r="AQ476" s="38"/>
      <c r="AR476" s="38"/>
      <c r="AS476" s="38"/>
      <c r="AT476" s="38"/>
      <c r="AU476" s="38"/>
      <c r="AV476" s="38"/>
      <c r="AW476" s="38"/>
      <c r="AX476" s="38"/>
      <c r="AY476" s="38"/>
      <c r="AZ476" s="38"/>
      <c r="BA476" s="38"/>
      <c r="BB476" s="38"/>
      <c r="BC476" s="38"/>
      <c r="BD476" s="38"/>
      <c r="BE476" s="38"/>
      <c r="BF476" s="38"/>
    </row>
    <row r="477" spans="1:58" s="173" customFormat="1" ht="12.75" customHeight="1" hidden="1">
      <c r="A477" s="153"/>
      <c r="B477" s="154" t="s">
        <v>357</v>
      </c>
      <c r="C477" s="155" t="s">
        <v>357</v>
      </c>
      <c r="D477" s="156"/>
      <c r="E477" s="157">
        <v>1101</v>
      </c>
      <c r="F477" s="158">
        <v>656</v>
      </c>
      <c r="G477" s="250">
        <v>5400000590</v>
      </c>
      <c r="H477" s="160" t="s">
        <v>91</v>
      </c>
      <c r="I477" s="160">
        <v>340</v>
      </c>
      <c r="J477" s="161" t="s">
        <v>246</v>
      </c>
      <c r="K477" s="162"/>
      <c r="L477" s="163">
        <v>10000</v>
      </c>
      <c r="M477" s="163">
        <v>0</v>
      </c>
      <c r="N477" s="163">
        <v>0</v>
      </c>
      <c r="O477" s="163">
        <v>0</v>
      </c>
      <c r="P477" s="163">
        <v>10000</v>
      </c>
      <c r="Q477" s="167">
        <f>R477+S477+T477+U477</f>
        <v>10000</v>
      </c>
      <c r="R477" s="195">
        <v>5000</v>
      </c>
      <c r="S477" s="162"/>
      <c r="T477" s="162">
        <v>5000</v>
      </c>
      <c r="U477" s="162"/>
      <c r="V477" s="195">
        <v>0</v>
      </c>
      <c r="W477" s="162" t="s">
        <v>233</v>
      </c>
      <c r="X477" s="193"/>
      <c r="Y477" s="255"/>
      <c r="Z477" s="252">
        <f>Z474+Z475+Z476</f>
        <v>0</v>
      </c>
      <c r="AA477" s="252">
        <f>AA474+AA475+AA476</f>
        <v>0</v>
      </c>
      <c r="AB477" s="1487"/>
      <c r="AC477" s="1487"/>
      <c r="AD477" s="1487"/>
      <c r="AE477" s="184">
        <v>5000</v>
      </c>
      <c r="AF477" s="185">
        <v>0</v>
      </c>
      <c r="AG477" s="1487"/>
      <c r="AH477" s="1487"/>
      <c r="AI477" s="186">
        <v>0.25</v>
      </c>
      <c r="AJ477" s="152" t="s">
        <v>143</v>
      </c>
      <c r="AK477" s="171"/>
      <c r="AL477" s="171"/>
      <c r="AM477" s="38"/>
      <c r="AN477" s="38"/>
      <c r="AO477" s="38"/>
      <c r="AP477" s="38"/>
      <c r="AQ477" s="38"/>
      <c r="AR477" s="38"/>
      <c r="AS477" s="38"/>
      <c r="AT477" s="38"/>
      <c r="AU477" s="38"/>
      <c r="AV477" s="38"/>
      <c r="AW477" s="38"/>
      <c r="AX477" s="38"/>
      <c r="AY477" s="38"/>
      <c r="AZ477" s="38"/>
      <c r="BA477" s="38"/>
      <c r="BB477" s="38"/>
      <c r="BC477" s="38"/>
      <c r="BD477" s="38"/>
      <c r="BE477" s="38"/>
      <c r="BF477" s="38"/>
    </row>
    <row r="478" spans="1:58" s="173" customFormat="1" ht="26.25" customHeight="1">
      <c r="A478" s="153"/>
      <c r="B478" s="1486" t="s">
        <v>161</v>
      </c>
      <c r="C478" s="1486"/>
      <c r="D478" s="1486"/>
      <c r="E478" s="1486"/>
      <c r="F478" s="1486"/>
      <c r="G478" s="1486"/>
      <c r="H478" s="1486"/>
      <c r="I478" s="1486"/>
      <c r="J478" s="1486"/>
      <c r="K478" s="1413"/>
      <c r="L478" s="177">
        <v>20000</v>
      </c>
      <c r="M478" s="178">
        <v>0</v>
      </c>
      <c r="N478" s="178">
        <v>0</v>
      </c>
      <c r="O478" s="177">
        <v>0</v>
      </c>
      <c r="P478" s="178">
        <v>20000</v>
      </c>
      <c r="Q478" s="322">
        <f>Q476+Q477</f>
        <v>20000</v>
      </c>
      <c r="R478" s="252">
        <f>R476+R477</f>
        <v>10000</v>
      </c>
      <c r="S478" s="249"/>
      <c r="T478" s="252">
        <f>T476+T477</f>
        <v>10000</v>
      </c>
      <c r="U478" s="249"/>
      <c r="V478" s="252">
        <f>V475+V476+V477</f>
        <v>0</v>
      </c>
      <c r="W478" s="253"/>
      <c r="X478" s="254">
        <f>X476+X477</f>
        <v>0</v>
      </c>
      <c r="Y478" s="778"/>
      <c r="Z478" s="778"/>
      <c r="AA478" s="778"/>
      <c r="AB478" s="778"/>
      <c r="AC478" s="778"/>
      <c r="AD478" s="778"/>
      <c r="AE478" s="778"/>
      <c r="AF478" s="778"/>
      <c r="AG478" s="778"/>
      <c r="AH478" s="778"/>
      <c r="AI478" s="779"/>
      <c r="AJ478" s="152" t="s">
        <v>143</v>
      </c>
      <c r="AK478" s="171"/>
      <c r="AL478" s="171"/>
      <c r="AM478" s="172">
        <f>V467+V473+V478</f>
        <v>427655.9960000001</v>
      </c>
      <c r="AN478" s="38"/>
      <c r="AO478" s="38"/>
      <c r="AP478" s="38"/>
      <c r="AQ478" s="38"/>
      <c r="AR478" s="38"/>
      <c r="AS478" s="38"/>
      <c r="AT478" s="38"/>
      <c r="AU478" s="38"/>
      <c r="AV478" s="38"/>
      <c r="AW478" s="38"/>
      <c r="AX478" s="38"/>
      <c r="AY478" s="38"/>
      <c r="AZ478" s="38"/>
      <c r="BA478" s="38"/>
      <c r="BB478" s="38"/>
      <c r="BC478" s="38"/>
      <c r="BD478" s="38"/>
      <c r="BE478" s="38"/>
      <c r="BF478" s="38"/>
    </row>
    <row r="479" spans="1:58" s="173" customFormat="1" ht="12.75" customHeight="1">
      <c r="A479" s="153"/>
      <c r="B479" s="777" t="s">
        <v>361</v>
      </c>
      <c r="C479" s="778"/>
      <c r="D479" s="778"/>
      <c r="E479" s="778"/>
      <c r="F479" s="778"/>
      <c r="G479" s="778"/>
      <c r="H479" s="778"/>
      <c r="I479" s="778"/>
      <c r="J479" s="778"/>
      <c r="K479" s="778"/>
      <c r="L479" s="778"/>
      <c r="M479" s="778"/>
      <c r="N479" s="778"/>
      <c r="O479" s="778"/>
      <c r="P479" s="778"/>
      <c r="Q479" s="778"/>
      <c r="R479" s="778"/>
      <c r="S479" s="778"/>
      <c r="T479" s="778"/>
      <c r="U479" s="778"/>
      <c r="V479" s="778"/>
      <c r="W479" s="778"/>
      <c r="X479" s="778"/>
      <c r="Y479" s="194"/>
      <c r="Z479" s="163"/>
      <c r="AA479" s="163"/>
      <c r="AB479" s="168"/>
      <c r="AC479" s="168"/>
      <c r="AD479" s="168"/>
      <c r="AE479" s="168">
        <v>1508967.67</v>
      </c>
      <c r="AF479" s="168">
        <v>20700</v>
      </c>
      <c r="AG479" s="168"/>
      <c r="AH479" s="169"/>
      <c r="AI479" s="170">
        <v>0.6809637555424735</v>
      </c>
      <c r="AJ479" s="152" t="s">
        <v>143</v>
      </c>
      <c r="AK479" s="171"/>
      <c r="AL479" s="171"/>
      <c r="AM479" s="38"/>
      <c r="AN479" s="38"/>
      <c r="AO479" s="38"/>
      <c r="AP479" s="38"/>
      <c r="AQ479" s="38"/>
      <c r="AR479" s="38"/>
      <c r="AS479" s="38"/>
      <c r="AT479" s="38"/>
      <c r="AU479" s="38"/>
      <c r="AV479" s="38"/>
      <c r="AW479" s="38"/>
      <c r="AX479" s="38"/>
      <c r="AY479" s="38"/>
      <c r="AZ479" s="38"/>
      <c r="BA479" s="38"/>
      <c r="BB479" s="38"/>
      <c r="BC479" s="38"/>
      <c r="BD479" s="38"/>
      <c r="BE479" s="38"/>
      <c r="BF479" s="38"/>
    </row>
    <row r="480" spans="1:58" s="173" customFormat="1" ht="12.75" customHeight="1">
      <c r="A480" s="153"/>
      <c r="B480" s="154" t="s">
        <v>189</v>
      </c>
      <c r="C480" s="155" t="s">
        <v>189</v>
      </c>
      <c r="D480" s="852">
        <v>656490015</v>
      </c>
      <c r="E480" s="157">
        <v>401</v>
      </c>
      <c r="F480" s="158">
        <v>656</v>
      </c>
      <c r="G480" s="250">
        <v>4900199990</v>
      </c>
      <c r="H480" s="160">
        <v>111</v>
      </c>
      <c r="I480" s="160">
        <v>211</v>
      </c>
      <c r="J480" s="321"/>
      <c r="K480" s="162"/>
      <c r="L480" s="163">
        <v>647000</v>
      </c>
      <c r="M480" s="163">
        <v>550000</v>
      </c>
      <c r="N480" s="163">
        <v>408195.4</v>
      </c>
      <c r="O480" s="163">
        <v>580336</v>
      </c>
      <c r="P480" s="163">
        <v>2185531.4</v>
      </c>
      <c r="Q480" s="167">
        <f>R480+S480+T480+U480</f>
        <v>2778065</v>
      </c>
      <c r="R480" s="163">
        <f>668804.6+50000+150000+120729+200000</f>
        <v>1189533.6</v>
      </c>
      <c r="S480" s="163">
        <f>550000+100000-100000</f>
        <v>550000</v>
      </c>
      <c r="T480" s="163">
        <f>408195.4+130000</f>
        <v>538195.4</v>
      </c>
      <c r="U480" s="163">
        <f>580336-50000+100000-130000</f>
        <v>500336</v>
      </c>
      <c r="V480" s="163">
        <f>10*12130*2.2</f>
        <v>266860</v>
      </c>
      <c r="W480" s="162" t="s">
        <v>618</v>
      </c>
      <c r="X480" s="163"/>
      <c r="Y480" s="194"/>
      <c r="Z480" s="163"/>
      <c r="AA480" s="163"/>
      <c r="AB480" s="168"/>
      <c r="AC480" s="168"/>
      <c r="AD480" s="168"/>
      <c r="AE480" s="168">
        <v>459201.6</v>
      </c>
      <c r="AF480" s="168">
        <v>8362.8</v>
      </c>
      <c r="AG480" s="168"/>
      <c r="AH480" s="169"/>
      <c r="AI480" s="170">
        <v>0.6763106140725907</v>
      </c>
      <c r="AJ480" s="152" t="s">
        <v>143</v>
      </c>
      <c r="AK480" s="171"/>
      <c r="AL480" s="171"/>
      <c r="AM480" s="38"/>
      <c r="AN480" s="38"/>
      <c r="AO480" s="38"/>
      <c r="AP480" s="38"/>
      <c r="AQ480" s="38"/>
      <c r="AR480" s="38"/>
      <c r="AS480" s="38"/>
      <c r="AT480" s="38"/>
      <c r="AU480" s="38"/>
      <c r="AV480" s="38"/>
      <c r="AW480" s="38"/>
      <c r="AX480" s="38"/>
      <c r="AY480" s="38"/>
      <c r="AZ480" s="38"/>
      <c r="BA480" s="38"/>
      <c r="BB480" s="38"/>
      <c r="BC480" s="38"/>
      <c r="BD480" s="38"/>
      <c r="BE480" s="38"/>
      <c r="BF480" s="38"/>
    </row>
    <row r="481" spans="1:58" s="173" customFormat="1" ht="12.75" customHeight="1">
      <c r="A481" s="153"/>
      <c r="B481" s="154" t="s">
        <v>189</v>
      </c>
      <c r="C481" s="155" t="s">
        <v>189</v>
      </c>
      <c r="D481" s="852">
        <v>656490015</v>
      </c>
      <c r="E481" s="157">
        <v>401</v>
      </c>
      <c r="F481" s="158">
        <v>656</v>
      </c>
      <c r="G481" s="250">
        <v>4900199990</v>
      </c>
      <c r="H481" s="160">
        <v>119</v>
      </c>
      <c r="I481" s="160">
        <v>213</v>
      </c>
      <c r="J481" s="321"/>
      <c r="K481" s="162"/>
      <c r="L481" s="163">
        <v>196000</v>
      </c>
      <c r="M481" s="163">
        <v>167000</v>
      </c>
      <c r="N481" s="163">
        <v>130000</v>
      </c>
      <c r="O481" s="163">
        <v>173615</v>
      </c>
      <c r="P481" s="163">
        <v>666615</v>
      </c>
      <c r="Q481" s="167">
        <f>R481+S481+T481+U481</f>
        <v>838975.6300000001</v>
      </c>
      <c r="R481" s="163">
        <f>R480*30.2%</f>
        <v>359239.1472</v>
      </c>
      <c r="S481" s="163">
        <f>S480*30.2%</f>
        <v>166100</v>
      </c>
      <c r="T481" s="163">
        <f>T480*30.2%</f>
        <v>162535.0108</v>
      </c>
      <c r="U481" s="163">
        <f>U480*30.2%</f>
        <v>151101.472</v>
      </c>
      <c r="V481" s="163">
        <f>V480*30.2%+0.28+20.5+0.05</f>
        <v>80612.55</v>
      </c>
      <c r="W481" s="162"/>
      <c r="X481" s="163"/>
      <c r="Y481" s="255"/>
      <c r="Z481" s="517">
        <f>Z479+Z480</f>
        <v>0</v>
      </c>
      <c r="AA481" s="517">
        <f>AA479+AA480</f>
        <v>0</v>
      </c>
      <c r="AB481" s="1410"/>
      <c r="AC481" s="1411"/>
      <c r="AD481" s="1412"/>
      <c r="AE481" s="184">
        <v>1968169.27</v>
      </c>
      <c r="AF481" s="185">
        <v>29062.8</v>
      </c>
      <c r="AG481" s="1410"/>
      <c r="AH481" s="1412"/>
      <c r="AI481" s="186">
        <v>0.6798762048119268</v>
      </c>
      <c r="AJ481" s="152" t="s">
        <v>143</v>
      </c>
      <c r="AK481" s="171"/>
      <c r="AM481" s="38"/>
      <c r="AN481" s="38"/>
      <c r="AO481" s="38"/>
      <c r="AP481" s="38"/>
      <c r="AQ481" s="38"/>
      <c r="AR481" s="38"/>
      <c r="AS481" s="38"/>
      <c r="AT481" s="38"/>
      <c r="AU481" s="38"/>
      <c r="AV481" s="38"/>
      <c r="AW481" s="38"/>
      <c r="AX481" s="38"/>
      <c r="AY481" s="38"/>
      <c r="AZ481" s="38"/>
      <c r="BA481" s="38"/>
      <c r="BB481" s="38"/>
      <c r="BC481" s="38"/>
      <c r="BD481" s="38"/>
      <c r="BE481" s="38"/>
      <c r="BF481" s="38"/>
    </row>
    <row r="482" spans="1:58" s="173" customFormat="1" ht="13.5" customHeight="1" thickBot="1">
      <c r="A482" s="153"/>
      <c r="B482" s="1413" t="s">
        <v>161</v>
      </c>
      <c r="C482" s="1414"/>
      <c r="D482" s="1414"/>
      <c r="E482" s="1414"/>
      <c r="F482" s="1414"/>
      <c r="G482" s="1414"/>
      <c r="H482" s="1414"/>
      <c r="I482" s="1414"/>
      <c r="J482" s="1414"/>
      <c r="K482" s="1415"/>
      <c r="L482" s="177">
        <v>843000</v>
      </c>
      <c r="M482" s="178">
        <v>717000</v>
      </c>
      <c r="N482" s="178">
        <v>538195.4</v>
      </c>
      <c r="O482" s="177">
        <v>753951</v>
      </c>
      <c r="P482" s="178">
        <v>2852146.4</v>
      </c>
      <c r="Q482" s="179">
        <f>R482+S482+T482+U482</f>
        <v>3617040.63</v>
      </c>
      <c r="R482" s="177">
        <f aca="true" t="shared" si="7" ref="R482:X482">R480+R481</f>
        <v>1548772.7472</v>
      </c>
      <c r="S482" s="177">
        <f t="shared" si="7"/>
        <v>716100</v>
      </c>
      <c r="T482" s="177">
        <f t="shared" si="7"/>
        <v>700730.4108</v>
      </c>
      <c r="U482" s="177">
        <f t="shared" si="7"/>
        <v>651437.4720000001</v>
      </c>
      <c r="V482" s="517">
        <f t="shared" si="7"/>
        <v>347472.55</v>
      </c>
      <c r="W482" s="253" t="e">
        <f t="shared" si="7"/>
        <v>#VALUE!</v>
      </c>
      <c r="X482" s="517">
        <f t="shared" si="7"/>
        <v>0</v>
      </c>
      <c r="Y482" s="445"/>
      <c r="Z482" s="596"/>
      <c r="AA482" s="597"/>
      <c r="AB482" s="1482"/>
      <c r="AC482" s="1482"/>
      <c r="AD482" s="1482"/>
      <c r="AE482" s="598">
        <v>56847113.16</v>
      </c>
      <c r="AF482" s="599">
        <v>5731524.97</v>
      </c>
      <c r="AG482" s="1482"/>
      <c r="AH482" s="1482"/>
      <c r="AI482" s="600">
        <v>0.2941370944227436</v>
      </c>
      <c r="AJ482" s="152" t="s">
        <v>143</v>
      </c>
      <c r="AK482" s="171"/>
      <c r="AL482" s="171"/>
      <c r="AM482" s="38"/>
      <c r="AN482" s="38"/>
      <c r="AO482" s="38"/>
      <c r="AP482" s="38"/>
      <c r="AQ482" s="38"/>
      <c r="AR482" s="38"/>
      <c r="AS482" s="38"/>
      <c r="AT482" s="38"/>
      <c r="AU482" s="38"/>
      <c r="AV482" s="38"/>
      <c r="AW482" s="38"/>
      <c r="AX482" s="38"/>
      <c r="AY482" s="38"/>
      <c r="AZ482" s="38"/>
      <c r="BA482" s="38"/>
      <c r="BB482" s="38"/>
      <c r="BC482" s="38"/>
      <c r="BD482" s="38"/>
      <c r="BE482" s="38"/>
      <c r="BF482" s="38"/>
    </row>
    <row r="483" spans="1:38" ht="13.5" customHeight="1" thickBot="1">
      <c r="A483" s="153"/>
      <c r="B483" s="1480" t="s">
        <v>362</v>
      </c>
      <c r="C483" s="1480"/>
      <c r="D483" s="1480"/>
      <c r="E483" s="1480"/>
      <c r="F483" s="1480"/>
      <c r="G483" s="1480"/>
      <c r="H483" s="1480"/>
      <c r="I483" s="1480"/>
      <c r="J483" s="1480"/>
      <c r="K483" s="1481"/>
      <c r="L483" s="440">
        <v>41202317.18000001</v>
      </c>
      <c r="M483" s="226">
        <v>41023725.78999999</v>
      </c>
      <c r="N483" s="226">
        <v>44575761.35999999</v>
      </c>
      <c r="O483" s="440">
        <v>46955058.3</v>
      </c>
      <c r="P483" s="226">
        <v>173756862.62999997</v>
      </c>
      <c r="Q483" s="594"/>
      <c r="R483" s="225"/>
      <c r="S483" s="595"/>
      <c r="T483" s="225"/>
      <c r="U483" s="595"/>
      <c r="V483" s="442"/>
      <c r="W483" s="596" t="e">
        <f>V482/W482</f>
        <v>#VALUE!</v>
      </c>
      <c r="X483" s="444"/>
      <c r="Y483" s="609"/>
      <c r="Z483" s="605">
        <f>Z28+Z41+Z50+Z59+Z65+Z148+Z162+Z172+Z177+Z188+Z203+Z231+Z234+Z240+Z253+Z265+Z272+Z286+Z295+Z326+Z360+Z424+Z448+Z456+Z466+Z477+Z354+Z472+Z331+Z481+Z75+Z370+Z268+Z260+Z152+Z345</f>
        <v>55766244.00474944</v>
      </c>
      <c r="AA483" s="605">
        <f>AA28+AA41+AA50+AA59+AA65+AA148+AA162+AA172+AA177+AA188+AA203+AA231+AA234+AA240+AA253+AA265+AA272+AA286+AA295+AA326+AA360+AA424+AA448+AA456+AA466+AA477+AA354+AA472+AA331+AA481+AA75+AA370+AA268+AA260+AA152+AA345</f>
        <v>50330575.00474944</v>
      </c>
      <c r="AB483" s="610"/>
      <c r="AC483" s="611"/>
      <c r="AD483" s="611"/>
      <c r="AE483" s="612">
        <v>56847113.16</v>
      </c>
      <c r="AF483" s="612">
        <v>5731524.97</v>
      </c>
      <c r="AG483" s="611"/>
      <c r="AH483" s="613"/>
      <c r="AI483" s="614">
        <v>0.2941370944227436</v>
      </c>
      <c r="AJ483" s="107" t="s">
        <v>143</v>
      </c>
      <c r="AK483" s="30"/>
      <c r="AL483" s="30"/>
    </row>
    <row r="484" spans="1:58" s="173" customFormat="1" ht="12.75" customHeight="1" thickBot="1">
      <c r="A484" s="30"/>
      <c r="B484" s="601"/>
      <c r="C484" s="601"/>
      <c r="D484" s="602" t="s">
        <v>363</v>
      </c>
      <c r="E484" s="603"/>
      <c r="F484" s="603"/>
      <c r="G484" s="603"/>
      <c r="H484" s="603"/>
      <c r="I484" s="603"/>
      <c r="J484" s="604" t="s">
        <v>143</v>
      </c>
      <c r="K484" s="605"/>
      <c r="L484" s="606">
        <v>41202317.18000001</v>
      </c>
      <c r="M484" s="607">
        <v>41023725.78999999</v>
      </c>
      <c r="N484" s="606">
        <v>44575761.35999999</v>
      </c>
      <c r="O484" s="606">
        <v>46955058.3</v>
      </c>
      <c r="P484" s="607">
        <v>173756862.62999997</v>
      </c>
      <c r="Q484" s="608" t="e">
        <f>R484+S484+T484+U484</f>
        <v>#REF!</v>
      </c>
      <c r="R484" s="605" t="e">
        <f>R28+R41+R50+R59+R65+R75+R85+R90+R98+R149+R163+R173+R178+R189+R204+R232+R236+R241+R254+R266+R273+R287+R297+R327+R361+R382+R385+R389+R435+R449+R457+R467+R478</f>
        <v>#REF!</v>
      </c>
      <c r="S484" s="605" t="e">
        <f>S28+S41+S50+S59+S65+S75+S85+S90+S98+S149+S163+S173+S178+S189+S204+S232+S236+S241+S254+S266+S273+S287+S297+S327+S361+S382+S385+S389+S435+S449+S457+S467+S478</f>
        <v>#REF!</v>
      </c>
      <c r="T484" s="605" t="e">
        <f>T28+T41+T50+T59+T65+T75+T85+T90+T98+T149+T163+T173+T178+T189+T204+T232+T236+T241+T254+T266+T273+T287+T297+T327+T361+T382+T385+T389+T435+T449+T457+T467+T478</f>
        <v>#REF!</v>
      </c>
      <c r="U484" s="605" t="e">
        <f>U28+U41+U50+U59+U65+U75+U85+U90+U98+U149+U163+U173+U178+U189+U204+U232+U236+U241+U254+U266+U273+U287+U297+U327+U361+U382+U385+U389+U435+U449+U457+U467+U478</f>
        <v>#REF!</v>
      </c>
      <c r="V484" s="605">
        <f>V28+V32+V41+V50+V59+V65+V149+V163+V173+V178+V189+V204+V232+V236+V241+V254+V266+V273+V287+V297+V327+V361+V435+V449+V457+V467+V478+V355+V473+V347+V482+V75+V371+V269+V261+V153+V318+V444</f>
        <v>58240187.59946544</v>
      </c>
      <c r="W484" s="605" t="e">
        <f>W28+W41+W50+W59+W65+W149+W163+W173+W178+W189+W204+W232+W236+W241+W254+W266+W273+W287+W297+W327+W361+W435+W449+W457+W467+W478+W355+W473+W347+W482+W75+W371+W269+W261+W153</f>
        <v>#VALUE!</v>
      </c>
      <c r="X484" s="605">
        <f>X28+X32+X41+X50+X59+X65+X149+X163+X173+X178+X189+X204+X232+X236+X241+X254+X266+X273+X287+X297+X327+X361+X435+X449+X457+X467+X478+X355+X473+X347+X482+X75+X371+X269+X261+X153+X318+X345+X444</f>
        <v>3083892.8100000005</v>
      </c>
      <c r="Y484" s="618"/>
      <c r="Z484" s="84">
        <v>55766244</v>
      </c>
      <c r="AA484" s="84">
        <v>50330575</v>
      </c>
      <c r="AB484" s="613"/>
      <c r="AC484" s="613"/>
      <c r="AD484" s="613"/>
      <c r="AE484" s="613"/>
      <c r="AF484" s="613"/>
      <c r="AG484" s="620"/>
      <c r="AH484" s="171"/>
      <c r="AI484" s="171"/>
      <c r="AJ484" s="171"/>
      <c r="AK484" s="171"/>
      <c r="AL484" s="171"/>
      <c r="AM484" s="38"/>
      <c r="AN484" s="38"/>
      <c r="AO484" s="38"/>
      <c r="AP484" s="38"/>
      <c r="AQ484" s="38"/>
      <c r="AR484" s="38"/>
      <c r="AS484" s="38"/>
      <c r="AT484" s="38"/>
      <c r="AU484" s="38"/>
      <c r="AV484" s="38"/>
      <c r="AW484" s="38"/>
      <c r="AX484" s="38"/>
      <c r="AY484" s="38"/>
      <c r="AZ484" s="38"/>
      <c r="BA484" s="38"/>
      <c r="BB484" s="38"/>
      <c r="BC484" s="38"/>
      <c r="BD484" s="38"/>
      <c r="BE484" s="38"/>
      <c r="BF484" s="38"/>
    </row>
    <row r="485" spans="1:58" s="173" customFormat="1" ht="12.75" customHeight="1">
      <c r="A485" s="171"/>
      <c r="B485" s="171"/>
      <c r="C485" s="171"/>
      <c r="D485" s="171"/>
      <c r="E485" s="613"/>
      <c r="F485" s="613"/>
      <c r="G485" s="613"/>
      <c r="H485" s="613"/>
      <c r="I485" s="613"/>
      <c r="J485" s="615"/>
      <c r="K485" s="613"/>
      <c r="L485" s="613"/>
      <c r="M485" s="613"/>
      <c r="N485" s="613"/>
      <c r="O485" s="613"/>
      <c r="P485" s="613"/>
      <c r="Q485" s="322"/>
      <c r="R485" s="616">
        <v>23547433</v>
      </c>
      <c r="S485" s="616">
        <v>6416614</v>
      </c>
      <c r="T485" s="616">
        <v>6310420</v>
      </c>
      <c r="U485" s="616">
        <v>6332336</v>
      </c>
      <c r="V485" s="84">
        <v>58240187.59946544</v>
      </c>
      <c r="W485" s="613"/>
      <c r="X485" s="617">
        <f>3077041.11+6851.7</f>
        <v>3083892.81</v>
      </c>
      <c r="Y485" s="622"/>
      <c r="Z485" s="994">
        <f>Z483-Z484</f>
        <v>0.0047494396567344666</v>
      </c>
      <c r="AA485" s="994">
        <f>AA483-AA484</f>
        <v>0.0047494396567344666</v>
      </c>
      <c r="AB485" s="171"/>
      <c r="AC485" s="171"/>
      <c r="AD485" s="171"/>
      <c r="AE485" s="171"/>
      <c r="AF485" s="171"/>
      <c r="AG485" s="171"/>
      <c r="AH485" s="171"/>
      <c r="AI485" s="171"/>
      <c r="AJ485" s="171"/>
      <c r="AK485" s="171"/>
      <c r="AL485" s="171"/>
      <c r="AM485" s="38"/>
      <c r="AN485" s="38"/>
      <c r="AO485" s="38"/>
      <c r="AP485" s="38"/>
      <c r="AQ485" s="38"/>
      <c r="AR485" s="38"/>
      <c r="AS485" s="38"/>
      <c r="AT485" s="38"/>
      <c r="AU485" s="38"/>
      <c r="AV485" s="38"/>
      <c r="AW485" s="38"/>
      <c r="AX485" s="38"/>
      <c r="AY485" s="38"/>
      <c r="AZ485" s="38"/>
      <c r="BA485" s="38"/>
      <c r="BB485" s="38"/>
      <c r="BC485" s="38"/>
      <c r="BD485" s="38"/>
      <c r="BE485" s="38"/>
      <c r="BF485" s="38"/>
    </row>
    <row r="486" spans="1:58" s="173" customFormat="1" ht="12.75" customHeight="1">
      <c r="A486" s="171"/>
      <c r="B486" s="171"/>
      <c r="C486" s="171"/>
      <c r="D486" s="171"/>
      <c r="E486" s="613"/>
      <c r="F486" s="613"/>
      <c r="G486" s="1070">
        <f>V449+V435</f>
        <v>9249028.354</v>
      </c>
      <c r="H486" s="613">
        <f>V482+V467+V149</f>
        <v>8551760.04686144</v>
      </c>
      <c r="I486" s="613"/>
      <c r="J486" s="615"/>
      <c r="K486" s="613"/>
      <c r="L486" s="613"/>
      <c r="M486" s="613"/>
      <c r="N486" s="613"/>
      <c r="O486" s="613"/>
      <c r="P486" s="613"/>
      <c r="Q486" s="990"/>
      <c r="R486" s="616"/>
      <c r="S486" s="616"/>
      <c r="T486" s="616"/>
      <c r="U486" s="616"/>
      <c r="V486" s="994">
        <f>V485-V484</f>
        <v>0</v>
      </c>
      <c r="W486" s="613">
        <f>V484+X484</f>
        <v>61324080.40946544</v>
      </c>
      <c r="X486" s="617">
        <f>X484-X485</f>
        <v>0</v>
      </c>
      <c r="Y486" s="622"/>
      <c r="Z486" s="622"/>
      <c r="AA486" s="622"/>
      <c r="AB486" s="171"/>
      <c r="AC486" s="171"/>
      <c r="AD486" s="171"/>
      <c r="AE486" s="171"/>
      <c r="AF486" s="171"/>
      <c r="AG486" s="171"/>
      <c r="AH486" s="171"/>
      <c r="AI486" s="171"/>
      <c r="AJ486" s="171"/>
      <c r="AK486" s="171"/>
      <c r="AL486" s="171"/>
      <c r="AM486" s="38"/>
      <c r="AN486" s="38"/>
      <c r="AO486" s="38"/>
      <c r="AP486" s="38"/>
      <c r="AQ486" s="38"/>
      <c r="AR486" s="38"/>
      <c r="AS486" s="38"/>
      <c r="AT486" s="38"/>
      <c r="AU486" s="38"/>
      <c r="AV486" s="38"/>
      <c r="AW486" s="38"/>
      <c r="AX486" s="38"/>
      <c r="AY486" s="38"/>
      <c r="AZ486" s="38"/>
      <c r="BA486" s="38"/>
      <c r="BB486" s="38"/>
      <c r="BC486" s="38"/>
      <c r="BD486" s="38"/>
      <c r="BE486" s="38"/>
      <c r="BF486" s="38"/>
    </row>
    <row r="487" spans="1:58" s="173" customFormat="1" ht="108" customHeight="1" hidden="1">
      <c r="A487" s="171"/>
      <c r="B487" s="171"/>
      <c r="C487" s="171"/>
      <c r="D487" s="171"/>
      <c r="E487" s="171"/>
      <c r="F487" s="171"/>
      <c r="G487" s="171"/>
      <c r="H487" s="1071">
        <f>G486+H486+'[3]2020'!$L$73</f>
        <v>45175646.00086144</v>
      </c>
      <c r="I487" s="171"/>
      <c r="J487" s="621"/>
      <c r="K487" s="171"/>
      <c r="L487" s="171"/>
      <c r="M487" s="171"/>
      <c r="N487" s="171"/>
      <c r="O487" s="171"/>
      <c r="P487" s="171"/>
      <c r="Q487" s="622"/>
      <c r="R487" s="623" t="e">
        <f>R484-R485</f>
        <v>#REF!</v>
      </c>
      <c r="S487" s="623" t="e">
        <f>S484-S485</f>
        <v>#REF!</v>
      </c>
      <c r="T487" s="623" t="e">
        <f>T484-T485</f>
        <v>#REF!</v>
      </c>
      <c r="U487" s="623" t="e">
        <f>U484-U485</f>
        <v>#REF!</v>
      </c>
      <c r="V487" s="622">
        <f>V484-AM93-V435-V449-V467-V28-V163-V456-V297-V273-V64-V54</f>
        <v>20981700.698528</v>
      </c>
      <c r="W487" s="171"/>
      <c r="X487" s="36"/>
      <c r="Y487" s="776">
        <v>42818.1</v>
      </c>
      <c r="Z487" s="776">
        <v>43165.8</v>
      </c>
      <c r="AA487" s="622">
        <v>44145.3</v>
      </c>
      <c r="AB487" s="171"/>
      <c r="AC487" s="171"/>
      <c r="AD487" s="171"/>
      <c r="AE487" s="171"/>
      <c r="AF487" s="171"/>
      <c r="AG487" s="171"/>
      <c r="AH487" s="171"/>
      <c r="AI487" s="171"/>
      <c r="AJ487" s="171"/>
      <c r="AK487" s="171"/>
      <c r="AL487" s="171"/>
      <c r="AM487" s="38"/>
      <c r="AN487" s="38"/>
      <c r="AO487" s="38"/>
      <c r="AP487" s="38"/>
      <c r="AQ487" s="38"/>
      <c r="AR487" s="38"/>
      <c r="AS487" s="38"/>
      <c r="AT487" s="38"/>
      <c r="AU487" s="38"/>
      <c r="AV487" s="38"/>
      <c r="AW487" s="38"/>
      <c r="AX487" s="38"/>
      <c r="AY487" s="38"/>
      <c r="AZ487" s="38"/>
      <c r="BA487" s="38"/>
      <c r="BB487" s="38"/>
      <c r="BC487" s="38"/>
      <c r="BD487" s="38"/>
      <c r="BE487" s="38"/>
      <c r="BF487" s="38"/>
    </row>
    <row r="488" spans="1:58" s="173" customFormat="1" ht="13.5" customHeight="1" hidden="1">
      <c r="A488" s="40"/>
      <c r="B488" s="624"/>
      <c r="C488" s="624"/>
      <c r="D488" s="624"/>
      <c r="E488" s="624" t="s">
        <v>364</v>
      </c>
      <c r="F488" s="624"/>
      <c r="G488" s="776" t="s">
        <v>365</v>
      </c>
      <c r="H488" s="776"/>
      <c r="I488" s="776"/>
      <c r="J488" s="776"/>
      <c r="K488" s="776"/>
      <c r="L488" s="776"/>
      <c r="M488" s="776"/>
      <c r="N488" s="776"/>
      <c r="O488" s="776"/>
      <c r="P488" s="776"/>
      <c r="Q488" s="776"/>
      <c r="R488" s="776"/>
      <c r="S488" s="776"/>
      <c r="T488" s="776"/>
      <c r="U488" s="776"/>
      <c r="V488" s="970">
        <f>V487-V254</f>
        <v>12241584.698528</v>
      </c>
      <c r="W488" s="776"/>
      <c r="X488" s="776"/>
      <c r="Y488" s="622"/>
      <c r="Z488" s="622"/>
      <c r="AA488" s="622"/>
      <c r="AB488" s="171"/>
      <c r="AC488" s="171"/>
      <c r="AD488" s="171"/>
      <c r="AE488" s="171"/>
      <c r="AF488" s="171"/>
      <c r="AG488" s="171"/>
      <c r="AH488" s="171"/>
      <c r="AI488" s="171"/>
      <c r="AJ488" s="171"/>
      <c r="AK488" s="171"/>
      <c r="AL488" s="171"/>
      <c r="AM488" s="38"/>
      <c r="AN488" s="38"/>
      <c r="AO488" s="38"/>
      <c r="AP488" s="38"/>
      <c r="AQ488" s="38"/>
      <c r="AR488" s="38"/>
      <c r="AS488" s="38"/>
      <c r="AT488" s="38"/>
      <c r="AU488" s="38"/>
      <c r="AV488" s="38"/>
      <c r="AW488" s="38"/>
      <c r="AX488" s="38"/>
      <c r="AY488" s="38"/>
      <c r="AZ488" s="38"/>
      <c r="BA488" s="38"/>
      <c r="BB488" s="38"/>
      <c r="BC488" s="38"/>
      <c r="BD488" s="38"/>
      <c r="BE488" s="38"/>
      <c r="BF488" s="38"/>
    </row>
    <row r="489" spans="1:58" s="173" customFormat="1" ht="13.5" customHeight="1" hidden="1">
      <c r="A489" s="40"/>
      <c r="B489" s="624"/>
      <c r="C489" s="624"/>
      <c r="D489" s="625" t="s">
        <v>366</v>
      </c>
      <c r="E489" s="626">
        <f>V23+V34+V87+V160+V378+V447+V461</f>
        <v>15643891.5084</v>
      </c>
      <c r="F489" s="624"/>
      <c r="G489" s="624"/>
      <c r="H489" s="624"/>
      <c r="I489" s="624"/>
      <c r="J489" s="615"/>
      <c r="K489" s="171"/>
      <c r="L489" s="171"/>
      <c r="M489" s="171"/>
      <c r="N489" s="171"/>
      <c r="O489" s="171"/>
      <c r="P489" s="171"/>
      <c r="Q489" s="622"/>
      <c r="R489" s="627"/>
      <c r="S489" s="171"/>
      <c r="T489" s="171"/>
      <c r="U489" s="628"/>
      <c r="V489" s="622"/>
      <c r="W489" s="622"/>
      <c r="X489" s="36"/>
      <c r="Y489" s="622"/>
      <c r="Z489" s="622"/>
      <c r="AA489" s="622"/>
      <c r="AB489" s="171"/>
      <c r="AC489" s="171"/>
      <c r="AD489" s="171"/>
      <c r="AE489" s="171"/>
      <c r="AF489" s="171"/>
      <c r="AG489" s="171"/>
      <c r="AH489" s="171"/>
      <c r="AI489" s="171"/>
      <c r="AJ489" s="171"/>
      <c r="AK489" s="171"/>
      <c r="AL489" s="171"/>
      <c r="AM489" s="38"/>
      <c r="AN489" s="38"/>
      <c r="AO489" s="38"/>
      <c r="AP489" s="38"/>
      <c r="AQ489" s="38"/>
      <c r="AR489" s="38"/>
      <c r="AS489" s="38"/>
      <c r="AT489" s="38"/>
      <c r="AU489" s="38"/>
      <c r="AV489" s="38"/>
      <c r="AW489" s="38"/>
      <c r="AX489" s="38"/>
      <c r="AY489" s="38"/>
      <c r="AZ489" s="38"/>
      <c r="BA489" s="38"/>
      <c r="BB489" s="38"/>
      <c r="BC489" s="38"/>
      <c r="BD489" s="38"/>
      <c r="BE489" s="38"/>
      <c r="BF489" s="38"/>
    </row>
    <row r="490" spans="1:58" s="173" customFormat="1" ht="13.5" customHeight="1" hidden="1">
      <c r="A490" s="40"/>
      <c r="B490" s="624"/>
      <c r="C490" s="624"/>
      <c r="D490" s="625"/>
      <c r="E490" s="626"/>
      <c r="F490" s="624"/>
      <c r="G490" s="624"/>
      <c r="H490" s="624"/>
      <c r="I490" s="624"/>
      <c r="J490" s="615"/>
      <c r="K490" s="171"/>
      <c r="L490" s="171"/>
      <c r="M490" s="171"/>
      <c r="N490" s="171"/>
      <c r="O490" s="171"/>
      <c r="P490" s="171"/>
      <c r="Q490" s="622"/>
      <c r="R490" s="627"/>
      <c r="S490" s="171"/>
      <c r="T490" s="171"/>
      <c r="U490" s="628"/>
      <c r="V490" s="622"/>
      <c r="W490" s="579"/>
      <c r="X490" s="36"/>
      <c r="Y490" s="622"/>
      <c r="Z490" s="622"/>
      <c r="AA490" s="622"/>
      <c r="AB490" s="171"/>
      <c r="AC490" s="171"/>
      <c r="AD490" s="171"/>
      <c r="AE490" s="171"/>
      <c r="AF490" s="171"/>
      <c r="AG490" s="171"/>
      <c r="AH490" s="171"/>
      <c r="AI490" s="171"/>
      <c r="AJ490" s="171"/>
      <c r="AK490" s="171"/>
      <c r="AL490" s="171"/>
      <c r="AM490" s="38"/>
      <c r="AN490" s="38"/>
      <c r="AO490" s="38"/>
      <c r="AP490" s="38"/>
      <c r="AQ490" s="38"/>
      <c r="AR490" s="38"/>
      <c r="AS490" s="38"/>
      <c r="AT490" s="38"/>
      <c r="AU490" s="38"/>
      <c r="AV490" s="38"/>
      <c r="AW490" s="38"/>
      <c r="AX490" s="38"/>
      <c r="AY490" s="38"/>
      <c r="AZ490" s="38"/>
      <c r="BA490" s="38"/>
      <c r="BB490" s="38"/>
      <c r="BC490" s="38"/>
      <c r="BD490" s="38"/>
      <c r="BE490" s="38"/>
      <c r="BF490" s="38"/>
    </row>
    <row r="491" spans="1:58" s="173" customFormat="1" ht="13.5" customHeight="1" hidden="1">
      <c r="A491" s="40"/>
      <c r="B491" s="624"/>
      <c r="C491" s="624"/>
      <c r="D491" s="625">
        <v>213</v>
      </c>
      <c r="E491" s="626">
        <f>V27+V40+V89+V162+V448+V463+V381</f>
        <v>4671015.743141441</v>
      </c>
      <c r="F491" s="624"/>
      <c r="G491" s="624"/>
      <c r="H491" s="624"/>
      <c r="I491" s="624"/>
      <c r="J491" s="615"/>
      <c r="K491" s="171"/>
      <c r="L491" s="171"/>
      <c r="M491" s="171"/>
      <c r="N491" s="171"/>
      <c r="O491" s="171"/>
      <c r="P491" s="171"/>
      <c r="Q491" s="622"/>
      <c r="R491" s="627"/>
      <c r="S491" s="171"/>
      <c r="T491" s="171"/>
      <c r="U491" s="628"/>
      <c r="V491" s="622" t="s">
        <v>367</v>
      </c>
      <c r="W491" s="622"/>
      <c r="X491" s="36"/>
      <c r="Y491" s="622"/>
      <c r="Z491" s="622"/>
      <c r="AA491" s="622"/>
      <c r="AB491" s="171"/>
      <c r="AC491" s="171"/>
      <c r="AD491" s="171"/>
      <c r="AE491" s="171"/>
      <c r="AF491" s="171"/>
      <c r="AG491" s="171"/>
      <c r="AH491" s="171"/>
      <c r="AI491" s="171"/>
      <c r="AJ491" s="171"/>
      <c r="AK491" s="171"/>
      <c r="AL491" s="171"/>
      <c r="AM491" s="38"/>
      <c r="AN491" s="38"/>
      <c r="AO491" s="38"/>
      <c r="AP491" s="38"/>
      <c r="AQ491" s="38"/>
      <c r="AR491" s="38"/>
      <c r="AS491" s="38"/>
      <c r="AT491" s="38"/>
      <c r="AU491" s="38"/>
      <c r="AV491" s="38"/>
      <c r="AW491" s="38"/>
      <c r="AX491" s="38"/>
      <c r="AY491" s="38"/>
      <c r="AZ491" s="38"/>
      <c r="BA491" s="38"/>
      <c r="BB491" s="38"/>
      <c r="BC491" s="38"/>
      <c r="BD491" s="38"/>
      <c r="BE491" s="38"/>
      <c r="BF491" s="38"/>
    </row>
    <row r="492" spans="1:58" s="173" customFormat="1" ht="13.5" customHeight="1" hidden="1">
      <c r="A492" s="40"/>
      <c r="B492" s="624"/>
      <c r="C492" s="624"/>
      <c r="D492" s="625">
        <v>212</v>
      </c>
      <c r="E492" s="626">
        <f>V43+V72+V84+V100+V384</f>
        <v>138704.59</v>
      </c>
      <c r="F492" s="624"/>
      <c r="G492" s="624"/>
      <c r="H492" s="624"/>
      <c r="I492" s="624"/>
      <c r="J492" s="615"/>
      <c r="K492" s="171"/>
      <c r="L492" s="171"/>
      <c r="M492" s="171"/>
      <c r="N492" s="171"/>
      <c r="O492" s="171"/>
      <c r="P492" s="171"/>
      <c r="Q492" s="622"/>
      <c r="R492" s="627"/>
      <c r="S492" s="171"/>
      <c r="T492" s="171"/>
      <c r="U492" s="628"/>
      <c r="V492" s="622" t="s">
        <v>368</v>
      </c>
      <c r="W492" s="622"/>
      <c r="X492" s="36"/>
      <c r="Y492" s="622"/>
      <c r="Z492" s="622"/>
      <c r="AA492" s="622"/>
      <c r="AB492" s="171"/>
      <c r="AC492" s="171"/>
      <c r="AD492" s="171"/>
      <c r="AE492" s="171"/>
      <c r="AF492" s="171"/>
      <c r="AG492" s="171"/>
      <c r="AH492" s="171"/>
      <c r="AI492" s="171"/>
      <c r="AJ492" s="171"/>
      <c r="AK492" s="171"/>
      <c r="AL492" s="171"/>
      <c r="AM492" s="38"/>
      <c r="AN492" s="38"/>
      <c r="AO492" s="38"/>
      <c r="AP492" s="38"/>
      <c r="AQ492" s="38"/>
      <c r="AR492" s="38"/>
      <c r="AS492" s="38"/>
      <c r="AT492" s="38"/>
      <c r="AU492" s="38"/>
      <c r="AV492" s="38"/>
      <c r="AW492" s="38"/>
      <c r="AX492" s="38"/>
      <c r="AY492" s="38"/>
      <c r="AZ492" s="38"/>
      <c r="BA492" s="38"/>
      <c r="BB492" s="38"/>
      <c r="BC492" s="38"/>
      <c r="BD492" s="38"/>
      <c r="BE492" s="38"/>
      <c r="BF492" s="38"/>
    </row>
    <row r="493" spans="1:58" s="173" customFormat="1" ht="38.25" customHeight="1" hidden="1">
      <c r="A493" s="40"/>
      <c r="B493" s="624"/>
      <c r="C493" s="624"/>
      <c r="D493" s="625">
        <v>221</v>
      </c>
      <c r="E493" s="626">
        <f>V98+V389</f>
        <v>414357</v>
      </c>
      <c r="F493" s="624"/>
      <c r="G493" s="624"/>
      <c r="H493" s="624"/>
      <c r="I493" s="624"/>
      <c r="J493" s="615"/>
      <c r="K493" s="171"/>
      <c r="L493" s="171"/>
      <c r="M493" s="171"/>
      <c r="N493" s="171"/>
      <c r="O493" s="171"/>
      <c r="P493" s="171"/>
      <c r="Q493" s="622"/>
      <c r="R493" s="627"/>
      <c r="S493" s="171"/>
      <c r="T493" s="171"/>
      <c r="U493" s="628"/>
      <c r="V493" s="622" t="s">
        <v>369</v>
      </c>
      <c r="W493" s="622"/>
      <c r="X493" s="36"/>
      <c r="Y493" s="622"/>
      <c r="Z493" s="622"/>
      <c r="AA493" s="622"/>
      <c r="AB493" s="171"/>
      <c r="AC493" s="171"/>
      <c r="AD493" s="171"/>
      <c r="AE493" s="171"/>
      <c r="AF493" s="171"/>
      <c r="AG493" s="171"/>
      <c r="AH493" s="171"/>
      <c r="AI493" s="171"/>
      <c r="AJ493" s="171"/>
      <c r="AK493" s="171"/>
      <c r="AL493" s="171"/>
      <c r="AM493" s="38"/>
      <c r="AN493" s="38"/>
      <c r="AO493" s="38"/>
      <c r="AP493" s="38"/>
      <c r="AQ493" s="38"/>
      <c r="AR493" s="38"/>
      <c r="AS493" s="38"/>
      <c r="AT493" s="38"/>
      <c r="AU493" s="38"/>
      <c r="AV493" s="38"/>
      <c r="AW493" s="38"/>
      <c r="AX493" s="38"/>
      <c r="AY493" s="38"/>
      <c r="AZ493" s="38"/>
      <c r="BA493" s="38"/>
      <c r="BB493" s="38"/>
      <c r="BC493" s="38"/>
      <c r="BD493" s="38"/>
      <c r="BE493" s="38"/>
      <c r="BF493" s="38"/>
    </row>
    <row r="494" spans="1:58" s="173" customFormat="1" ht="13.5" customHeight="1" hidden="1">
      <c r="A494" s="40"/>
      <c r="B494" s="624"/>
      <c r="C494" s="624"/>
      <c r="D494" s="625">
        <v>223</v>
      </c>
      <c r="E494" s="626">
        <f>V105+V322+V396</f>
        <v>978380</v>
      </c>
      <c r="F494" s="624"/>
      <c r="G494" s="624"/>
      <c r="H494" s="624"/>
      <c r="I494" s="624"/>
      <c r="J494" s="615"/>
      <c r="K494" s="171"/>
      <c r="L494" s="171"/>
      <c r="M494" s="171"/>
      <c r="N494" s="171"/>
      <c r="O494" s="171"/>
      <c r="P494" s="171"/>
      <c r="Q494" s="622"/>
      <c r="R494" s="627"/>
      <c r="S494" s="171"/>
      <c r="T494" s="171"/>
      <c r="U494" s="628"/>
      <c r="V494" s="629" t="s">
        <v>370</v>
      </c>
      <c r="W494" s="622"/>
      <c r="X494" s="36"/>
      <c r="Y494" s="622"/>
      <c r="Z494" s="622"/>
      <c r="AA494" s="622"/>
      <c r="AB494" s="171"/>
      <c r="AC494" s="171"/>
      <c r="AD494" s="171"/>
      <c r="AE494" s="171"/>
      <c r="AF494" s="171"/>
      <c r="AG494" s="171"/>
      <c r="AH494" s="171"/>
      <c r="AI494" s="171"/>
      <c r="AJ494" s="171"/>
      <c r="AK494" s="171"/>
      <c r="AL494" s="171"/>
      <c r="AM494" s="38"/>
      <c r="AN494" s="38"/>
      <c r="AO494" s="38"/>
      <c r="AP494" s="38"/>
      <c r="AQ494" s="38"/>
      <c r="AR494" s="38"/>
      <c r="AS494" s="38"/>
      <c r="AT494" s="38"/>
      <c r="AU494" s="38"/>
      <c r="AV494" s="38"/>
      <c r="AW494" s="38"/>
      <c r="AX494" s="38"/>
      <c r="AY494" s="38"/>
      <c r="AZ494" s="38"/>
      <c r="BA494" s="38"/>
      <c r="BB494" s="38"/>
      <c r="BC494" s="38"/>
      <c r="BD494" s="38"/>
      <c r="BE494" s="38"/>
      <c r="BF494" s="38"/>
    </row>
    <row r="495" spans="1:58" s="173" customFormat="1" ht="13.5" customHeight="1" hidden="1">
      <c r="A495" s="40"/>
      <c r="B495" s="624"/>
      <c r="C495" s="624"/>
      <c r="D495" s="625">
        <v>225</v>
      </c>
      <c r="E495" s="626">
        <f>V116+V181+V252+V253+V324+V358+V370+V406</f>
        <v>9519671.098</v>
      </c>
      <c r="F495" s="624"/>
      <c r="G495" s="624"/>
      <c r="H495" s="624"/>
      <c r="I495" s="624"/>
      <c r="J495" s="615"/>
      <c r="K495" s="171"/>
      <c r="L495" s="171"/>
      <c r="M495" s="171"/>
      <c r="N495" s="171"/>
      <c r="O495" s="171"/>
      <c r="P495" s="171"/>
      <c r="Q495" s="622"/>
      <c r="R495" s="627"/>
      <c r="S495" s="171"/>
      <c r="T495" s="171"/>
      <c r="U495" s="628"/>
      <c r="V495" s="622" t="s">
        <v>371</v>
      </c>
      <c r="W495" s="622"/>
      <c r="X495" s="36"/>
      <c r="Y495" s="622"/>
      <c r="Z495" s="622"/>
      <c r="AA495" s="622"/>
      <c r="AB495" s="171"/>
      <c r="AC495" s="171"/>
      <c r="AD495" s="171"/>
      <c r="AE495" s="171"/>
      <c r="AF495" s="171"/>
      <c r="AG495" s="171"/>
      <c r="AH495" s="171"/>
      <c r="AI495" s="171"/>
      <c r="AJ495" s="171"/>
      <c r="AK495" s="171"/>
      <c r="AL495" s="171"/>
      <c r="AM495" s="38"/>
      <c r="AN495" s="38"/>
      <c r="AO495" s="38"/>
      <c r="AP495" s="38"/>
      <c r="AQ495" s="38"/>
      <c r="AR495" s="38"/>
      <c r="AS495" s="38"/>
      <c r="AT495" s="38"/>
      <c r="AU495" s="38"/>
      <c r="AV495" s="38"/>
      <c r="AW495" s="38"/>
      <c r="AX495" s="38"/>
      <c r="AY495" s="38"/>
      <c r="AZ495" s="38"/>
      <c r="BA495" s="38"/>
      <c r="BB495" s="38"/>
      <c r="BC495" s="38"/>
      <c r="BD495" s="38"/>
      <c r="BE495" s="38"/>
      <c r="BF495" s="38"/>
    </row>
    <row r="496" spans="1:58" s="173" customFormat="1" ht="13.5" customHeight="1" hidden="1">
      <c r="A496" s="40"/>
      <c r="B496" s="624"/>
      <c r="C496" s="624"/>
      <c r="D496" s="625">
        <v>226</v>
      </c>
      <c r="E496" s="626">
        <f>V130+V287+V413</f>
        <v>2516960</v>
      </c>
      <c r="F496" s="624"/>
      <c r="G496" s="624"/>
      <c r="H496" s="624"/>
      <c r="I496" s="624"/>
      <c r="J496" s="615"/>
      <c r="K496" s="171"/>
      <c r="L496" s="171"/>
      <c r="M496" s="171"/>
      <c r="N496" s="171"/>
      <c r="O496" s="171"/>
      <c r="P496" s="171"/>
      <c r="Q496" s="622"/>
      <c r="R496" s="627"/>
      <c r="S496" s="171"/>
      <c r="T496" s="171"/>
      <c r="U496" s="628"/>
      <c r="V496" s="622"/>
      <c r="W496" s="622"/>
      <c r="X496" s="36"/>
      <c r="Y496" s="622"/>
      <c r="Z496" s="622"/>
      <c r="AA496" s="622"/>
      <c r="AB496" s="171"/>
      <c r="AC496" s="171"/>
      <c r="AD496" s="171"/>
      <c r="AE496" s="171"/>
      <c r="AF496" s="171"/>
      <c r="AG496" s="171"/>
      <c r="AH496" s="171"/>
      <c r="AI496" s="171"/>
      <c r="AJ496" s="171"/>
      <c r="AK496" s="171"/>
      <c r="AL496" s="171"/>
      <c r="AM496" s="38"/>
      <c r="AN496" s="38"/>
      <c r="AO496" s="38"/>
      <c r="AP496" s="38"/>
      <c r="AQ496" s="38"/>
      <c r="AR496" s="38"/>
      <c r="AS496" s="38"/>
      <c r="AT496" s="38"/>
      <c r="AU496" s="38"/>
      <c r="AV496" s="38"/>
      <c r="AW496" s="38"/>
      <c r="AX496" s="38"/>
      <c r="AY496" s="38"/>
      <c r="AZ496" s="38"/>
      <c r="BA496" s="38"/>
      <c r="BB496" s="38"/>
      <c r="BC496" s="38"/>
      <c r="BD496" s="38"/>
      <c r="BE496" s="38"/>
      <c r="BF496" s="38"/>
    </row>
    <row r="497" spans="1:58" s="173" customFormat="1" ht="13.5" customHeight="1" hidden="1">
      <c r="A497" s="40"/>
      <c r="B497" s="624"/>
      <c r="C497" s="624"/>
      <c r="D497" s="625">
        <v>241</v>
      </c>
      <c r="E497" s="630">
        <f>V273</f>
        <v>1881960</v>
      </c>
      <c r="F497" s="624"/>
      <c r="G497" s="624" t="s">
        <v>372</v>
      </c>
      <c r="H497" s="624"/>
      <c r="I497" s="624"/>
      <c r="J497" s="615"/>
      <c r="K497" s="171"/>
      <c r="L497" s="171"/>
      <c r="M497" s="171"/>
      <c r="N497" s="171"/>
      <c r="O497" s="171"/>
      <c r="P497" s="171"/>
      <c r="Q497" s="622"/>
      <c r="R497" s="627"/>
      <c r="S497" s="171"/>
      <c r="T497" s="171"/>
      <c r="U497" s="628"/>
      <c r="V497" s="622"/>
      <c r="W497" s="631">
        <f>SUM(W491:W496)</f>
        <v>0</v>
      </c>
      <c r="X497" s="36"/>
      <c r="Y497" s="622"/>
      <c r="Z497" s="622"/>
      <c r="AA497" s="622"/>
      <c r="AB497" s="171"/>
      <c r="AC497" s="171"/>
      <c r="AD497" s="171"/>
      <c r="AE497" s="171"/>
      <c r="AF497" s="171"/>
      <c r="AG497" s="171"/>
      <c r="AH497" s="171"/>
      <c r="AI497" s="171"/>
      <c r="AJ497" s="171"/>
      <c r="AK497" s="171"/>
      <c r="AL497" s="171"/>
      <c r="AM497" s="38"/>
      <c r="AN497" s="38"/>
      <c r="AO497" s="38"/>
      <c r="AP497" s="38"/>
      <c r="AQ497" s="38"/>
      <c r="AR497" s="38"/>
      <c r="AS497" s="38"/>
      <c r="AT497" s="38"/>
      <c r="AU497" s="38"/>
      <c r="AV497" s="38"/>
      <c r="AW497" s="38"/>
      <c r="AX497" s="38"/>
      <c r="AY497" s="38"/>
      <c r="AZ497" s="38"/>
      <c r="BA497" s="38"/>
      <c r="BB497" s="38"/>
      <c r="BC497" s="38"/>
      <c r="BD497" s="38"/>
      <c r="BE497" s="38"/>
      <c r="BF497" s="38"/>
    </row>
    <row r="498" spans="1:58" s="173" customFormat="1" ht="13.5" customHeight="1" hidden="1">
      <c r="A498" s="40"/>
      <c r="B498" s="624"/>
      <c r="C498" s="624"/>
      <c r="D498" s="625">
        <v>242</v>
      </c>
      <c r="E498" s="630">
        <f>V266</f>
        <v>75168</v>
      </c>
      <c r="F498" s="624"/>
      <c r="G498" s="624" t="s">
        <v>373</v>
      </c>
      <c r="H498" s="624"/>
      <c r="I498" s="624"/>
      <c r="J498" s="615"/>
      <c r="K498" s="171"/>
      <c r="L498" s="171"/>
      <c r="M498" s="171"/>
      <c r="N498" s="171"/>
      <c r="O498" s="171"/>
      <c r="P498" s="171"/>
      <c r="Q498" s="622"/>
      <c r="R498" s="627"/>
      <c r="S498" s="171"/>
      <c r="T498" s="171"/>
      <c r="U498" s="628"/>
      <c r="V498" s="622"/>
      <c r="W498" s="171"/>
      <c r="X498" s="36"/>
      <c r="Y498" s="622"/>
      <c r="Z498" s="622"/>
      <c r="AA498" s="622"/>
      <c r="AB498" s="171"/>
      <c r="AC498" s="171"/>
      <c r="AD498" s="171"/>
      <c r="AE498" s="171"/>
      <c r="AF498" s="171"/>
      <c r="AG498" s="171"/>
      <c r="AH498" s="171"/>
      <c r="AI498" s="171"/>
      <c r="AJ498" s="171"/>
      <c r="AK498" s="171"/>
      <c r="AL498" s="171"/>
      <c r="AM498" s="38"/>
      <c r="AN498" s="38"/>
      <c r="AO498" s="38"/>
      <c r="AP498" s="38"/>
      <c r="AQ498" s="38"/>
      <c r="AR498" s="38"/>
      <c r="AS498" s="38"/>
      <c r="AT498" s="38"/>
      <c r="AU498" s="38"/>
      <c r="AV498" s="38"/>
      <c r="AW498" s="38"/>
      <c r="AX498" s="38"/>
      <c r="AY498" s="38"/>
      <c r="AZ498" s="38"/>
      <c r="BA498" s="38"/>
      <c r="BB498" s="38"/>
      <c r="BC498" s="38"/>
      <c r="BD498" s="38"/>
      <c r="BE498" s="38"/>
      <c r="BF498" s="38"/>
    </row>
    <row r="499" spans="1:59" s="173" customFormat="1" ht="13.5" customHeight="1" hidden="1">
      <c r="A499" s="40"/>
      <c r="B499" s="624"/>
      <c r="C499" s="624"/>
      <c r="D499" s="625">
        <v>251</v>
      </c>
      <c r="E499" s="626">
        <f>V59+V297</f>
        <v>16145484</v>
      </c>
      <c r="F499" s="624"/>
      <c r="G499" s="624"/>
      <c r="H499" s="624"/>
      <c r="I499" s="624"/>
      <c r="J499" s="615"/>
      <c r="K499" s="171"/>
      <c r="L499" s="171"/>
      <c r="M499" s="171"/>
      <c r="N499" s="171"/>
      <c r="O499" s="171"/>
      <c r="P499" s="171"/>
      <c r="Q499" s="622"/>
      <c r="R499" s="627"/>
      <c r="S499" s="171"/>
      <c r="T499" s="171"/>
      <c r="U499" s="628"/>
      <c r="V499" s="622"/>
      <c r="W499" s="171"/>
      <c r="X499" s="36"/>
      <c r="Y499" s="636"/>
      <c r="Z499" s="636"/>
      <c r="AA499" s="636"/>
      <c r="AB499" s="637"/>
      <c r="AC499" s="171"/>
      <c r="AD499" s="171"/>
      <c r="AE499" s="171"/>
      <c r="AF499" s="171"/>
      <c r="AG499" s="171"/>
      <c r="AH499" s="171"/>
      <c r="AI499" s="171"/>
      <c r="AJ499" s="171"/>
      <c r="AK499" s="171"/>
      <c r="AL499" s="171"/>
      <c r="AM499" s="38"/>
      <c r="AN499" s="38"/>
      <c r="AO499" s="38"/>
      <c r="AP499" s="38"/>
      <c r="AQ499" s="38"/>
      <c r="AR499" s="38"/>
      <c r="AS499" s="38"/>
      <c r="AT499" s="38"/>
      <c r="AU499" s="38"/>
      <c r="AV499" s="38"/>
      <c r="AW499" s="38"/>
      <c r="AX499" s="38"/>
      <c r="AY499" s="38"/>
      <c r="AZ499" s="38"/>
      <c r="BA499" s="38"/>
      <c r="BB499" s="38"/>
      <c r="BC499" s="38"/>
      <c r="BD499" s="38"/>
      <c r="BE499" s="38"/>
      <c r="BF499" s="38"/>
      <c r="BG499" s="38"/>
    </row>
    <row r="500" spans="1:59" s="173" customFormat="1" ht="13.5" customHeight="1" hidden="1">
      <c r="A500" s="40"/>
      <c r="B500" s="624"/>
      <c r="C500" s="624"/>
      <c r="D500" s="625"/>
      <c r="E500" s="632"/>
      <c r="F500" s="624"/>
      <c r="G500" s="624"/>
      <c r="H500" s="624"/>
      <c r="I500" s="624"/>
      <c r="J500" s="615"/>
      <c r="K500" s="171"/>
      <c r="L500" s="171"/>
      <c r="M500" s="171"/>
      <c r="N500" s="171"/>
      <c r="O500" s="171"/>
      <c r="P500" s="171"/>
      <c r="Q500" s="622"/>
      <c r="R500" s="627"/>
      <c r="S500" s="171"/>
      <c r="T500" s="171"/>
      <c r="U500" s="628"/>
      <c r="V500" s="633"/>
      <c r="W500" s="634" t="s">
        <v>374</v>
      </c>
      <c r="X500" s="635"/>
      <c r="Y500" s="639" t="s">
        <v>375</v>
      </c>
      <c r="Z500" s="639"/>
      <c r="AA500" s="639"/>
      <c r="AB500" s="641"/>
      <c r="AC500" s="171"/>
      <c r="AD500" s="171"/>
      <c r="AE500" s="171"/>
      <c r="AF500" s="171"/>
      <c r="AG500" s="171"/>
      <c r="AH500" s="171"/>
      <c r="AI500" s="171"/>
      <c r="AJ500" s="171"/>
      <c r="AK500" s="171"/>
      <c r="AL500" s="171"/>
      <c r="AM500" s="171"/>
      <c r="AN500" s="38"/>
      <c r="AO500" s="38"/>
      <c r="AP500" s="38"/>
      <c r="AQ500" s="38"/>
      <c r="AR500" s="38"/>
      <c r="AS500" s="38"/>
      <c r="AT500" s="38"/>
      <c r="AU500" s="38"/>
      <c r="AV500" s="38"/>
      <c r="AW500" s="38"/>
      <c r="AX500" s="38"/>
      <c r="AY500" s="38"/>
      <c r="AZ500" s="38"/>
      <c r="BA500" s="38"/>
      <c r="BB500" s="38"/>
      <c r="BC500" s="38"/>
      <c r="BD500" s="38"/>
      <c r="BE500" s="38"/>
      <c r="BF500" s="38"/>
      <c r="BG500" s="38"/>
    </row>
    <row r="501" spans="1:59" s="173" customFormat="1" ht="13.5" customHeight="1" hidden="1">
      <c r="A501" s="40"/>
      <c r="B501" s="624"/>
      <c r="C501" s="624"/>
      <c r="D501" s="625"/>
      <c r="E501" s="632"/>
      <c r="F501" s="624"/>
      <c r="G501" s="624"/>
      <c r="H501" s="624"/>
      <c r="I501" s="624"/>
      <c r="J501" s="615"/>
      <c r="K501" s="171"/>
      <c r="L501" s="171"/>
      <c r="M501" s="171"/>
      <c r="N501" s="171"/>
      <c r="O501" s="171"/>
      <c r="P501" s="171"/>
      <c r="Q501" s="622"/>
      <c r="R501" s="627"/>
      <c r="S501" s="171"/>
      <c r="T501" s="171"/>
      <c r="U501" s="628"/>
      <c r="V501" s="638" t="s">
        <v>367</v>
      </c>
      <c r="W501" s="639"/>
      <c r="X501" s="640"/>
      <c r="Y501" s="639" t="s">
        <v>376</v>
      </c>
      <c r="Z501" s="639"/>
      <c r="AA501" s="639"/>
      <c r="AB501" s="641"/>
      <c r="AC501" s="171"/>
      <c r="AD501" s="171"/>
      <c r="AE501" s="171"/>
      <c r="AF501" s="171"/>
      <c r="AG501" s="171"/>
      <c r="AH501" s="171"/>
      <c r="AI501" s="171"/>
      <c r="AJ501" s="171"/>
      <c r="AK501" s="171"/>
      <c r="AL501" s="171"/>
      <c r="AM501" s="171"/>
      <c r="AN501" s="38"/>
      <c r="AO501" s="38"/>
      <c r="AP501" s="38"/>
      <c r="AQ501" s="38"/>
      <c r="AR501" s="38"/>
      <c r="AS501" s="38"/>
      <c r="AT501" s="38"/>
      <c r="AU501" s="38"/>
      <c r="AV501" s="38"/>
      <c r="AW501" s="38"/>
      <c r="AX501" s="38"/>
      <c r="AY501" s="38"/>
      <c r="AZ501" s="38"/>
      <c r="BA501" s="38"/>
      <c r="BB501" s="38"/>
      <c r="BC501" s="38"/>
      <c r="BD501" s="38"/>
      <c r="BE501" s="38"/>
      <c r="BF501" s="38"/>
      <c r="BG501" s="38"/>
    </row>
    <row r="502" spans="1:59" s="173" customFormat="1" ht="13.5" customHeight="1" hidden="1">
      <c r="A502" s="40"/>
      <c r="B502" s="624"/>
      <c r="C502" s="624"/>
      <c r="D502" s="625"/>
      <c r="E502" s="632"/>
      <c r="F502" s="624"/>
      <c r="G502" s="624"/>
      <c r="H502" s="624"/>
      <c r="I502" s="624"/>
      <c r="J502" s="615"/>
      <c r="K502" s="171"/>
      <c r="L502" s="171"/>
      <c r="M502" s="171"/>
      <c r="N502" s="171"/>
      <c r="O502" s="171"/>
      <c r="P502" s="171"/>
      <c r="Q502" s="622"/>
      <c r="R502" s="627"/>
      <c r="S502" s="171"/>
      <c r="T502" s="171"/>
      <c r="U502" s="628"/>
      <c r="V502" s="638" t="s">
        <v>368</v>
      </c>
      <c r="W502" s="639">
        <v>1354000</v>
      </c>
      <c r="X502" s="640"/>
      <c r="Y502" s="639"/>
      <c r="Z502" s="639"/>
      <c r="AA502" s="639"/>
      <c r="AB502" s="641"/>
      <c r="AC502" s="171"/>
      <c r="AD502" s="171"/>
      <c r="AE502" s="171"/>
      <c r="AF502" s="171"/>
      <c r="AG502" s="171"/>
      <c r="AH502" s="171"/>
      <c r="AI502" s="171"/>
      <c r="AJ502" s="171"/>
      <c r="AK502" s="171"/>
      <c r="AL502" s="171"/>
      <c r="AM502" s="171"/>
      <c r="AN502" s="38"/>
      <c r="AO502" s="38"/>
      <c r="AP502" s="38"/>
      <c r="AQ502" s="38"/>
      <c r="AR502" s="38"/>
      <c r="AS502" s="38"/>
      <c r="AT502" s="38"/>
      <c r="AU502" s="38"/>
      <c r="AV502" s="38"/>
      <c r="AW502" s="38"/>
      <c r="AX502" s="38"/>
      <c r="AY502" s="38"/>
      <c r="AZ502" s="38"/>
      <c r="BA502" s="38"/>
      <c r="BB502" s="38"/>
      <c r="BC502" s="38"/>
      <c r="BD502" s="38"/>
      <c r="BE502" s="38"/>
      <c r="BF502" s="38"/>
      <c r="BG502" s="38"/>
    </row>
    <row r="503" spans="1:59" s="173" customFormat="1" ht="27" customHeight="1" hidden="1">
      <c r="A503" s="40"/>
      <c r="B503" s="624"/>
      <c r="C503" s="624"/>
      <c r="D503" s="625"/>
      <c r="E503" s="632"/>
      <c r="F503" s="624"/>
      <c r="G503" s="624"/>
      <c r="H503" s="624"/>
      <c r="I503" s="624"/>
      <c r="J503" s="615"/>
      <c r="K503" s="171"/>
      <c r="L503" s="171"/>
      <c r="M503" s="171"/>
      <c r="N503" s="171"/>
      <c r="O503" s="171"/>
      <c r="P503" s="171"/>
      <c r="Q503" s="622"/>
      <c r="R503" s="627"/>
      <c r="S503" s="171"/>
      <c r="T503" s="171"/>
      <c r="U503" s="628"/>
      <c r="V503" s="638" t="s">
        <v>377</v>
      </c>
      <c r="W503" s="639">
        <v>20000</v>
      </c>
      <c r="X503" s="640"/>
      <c r="Y503" s="639"/>
      <c r="Z503" s="639"/>
      <c r="AA503" s="639"/>
      <c r="AB503" s="641"/>
      <c r="AC503" s="171"/>
      <c r="AD503" s="171"/>
      <c r="AE503" s="171"/>
      <c r="AF503" s="171"/>
      <c r="AG503" s="171"/>
      <c r="AH503" s="171"/>
      <c r="AI503" s="171"/>
      <c r="AJ503" s="171"/>
      <c r="AK503" s="171"/>
      <c r="AL503" s="171"/>
      <c r="AM503" s="171"/>
      <c r="AN503" s="38"/>
      <c r="AO503" s="38"/>
      <c r="AP503" s="38"/>
      <c r="AQ503" s="38"/>
      <c r="AR503" s="38"/>
      <c r="AS503" s="38"/>
      <c r="AT503" s="38"/>
      <c r="AU503" s="38"/>
      <c r="AV503" s="38"/>
      <c r="AW503" s="38"/>
      <c r="AX503" s="38"/>
      <c r="AY503" s="38"/>
      <c r="AZ503" s="38"/>
      <c r="BA503" s="38"/>
      <c r="BB503" s="38"/>
      <c r="BC503" s="38"/>
      <c r="BD503" s="38"/>
      <c r="BE503" s="38"/>
      <c r="BF503" s="38"/>
      <c r="BG503" s="38"/>
    </row>
    <row r="504" spans="1:59" s="173" customFormat="1" ht="13.5" customHeight="1" hidden="1">
      <c r="A504" s="40"/>
      <c r="B504" s="624"/>
      <c r="C504" s="624"/>
      <c r="D504" s="625"/>
      <c r="E504" s="632"/>
      <c r="F504" s="624"/>
      <c r="G504" s="624"/>
      <c r="H504" s="624"/>
      <c r="I504" s="624"/>
      <c r="J504" s="615"/>
      <c r="K504" s="171"/>
      <c r="L504" s="171"/>
      <c r="M504" s="171"/>
      <c r="N504" s="171"/>
      <c r="O504" s="171"/>
      <c r="P504" s="171"/>
      <c r="Q504" s="622"/>
      <c r="R504" s="627"/>
      <c r="S504" s="171"/>
      <c r="T504" s="171"/>
      <c r="U504" s="628"/>
      <c r="V504" s="642" t="s">
        <v>378</v>
      </c>
      <c r="W504" s="639">
        <v>400000</v>
      </c>
      <c r="X504" s="640"/>
      <c r="Y504" s="639"/>
      <c r="Z504" s="639"/>
      <c r="AA504" s="639"/>
      <c r="AB504" s="641"/>
      <c r="AC504" s="171"/>
      <c r="AD504" s="171"/>
      <c r="AE504" s="171"/>
      <c r="AF504" s="171"/>
      <c r="AG504" s="171"/>
      <c r="AH504" s="171"/>
      <c r="AI504" s="171"/>
      <c r="AJ504" s="171"/>
      <c r="AK504" s="171"/>
      <c r="AL504" s="171"/>
      <c r="AM504" s="171"/>
      <c r="AN504" s="38"/>
      <c r="AO504" s="38"/>
      <c r="AP504" s="38"/>
      <c r="AQ504" s="38"/>
      <c r="AR504" s="38"/>
      <c r="AS504" s="38"/>
      <c r="AT504" s="38"/>
      <c r="AU504" s="38"/>
      <c r="AV504" s="38"/>
      <c r="AW504" s="38"/>
      <c r="AX504" s="38"/>
      <c r="AY504" s="38"/>
      <c r="AZ504" s="38"/>
      <c r="BA504" s="38"/>
      <c r="BB504" s="38"/>
      <c r="BC504" s="38"/>
      <c r="BD504" s="38"/>
      <c r="BE504" s="38"/>
      <c r="BF504" s="38"/>
      <c r="BG504" s="38"/>
    </row>
    <row r="505" spans="1:59" s="173" customFormat="1" ht="13.5" customHeight="1" hidden="1">
      <c r="A505" s="40"/>
      <c r="B505" s="624"/>
      <c r="C505" s="624"/>
      <c r="D505" s="625"/>
      <c r="E505" s="632"/>
      <c r="F505" s="624"/>
      <c r="G505" s="624"/>
      <c r="H505" s="624"/>
      <c r="I505" s="624"/>
      <c r="J505" s="615"/>
      <c r="K505" s="171"/>
      <c r="L505" s="171"/>
      <c r="M505" s="171"/>
      <c r="N505" s="171"/>
      <c r="O505" s="171"/>
      <c r="P505" s="171"/>
      <c r="Q505" s="622"/>
      <c r="R505" s="627"/>
      <c r="S505" s="171"/>
      <c r="T505" s="171"/>
      <c r="U505" s="628"/>
      <c r="V505" s="638" t="s">
        <v>379</v>
      </c>
      <c r="W505" s="639">
        <v>11500</v>
      </c>
      <c r="X505" s="640"/>
      <c r="Y505" s="639" t="s">
        <v>381</v>
      </c>
      <c r="Z505" s="639"/>
      <c r="AA505" s="639"/>
      <c r="AB505" s="641"/>
      <c r="AC505" s="171"/>
      <c r="AD505" s="171"/>
      <c r="AE505" s="171"/>
      <c r="AF505" s="171"/>
      <c r="AG505" s="171"/>
      <c r="AH505" s="171"/>
      <c r="AI505" s="171"/>
      <c r="AJ505" s="171"/>
      <c r="AK505" s="171"/>
      <c r="AL505" s="171"/>
      <c r="AM505" s="171"/>
      <c r="AN505" s="38"/>
      <c r="AO505" s="38"/>
      <c r="AP505" s="38"/>
      <c r="AQ505" s="38"/>
      <c r="AR505" s="38"/>
      <c r="AS505" s="38"/>
      <c r="AT505" s="38"/>
      <c r="AU505" s="38"/>
      <c r="AV505" s="38"/>
      <c r="AW505" s="38"/>
      <c r="AX505" s="38"/>
      <c r="AY505" s="38"/>
      <c r="AZ505" s="38"/>
      <c r="BA505" s="38"/>
      <c r="BB505" s="38"/>
      <c r="BC505" s="38"/>
      <c r="BD505" s="38"/>
      <c r="BE505" s="38"/>
      <c r="BF505" s="38"/>
      <c r="BG505" s="38"/>
    </row>
    <row r="506" spans="1:59" s="173" customFormat="1" ht="13.5" customHeight="1" hidden="1">
      <c r="A506" s="40"/>
      <c r="B506" s="624"/>
      <c r="C506" s="624"/>
      <c r="D506" s="625"/>
      <c r="E506" s="632"/>
      <c r="F506" s="624"/>
      <c r="G506" s="624"/>
      <c r="H506" s="624"/>
      <c r="I506" s="624"/>
      <c r="J506" s="615"/>
      <c r="K506" s="171"/>
      <c r="L506" s="171"/>
      <c r="M506" s="171"/>
      <c r="N506" s="171"/>
      <c r="O506" s="171"/>
      <c r="P506" s="171"/>
      <c r="Q506" s="622"/>
      <c r="R506" s="627"/>
      <c r="S506" s="171"/>
      <c r="T506" s="171"/>
      <c r="U506" s="628"/>
      <c r="V506" s="638" t="s">
        <v>380</v>
      </c>
      <c r="W506" s="639"/>
      <c r="X506" s="640"/>
      <c r="Y506" s="646"/>
      <c r="Z506" s="646"/>
      <c r="AA506" s="646"/>
      <c r="AB506" s="647"/>
      <c r="AC506" s="171"/>
      <c r="AD506" s="171"/>
      <c r="AE506" s="171"/>
      <c r="AF506" s="171"/>
      <c r="AG506" s="171"/>
      <c r="AH506" s="171"/>
      <c r="AI506" s="171"/>
      <c r="AJ506" s="171"/>
      <c r="AK506" s="171"/>
      <c r="AL506" s="171"/>
      <c r="AM506" s="171"/>
      <c r="AN506" s="38"/>
      <c r="AO506" s="38"/>
      <c r="AP506" s="38"/>
      <c r="AQ506" s="38"/>
      <c r="AR506" s="38"/>
      <c r="AS506" s="38"/>
      <c r="AT506" s="38"/>
      <c r="AU506" s="38"/>
      <c r="AV506" s="38"/>
      <c r="AW506" s="38"/>
      <c r="AX506" s="38"/>
      <c r="AY506" s="38"/>
      <c r="AZ506" s="38"/>
      <c r="BA506" s="38"/>
      <c r="BB506" s="38"/>
      <c r="BC506" s="38"/>
      <c r="BD506" s="38"/>
      <c r="BE506" s="38"/>
      <c r="BF506" s="38"/>
      <c r="BG506" s="38"/>
    </row>
    <row r="507" spans="1:58" s="173" customFormat="1" ht="13.5" customHeight="1" hidden="1">
      <c r="A507" s="40"/>
      <c r="B507" s="624"/>
      <c r="C507" s="624"/>
      <c r="D507" s="625"/>
      <c r="E507" s="632"/>
      <c r="F507" s="624"/>
      <c r="G507" s="624"/>
      <c r="H507" s="624"/>
      <c r="I507" s="624"/>
      <c r="J507" s="615"/>
      <c r="K507" s="171"/>
      <c r="L507" s="171"/>
      <c r="M507" s="171"/>
      <c r="N507" s="171"/>
      <c r="O507" s="171"/>
      <c r="P507" s="171"/>
      <c r="Q507" s="622"/>
      <c r="R507" s="627"/>
      <c r="S507" s="171"/>
      <c r="T507" s="171"/>
      <c r="U507" s="628"/>
      <c r="V507" s="643"/>
      <c r="W507" s="644">
        <f>SUM(W501:W506)</f>
        <v>1785500</v>
      </c>
      <c r="X507" s="645"/>
      <c r="Y507" s="622"/>
      <c r="Z507" s="622"/>
      <c r="AA507" s="622"/>
      <c r="AB507" s="171"/>
      <c r="AC507" s="171"/>
      <c r="AD507" s="171"/>
      <c r="AE507" s="171"/>
      <c r="AF507" s="171"/>
      <c r="AG507" s="171"/>
      <c r="AH507" s="171"/>
      <c r="AI507" s="171"/>
      <c r="AJ507" s="171"/>
      <c r="AK507" s="171"/>
      <c r="AL507" s="171"/>
      <c r="AM507" s="171"/>
      <c r="AN507" s="38"/>
      <c r="AO507" s="38"/>
      <c r="AP507" s="38"/>
      <c r="AQ507" s="38"/>
      <c r="AR507" s="38"/>
      <c r="AS507" s="38"/>
      <c r="AT507" s="38"/>
      <c r="AU507" s="38"/>
      <c r="AV507" s="38"/>
      <c r="AW507" s="38"/>
      <c r="AX507" s="38"/>
      <c r="AY507" s="38"/>
      <c r="AZ507" s="38"/>
      <c r="BA507" s="38"/>
      <c r="BB507" s="38"/>
      <c r="BC507" s="38"/>
      <c r="BD507" s="38"/>
      <c r="BE507" s="38"/>
      <c r="BF507" s="38"/>
    </row>
    <row r="508" spans="1:57" s="173" customFormat="1" ht="13.5" customHeight="1" hidden="1">
      <c r="A508" s="40"/>
      <c r="B508" s="624"/>
      <c r="C508" s="624"/>
      <c r="D508" s="625">
        <v>310</v>
      </c>
      <c r="E508" s="632" t="s">
        <v>382</v>
      </c>
      <c r="F508" s="624"/>
      <c r="G508" s="624"/>
      <c r="H508" s="624"/>
      <c r="I508" s="624"/>
      <c r="J508" s="615"/>
      <c r="K508" s="171"/>
      <c r="L508" s="171"/>
      <c r="M508" s="171"/>
      <c r="N508" s="171"/>
      <c r="O508" s="171"/>
      <c r="P508" s="171"/>
      <c r="Q508" s="622"/>
      <c r="R508" s="627"/>
      <c r="S508" s="171"/>
      <c r="T508" s="171"/>
      <c r="U508" s="628"/>
      <c r="V508" s="622"/>
      <c r="W508" s="171"/>
      <c r="X508" s="36"/>
      <c r="Y508" s="657" t="s">
        <v>393</v>
      </c>
      <c r="AL508" s="38"/>
      <c r="AM508" s="38"/>
      <c r="AN508" s="38"/>
      <c r="AO508" s="38"/>
      <c r="AP508" s="38"/>
      <c r="AQ508" s="38"/>
      <c r="AR508" s="38"/>
      <c r="AS508" s="38"/>
      <c r="AT508" s="38"/>
      <c r="AU508" s="38"/>
      <c r="AV508" s="38"/>
      <c r="AW508" s="38"/>
      <c r="AX508" s="38"/>
      <c r="AY508" s="38"/>
      <c r="AZ508" s="38"/>
      <c r="BA508" s="38"/>
      <c r="BB508" s="38"/>
      <c r="BC508" s="38"/>
      <c r="BD508" s="38"/>
      <c r="BE508" s="38"/>
    </row>
    <row r="509" spans="4:58" s="173" customFormat="1" ht="36" customHeight="1" hidden="1">
      <c r="D509" s="648" t="s">
        <v>30</v>
      </c>
      <c r="E509" s="648"/>
      <c r="F509" s="648"/>
      <c r="G509" s="648"/>
      <c r="H509" s="648"/>
      <c r="I509" s="648">
        <v>2016</v>
      </c>
      <c r="J509" s="649" t="s">
        <v>383</v>
      </c>
      <c r="K509" s="648"/>
      <c r="L509" s="650"/>
      <c r="M509" s="650"/>
      <c r="N509" s="651" t="s">
        <v>384</v>
      </c>
      <c r="O509" s="652" t="s">
        <v>385</v>
      </c>
      <c r="P509" s="652" t="s">
        <v>386</v>
      </c>
      <c r="Q509" s="652" t="s">
        <v>387</v>
      </c>
      <c r="R509" s="652" t="s">
        <v>388</v>
      </c>
      <c r="S509" s="653"/>
      <c r="T509" s="654" t="s">
        <v>389</v>
      </c>
      <c r="U509" s="654">
        <v>2017</v>
      </c>
      <c r="V509" s="655" t="s">
        <v>390</v>
      </c>
      <c r="W509" s="655" t="s">
        <v>391</v>
      </c>
      <c r="X509" s="656" t="s">
        <v>392</v>
      </c>
      <c r="Y509" s="657">
        <f>J510-X510</f>
        <v>0</v>
      </c>
      <c r="AM509" s="38"/>
      <c r="AN509" s="38"/>
      <c r="AO509" s="38"/>
      <c r="AP509" s="38"/>
      <c r="AQ509" s="38"/>
      <c r="AR509" s="38"/>
      <c r="AS509" s="38"/>
      <c r="AT509" s="38"/>
      <c r="AU509" s="38"/>
      <c r="AV509" s="38"/>
      <c r="AW509" s="38"/>
      <c r="AX509" s="38"/>
      <c r="AY509" s="38"/>
      <c r="AZ509" s="38"/>
      <c r="BA509" s="38"/>
      <c r="BB509" s="38"/>
      <c r="BC509" s="38"/>
      <c r="BD509" s="38"/>
      <c r="BE509" s="38"/>
      <c r="BF509" s="38"/>
    </row>
    <row r="510" spans="4:58" s="173" customFormat="1" ht="45.75" customHeight="1" hidden="1" thickBot="1">
      <c r="D510" s="1483" t="s">
        <v>281</v>
      </c>
      <c r="E510" s="1484"/>
      <c r="F510" s="1484"/>
      <c r="G510" s="1485"/>
      <c r="H510" s="658">
        <v>4</v>
      </c>
      <c r="I510" s="659">
        <v>9</v>
      </c>
      <c r="J510" s="660">
        <f>V254</f>
        <v>8740116</v>
      </c>
      <c r="K510" s="661"/>
      <c r="L510" s="661"/>
      <c r="M510" s="662" t="s">
        <v>394</v>
      </c>
      <c r="N510" s="662">
        <v>0</v>
      </c>
      <c r="O510" s="663"/>
      <c r="P510" s="663"/>
      <c r="Q510" s="663"/>
      <c r="R510" s="663"/>
      <c r="S510" s="663"/>
      <c r="T510" s="664" t="e">
        <f>#REF!+#REF!</f>
        <v>#REF!</v>
      </c>
      <c r="U510" s="664" t="e">
        <f>#REF!+#REF!</f>
        <v>#REF!</v>
      </c>
      <c r="V510" s="661">
        <f>X254</f>
        <v>0</v>
      </c>
      <c r="W510" s="665">
        <f>J510+V510</f>
        <v>8740116</v>
      </c>
      <c r="X510" s="656">
        <f>W510</f>
        <v>8740116</v>
      </c>
      <c r="Y510" s="657">
        <f aca="true" t="shared" si="8" ref="Y510:Y523">J511-X511</f>
        <v>0</v>
      </c>
      <c r="AM510" s="38"/>
      <c r="AN510" s="38"/>
      <c r="AO510" s="38"/>
      <c r="AP510" s="38"/>
      <c r="AQ510" s="38"/>
      <c r="AR510" s="38"/>
      <c r="AS510" s="38"/>
      <c r="AT510" s="38"/>
      <c r="AU510" s="38"/>
      <c r="AV510" s="38"/>
      <c r="AW510" s="38"/>
      <c r="AX510" s="38"/>
      <c r="AY510" s="38"/>
      <c r="AZ510" s="38"/>
      <c r="BA510" s="38"/>
      <c r="BB510" s="38"/>
      <c r="BC510" s="38"/>
      <c r="BD510" s="38"/>
      <c r="BE510" s="38"/>
      <c r="BF510" s="38"/>
    </row>
    <row r="511" spans="4:58" s="173" customFormat="1" ht="51.75" customHeight="1" hidden="1" thickBot="1">
      <c r="D511" s="1474" t="s">
        <v>395</v>
      </c>
      <c r="E511" s="1475"/>
      <c r="F511" s="1475"/>
      <c r="G511" s="1475"/>
      <c r="H511" s="666"/>
      <c r="I511" s="666"/>
      <c r="J511" s="667">
        <f>V232+V236</f>
        <v>27120</v>
      </c>
      <c r="K511" s="668"/>
      <c r="L511" s="668"/>
      <c r="M511" s="662" t="s">
        <v>396</v>
      </c>
      <c r="N511" s="662">
        <v>0</v>
      </c>
      <c r="O511" s="663"/>
      <c r="P511" s="663"/>
      <c r="Q511" s="663"/>
      <c r="R511" s="663"/>
      <c r="S511" s="663"/>
      <c r="T511" s="664" t="e">
        <f>#REF!+#REF!</f>
        <v>#REF!</v>
      </c>
      <c r="U511" s="664" t="e">
        <f>#REF!+#REF!</f>
        <v>#REF!</v>
      </c>
      <c r="V511" s="668">
        <f>X232+X236</f>
        <v>0</v>
      </c>
      <c r="W511" s="665">
        <f>J511+V511</f>
        <v>27120</v>
      </c>
      <c r="X511" s="656">
        <f>W511</f>
        <v>27120</v>
      </c>
      <c r="Y511" s="657">
        <f t="shared" si="8"/>
        <v>1177087.5886039995</v>
      </c>
      <c r="AM511" s="38"/>
      <c r="AN511" s="38"/>
      <c r="AO511" s="38"/>
      <c r="AP511" s="38"/>
      <c r="AQ511" s="38"/>
      <c r="AR511" s="38"/>
      <c r="AS511" s="38"/>
      <c r="AT511" s="38"/>
      <c r="AU511" s="38"/>
      <c r="AV511" s="38"/>
      <c r="AW511" s="38"/>
      <c r="AX511" s="38"/>
      <c r="AY511" s="38"/>
      <c r="AZ511" s="38"/>
      <c r="BA511" s="38"/>
      <c r="BB511" s="38"/>
      <c r="BC511" s="38"/>
      <c r="BD511" s="38"/>
      <c r="BE511" s="38"/>
      <c r="BF511" s="38"/>
    </row>
    <row r="512" spans="4:58" s="173" customFormat="1" ht="37.5" customHeight="1" hidden="1" thickBot="1">
      <c r="D512" s="1474" t="s">
        <v>238</v>
      </c>
      <c r="E512" s="1475"/>
      <c r="F512" s="1475"/>
      <c r="G512" s="1476"/>
      <c r="H512" s="669" t="s">
        <v>397</v>
      </c>
      <c r="I512" s="670"/>
      <c r="J512" s="660">
        <f>V28+V41+V50+V75+V178+V456+V163+V173+X41+X50+X75</f>
        <v>8733897.588604</v>
      </c>
      <c r="K512" s="661"/>
      <c r="L512" s="661"/>
      <c r="M512" s="664" t="s">
        <v>398</v>
      </c>
      <c r="N512" s="664">
        <v>0</v>
      </c>
      <c r="O512" s="663"/>
      <c r="P512" s="663">
        <v>2801000</v>
      </c>
      <c r="Q512" s="663">
        <v>0</v>
      </c>
      <c r="R512" s="663">
        <v>0</v>
      </c>
      <c r="S512" s="663">
        <v>0</v>
      </c>
      <c r="T512" s="664" t="e">
        <f>#REF!+#REF!+#REF!+#REF!+#REF!+#REF!</f>
        <v>#REF!</v>
      </c>
      <c r="U512" s="664" t="e">
        <f>#REF!+#REF!+#REF!+#REF!+#REF!+#REF!</f>
        <v>#REF!</v>
      </c>
      <c r="V512" s="661">
        <f>X28+X41+X50+X75+X178+X456+X163+X173</f>
        <v>254000</v>
      </c>
      <c r="W512" s="665">
        <f>J512-V512</f>
        <v>8479897.588604</v>
      </c>
      <c r="X512" s="656">
        <v>7556810</v>
      </c>
      <c r="Y512" s="657">
        <f t="shared" si="8"/>
        <v>0</v>
      </c>
      <c r="AM512" s="38"/>
      <c r="AN512" s="38"/>
      <c r="AO512" s="38"/>
      <c r="AP512" s="38"/>
      <c r="AQ512" s="38"/>
      <c r="AR512" s="38"/>
      <c r="AS512" s="38"/>
      <c r="AT512" s="38"/>
      <c r="AU512" s="38"/>
      <c r="AV512" s="38"/>
      <c r="AW512" s="38"/>
      <c r="AX512" s="38"/>
      <c r="AY512" s="38"/>
      <c r="AZ512" s="38"/>
      <c r="BA512" s="38"/>
      <c r="BB512" s="38"/>
      <c r="BC512" s="38"/>
      <c r="BD512" s="38"/>
      <c r="BE512" s="38"/>
      <c r="BF512" s="38"/>
    </row>
    <row r="513" spans="4:58" s="173" customFormat="1" ht="54" customHeight="1" hidden="1" thickBot="1">
      <c r="D513" s="1474" t="s">
        <v>399</v>
      </c>
      <c r="E513" s="1475"/>
      <c r="F513" s="1475"/>
      <c r="G513" s="1476"/>
      <c r="H513" s="671"/>
      <c r="I513" s="672"/>
      <c r="J513" s="660">
        <f>V152+V64</f>
        <v>10000</v>
      </c>
      <c r="K513" s="661"/>
      <c r="L513" s="661"/>
      <c r="M513" s="664" t="s">
        <v>400</v>
      </c>
      <c r="N513" s="664">
        <v>0</v>
      </c>
      <c r="O513" s="663"/>
      <c r="P513" s="663">
        <v>69611000</v>
      </c>
      <c r="Q513" s="663">
        <v>0</v>
      </c>
      <c r="R513" s="663">
        <v>0</v>
      </c>
      <c r="S513" s="663">
        <v>0</v>
      </c>
      <c r="T513" s="664" t="e">
        <f>#REF!</f>
        <v>#REF!</v>
      </c>
      <c r="U513" s="664" t="e">
        <f>#REF!+#REF!</f>
        <v>#REF!</v>
      </c>
      <c r="V513" s="661">
        <f>X152+X64</f>
        <v>0</v>
      </c>
      <c r="W513" s="665">
        <f aca="true" t="shared" si="9" ref="W513:W523">J513-V513</f>
        <v>10000</v>
      </c>
      <c r="X513" s="656">
        <f>W513</f>
        <v>10000</v>
      </c>
      <c r="Y513" s="657">
        <f t="shared" si="8"/>
        <v>4796466.58086144</v>
      </c>
      <c r="AM513" s="38"/>
      <c r="AN513" s="38"/>
      <c r="AO513" s="38"/>
      <c r="AP513" s="38"/>
      <c r="AQ513" s="38"/>
      <c r="AR513" s="38"/>
      <c r="AS513" s="38"/>
      <c r="AT513" s="38"/>
      <c r="AU513" s="38"/>
      <c r="AV513" s="38"/>
      <c r="AW513" s="38"/>
      <c r="AX513" s="38"/>
      <c r="AY513" s="38"/>
      <c r="AZ513" s="38"/>
      <c r="BA513" s="38"/>
      <c r="BB513" s="38"/>
      <c r="BC513" s="38"/>
      <c r="BD513" s="38"/>
      <c r="BE513" s="38"/>
      <c r="BF513" s="38"/>
    </row>
    <row r="514" spans="4:58" s="173" customFormat="1" ht="37.5" customHeight="1" hidden="1" thickBot="1">
      <c r="D514" s="1474" t="s">
        <v>185</v>
      </c>
      <c r="E514" s="1475"/>
      <c r="F514" s="1475"/>
      <c r="G514" s="1476"/>
      <c r="H514" s="671"/>
      <c r="I514" s="672"/>
      <c r="J514" s="660">
        <f>V149+X149</f>
        <v>8913304.08086144</v>
      </c>
      <c r="K514" s="661"/>
      <c r="L514" s="661"/>
      <c r="M514" s="664" t="s">
        <v>401</v>
      </c>
      <c r="N514" s="664">
        <v>0</v>
      </c>
      <c r="O514" s="663"/>
      <c r="P514" s="663">
        <v>2801000</v>
      </c>
      <c r="Q514" s="663">
        <v>0</v>
      </c>
      <c r="R514" s="663">
        <v>0</v>
      </c>
      <c r="S514" s="663">
        <v>0</v>
      </c>
      <c r="T514" s="664" t="e">
        <f>#REF!</f>
        <v>#REF!</v>
      </c>
      <c r="U514" s="664" t="e">
        <f>#REF!</f>
        <v>#REF!</v>
      </c>
      <c r="V514" s="661">
        <f>X149</f>
        <v>1136672.58</v>
      </c>
      <c r="W514" s="665">
        <f t="shared" si="9"/>
        <v>7776631.50086144</v>
      </c>
      <c r="X514" s="656">
        <v>4116837.5</v>
      </c>
      <c r="Y514" s="657">
        <f t="shared" si="8"/>
        <v>3161621.5940000005</v>
      </c>
      <c r="AM514" s="38"/>
      <c r="AN514" s="38"/>
      <c r="AO514" s="38"/>
      <c r="AP514" s="38"/>
      <c r="AQ514" s="38"/>
      <c r="AR514" s="38"/>
      <c r="AS514" s="38"/>
      <c r="AT514" s="38"/>
      <c r="AU514" s="38"/>
      <c r="AV514" s="38"/>
      <c r="AW514" s="38"/>
      <c r="AX514" s="38"/>
      <c r="AY514" s="38"/>
      <c r="AZ514" s="38"/>
      <c r="BA514" s="38"/>
      <c r="BB514" s="38"/>
      <c r="BC514" s="38"/>
      <c r="BD514" s="38"/>
      <c r="BE514" s="38"/>
      <c r="BF514" s="38"/>
    </row>
    <row r="515" spans="4:58" s="173" customFormat="1" ht="53.25" customHeight="1" hidden="1" thickBot="1">
      <c r="D515" s="1477" t="s">
        <v>321</v>
      </c>
      <c r="E515" s="1478"/>
      <c r="F515" s="1478"/>
      <c r="G515" s="1479"/>
      <c r="H515" s="671"/>
      <c r="I515" s="672"/>
      <c r="J515" s="660">
        <f>V435+V449+X435</f>
        <v>8870927.074000001</v>
      </c>
      <c r="K515" s="661"/>
      <c r="L515" s="661"/>
      <c r="M515" s="662" t="s">
        <v>402</v>
      </c>
      <c r="N515" s="673">
        <v>0</v>
      </c>
      <c r="O515" s="663"/>
      <c r="P515" s="663"/>
      <c r="Q515" s="663"/>
      <c r="R515" s="663"/>
      <c r="S515" s="663"/>
      <c r="T515" s="674" t="e">
        <f>#REF!+#REF!+#REF!</f>
        <v>#REF!</v>
      </c>
      <c r="U515" s="674" t="e">
        <f>#REF!+#REF!+#REF!</f>
        <v>#REF!</v>
      </c>
      <c r="V515" s="661">
        <f>X435+X449</f>
        <v>-378101.28</v>
      </c>
      <c r="W515" s="665">
        <f t="shared" si="9"/>
        <v>9249028.354</v>
      </c>
      <c r="X515" s="656">
        <v>5709305.48</v>
      </c>
      <c r="Y515" s="657">
        <f t="shared" si="8"/>
        <v>-1005774.004</v>
      </c>
      <c r="AM515" s="38"/>
      <c r="AN515" s="38"/>
      <c r="AO515" s="38"/>
      <c r="AP515" s="38"/>
      <c r="AQ515" s="38"/>
      <c r="AR515" s="38"/>
      <c r="AS515" s="38"/>
      <c r="AT515" s="38"/>
      <c r="AU515" s="38"/>
      <c r="AV515" s="38"/>
      <c r="AW515" s="38"/>
      <c r="AX515" s="38"/>
      <c r="AY515" s="38"/>
      <c r="AZ515" s="38"/>
      <c r="BA515" s="38"/>
      <c r="BB515" s="38"/>
      <c r="BC515" s="38"/>
      <c r="BD515" s="38"/>
      <c r="BE515" s="38"/>
      <c r="BF515" s="38"/>
    </row>
    <row r="516" spans="4:58" s="173" customFormat="1" ht="50.25" customHeight="1" hidden="1" thickBot="1">
      <c r="D516" s="1477" t="s">
        <v>403</v>
      </c>
      <c r="E516" s="1478"/>
      <c r="F516" s="1478"/>
      <c r="G516" s="1479"/>
      <c r="H516" s="675"/>
      <c r="I516" s="676"/>
      <c r="J516" s="660">
        <f>V467+V478+V473</f>
        <v>427655.9960000001</v>
      </c>
      <c r="K516" s="661"/>
      <c r="L516" s="661"/>
      <c r="M516" s="664" t="s">
        <v>404</v>
      </c>
      <c r="N516" s="664">
        <v>0</v>
      </c>
      <c r="O516" s="663"/>
      <c r="P516" s="663"/>
      <c r="Q516" s="663"/>
      <c r="R516" s="663"/>
      <c r="S516" s="663"/>
      <c r="T516" s="664" t="e">
        <f>#REF!</f>
        <v>#REF!</v>
      </c>
      <c r="U516" s="664" t="e">
        <f>#REF!</f>
        <v>#REF!</v>
      </c>
      <c r="V516" s="661">
        <f>X467+X478+X473</f>
        <v>14286.07</v>
      </c>
      <c r="W516" s="665">
        <f t="shared" si="9"/>
        <v>413369.9260000001</v>
      </c>
      <c r="X516" s="656">
        <v>1433430</v>
      </c>
      <c r="Y516" s="657">
        <f t="shared" si="8"/>
        <v>415058.36</v>
      </c>
      <c r="AM516" s="38"/>
      <c r="AN516" s="38"/>
      <c r="AO516" s="38"/>
      <c r="AP516" s="38"/>
      <c r="AQ516" s="38"/>
      <c r="AR516" s="38"/>
      <c r="AS516" s="38"/>
      <c r="AT516" s="38"/>
      <c r="AU516" s="38"/>
      <c r="AV516" s="38"/>
      <c r="AW516" s="38"/>
      <c r="AX516" s="38"/>
      <c r="AY516" s="38"/>
      <c r="AZ516" s="38"/>
      <c r="BA516" s="38"/>
      <c r="BB516" s="38"/>
      <c r="BC516" s="38"/>
      <c r="BD516" s="38"/>
      <c r="BE516" s="38"/>
      <c r="BF516" s="38"/>
    </row>
    <row r="517" spans="4:58" s="173" customFormat="1" ht="49.5" customHeight="1" hidden="1" thickBot="1">
      <c r="D517" s="1471" t="s">
        <v>405</v>
      </c>
      <c r="E517" s="1472"/>
      <c r="F517" s="1472"/>
      <c r="G517" s="1472"/>
      <c r="H517" s="677"/>
      <c r="I517" s="677"/>
      <c r="J517" s="667">
        <f>V189+X189</f>
        <v>946671.04</v>
      </c>
      <c r="K517" s="668"/>
      <c r="L517" s="668"/>
      <c r="M517" s="664" t="s">
        <v>406</v>
      </c>
      <c r="N517" s="662">
        <v>0</v>
      </c>
      <c r="O517" s="663"/>
      <c r="P517" s="663"/>
      <c r="Q517" s="663"/>
      <c r="R517" s="663"/>
      <c r="S517" s="663"/>
      <c r="T517" s="664" t="e">
        <f>#REF!</f>
        <v>#REF!</v>
      </c>
      <c r="U517" s="664" t="e">
        <f>#REF!</f>
        <v>#REF!</v>
      </c>
      <c r="V517" s="668">
        <f>X189</f>
        <v>516839.04</v>
      </c>
      <c r="W517" s="665">
        <f t="shared" si="9"/>
        <v>429832.00000000006</v>
      </c>
      <c r="X517" s="656">
        <v>531612.68</v>
      </c>
      <c r="Y517" s="657">
        <f t="shared" si="8"/>
        <v>-477528.81999999937</v>
      </c>
      <c r="AM517" s="38"/>
      <c r="AN517" s="38"/>
      <c r="AO517" s="38"/>
      <c r="AP517" s="38"/>
      <c r="AQ517" s="38"/>
      <c r="AR517" s="38"/>
      <c r="AS517" s="38"/>
      <c r="AT517" s="38"/>
      <c r="AU517" s="38"/>
      <c r="AV517" s="38"/>
      <c r="AW517" s="38"/>
      <c r="AX517" s="38"/>
      <c r="AY517" s="38"/>
      <c r="AZ517" s="38"/>
      <c r="BA517" s="38"/>
      <c r="BB517" s="38"/>
      <c r="BC517" s="38"/>
      <c r="BD517" s="38"/>
      <c r="BE517" s="38"/>
      <c r="BF517" s="38"/>
    </row>
    <row r="518" spans="4:58" s="173" customFormat="1" ht="69.75" customHeight="1" hidden="1" thickBot="1">
      <c r="D518" s="1465" t="s">
        <v>407</v>
      </c>
      <c r="E518" s="1466"/>
      <c r="F518" s="1466"/>
      <c r="G518" s="1467"/>
      <c r="H518" s="669" t="s">
        <v>408</v>
      </c>
      <c r="I518" s="670"/>
      <c r="J518" s="660">
        <f>V266+V273+V327+V361+V355+V347+X361+X347+X327+X266</f>
        <v>5958532.3100000005</v>
      </c>
      <c r="K518" s="661"/>
      <c r="L518" s="661"/>
      <c r="M518" s="662" t="s">
        <v>409</v>
      </c>
      <c r="N518" s="662">
        <v>0</v>
      </c>
      <c r="O518" s="663"/>
      <c r="P518" s="663"/>
      <c r="Q518" s="663"/>
      <c r="R518" s="663"/>
      <c r="S518" s="663"/>
      <c r="T518" s="664" t="e">
        <f>#REF!+#REF!+#REF!+#REF!</f>
        <v>#REF!</v>
      </c>
      <c r="U518" s="664" t="e">
        <f>#REF!+#REF!+#REF!+#REF!</f>
        <v>#REF!</v>
      </c>
      <c r="V518" s="661">
        <f>X266+X273+X327+X361+X355+X347</f>
        <v>977684.7</v>
      </c>
      <c r="W518" s="665">
        <f t="shared" si="9"/>
        <v>4980847.61</v>
      </c>
      <c r="X518" s="656">
        <v>6436061.13</v>
      </c>
      <c r="Y518" s="657">
        <f t="shared" si="8"/>
        <v>-12982388.690000001</v>
      </c>
      <c r="AM518" s="38"/>
      <c r="AN518" s="38"/>
      <c r="AO518" s="38"/>
      <c r="AP518" s="38"/>
      <c r="AQ518" s="38"/>
      <c r="AR518" s="38"/>
      <c r="AS518" s="38"/>
      <c r="AT518" s="38"/>
      <c r="AU518" s="38"/>
      <c r="AV518" s="38"/>
      <c r="AW518" s="38"/>
      <c r="AX518" s="38"/>
      <c r="AY518" s="38"/>
      <c r="AZ518" s="38"/>
      <c r="BA518" s="38"/>
      <c r="BB518" s="38"/>
      <c r="BC518" s="38"/>
      <c r="BD518" s="38"/>
      <c r="BE518" s="38"/>
      <c r="BF518" s="38"/>
    </row>
    <row r="519" spans="4:58" s="173" customFormat="1" ht="41.25" customHeight="1" hidden="1" thickBot="1">
      <c r="D519" s="1468" t="s">
        <v>177</v>
      </c>
      <c r="E519" s="1469"/>
      <c r="F519" s="1469"/>
      <c r="G519" s="1470"/>
      <c r="H519" s="675"/>
      <c r="I519" s="676"/>
      <c r="J519" s="660">
        <f>V59+V297</f>
        <v>16145484</v>
      </c>
      <c r="K519" s="661"/>
      <c r="L519" s="661"/>
      <c r="M519" s="664" t="s">
        <v>410</v>
      </c>
      <c r="N519" s="664">
        <v>0</v>
      </c>
      <c r="O519" s="663"/>
      <c r="P519" s="663"/>
      <c r="Q519" s="663"/>
      <c r="R519" s="663"/>
      <c r="S519" s="663"/>
      <c r="T519" s="664" t="e">
        <f>906400+#REF!+#REF!+#REF!+#REF!+#REF!+#REF!</f>
        <v>#REF!</v>
      </c>
      <c r="U519" s="664" t="e">
        <f>#REF!+#REF!+#REF!+#REF!+#REF!+#REF!</f>
        <v>#REF!</v>
      </c>
      <c r="V519" s="661">
        <f>X59+X297</f>
        <v>0</v>
      </c>
      <c r="W519" s="665">
        <f t="shared" si="9"/>
        <v>16145484</v>
      </c>
      <c r="X519" s="678">
        <v>29127872.69</v>
      </c>
      <c r="Y519" s="657">
        <f t="shared" si="8"/>
        <v>391551.7</v>
      </c>
      <c r="AM519" s="38"/>
      <c r="AN519" s="38"/>
      <c r="AO519" s="38"/>
      <c r="AP519" s="38"/>
      <c r="AQ519" s="38"/>
      <c r="AR519" s="38"/>
      <c r="AS519" s="38"/>
      <c r="AT519" s="38"/>
      <c r="AU519" s="38"/>
      <c r="AV519" s="38"/>
      <c r="AW519" s="38"/>
      <c r="AX519" s="38"/>
      <c r="AY519" s="38"/>
      <c r="AZ519" s="38"/>
      <c r="BA519" s="38"/>
      <c r="BB519" s="38"/>
      <c r="BC519" s="38"/>
      <c r="BD519" s="38"/>
      <c r="BE519" s="38"/>
      <c r="BF519" s="38"/>
    </row>
    <row r="520" spans="4:58" s="173" customFormat="1" ht="47.25" customHeight="1" hidden="1" thickBot="1">
      <c r="D520" s="1471" t="s">
        <v>299</v>
      </c>
      <c r="E520" s="1472"/>
      <c r="F520" s="1472"/>
      <c r="G520" s="1472"/>
      <c r="H520" s="677" t="s">
        <v>411</v>
      </c>
      <c r="I520" s="677"/>
      <c r="J520" s="667">
        <f>V287+X287+X203</f>
        <v>591551.7</v>
      </c>
      <c r="K520" s="668"/>
      <c r="L520" s="668"/>
      <c r="M520" s="662" t="s">
        <v>412</v>
      </c>
      <c r="N520" s="662">
        <v>0</v>
      </c>
      <c r="O520" s="663"/>
      <c r="P520" s="663"/>
      <c r="Q520" s="663"/>
      <c r="R520" s="663"/>
      <c r="S520" s="663"/>
      <c r="T520" s="664" t="e">
        <f>#REF!+#REF!</f>
        <v>#REF!</v>
      </c>
      <c r="U520" s="664" t="e">
        <f>#REF!+#REF!</f>
        <v>#REF!</v>
      </c>
      <c r="V520" s="668">
        <f>X287+X204</f>
        <v>391551.7</v>
      </c>
      <c r="W520" s="665">
        <f t="shared" si="9"/>
        <v>199999.99999999994</v>
      </c>
      <c r="X520" s="656">
        <f>W520</f>
        <v>199999.99999999994</v>
      </c>
      <c r="Y520" s="657">
        <f t="shared" si="8"/>
        <v>140000</v>
      </c>
      <c r="AM520" s="38"/>
      <c r="AN520" s="38"/>
      <c r="AO520" s="38"/>
      <c r="AP520" s="38"/>
      <c r="AQ520" s="38"/>
      <c r="AR520" s="38"/>
      <c r="AS520" s="38"/>
      <c r="AT520" s="38"/>
      <c r="AU520" s="38"/>
      <c r="AV520" s="38"/>
      <c r="AW520" s="38"/>
      <c r="AX520" s="38"/>
      <c r="AY520" s="38"/>
      <c r="AZ520" s="38"/>
      <c r="BA520" s="38"/>
      <c r="BB520" s="38"/>
      <c r="BC520" s="38"/>
      <c r="BD520" s="38"/>
      <c r="BE520" s="38"/>
      <c r="BF520" s="38"/>
    </row>
    <row r="521" spans="4:58" s="173" customFormat="1" ht="75" customHeight="1" hidden="1" thickBot="1">
      <c r="D521" s="1465" t="s">
        <v>413</v>
      </c>
      <c r="E521" s="1466"/>
      <c r="F521" s="1466"/>
      <c r="G521" s="1467"/>
      <c r="H521" s="679">
        <v>59</v>
      </c>
      <c r="I521" s="680"/>
      <c r="J521" s="660">
        <f>V371+X371</f>
        <v>300000</v>
      </c>
      <c r="K521" s="661"/>
      <c r="L521" s="661"/>
      <c r="M521" s="662" t="s">
        <v>414</v>
      </c>
      <c r="N521" s="662">
        <v>0</v>
      </c>
      <c r="O521" s="663"/>
      <c r="P521" s="663">
        <v>79429000</v>
      </c>
      <c r="Q521" s="663">
        <v>0</v>
      </c>
      <c r="R521" s="663">
        <v>0</v>
      </c>
      <c r="S521" s="663">
        <v>0</v>
      </c>
      <c r="T521" s="664" t="e">
        <f>#REF!</f>
        <v>#REF!</v>
      </c>
      <c r="U521" s="664" t="e">
        <f>#REF!</f>
        <v>#REF!</v>
      </c>
      <c r="V521" s="661">
        <f>X371</f>
        <v>140000</v>
      </c>
      <c r="W521" s="665">
        <f t="shared" si="9"/>
        <v>160000</v>
      </c>
      <c r="X521" s="656">
        <f>W521</f>
        <v>160000</v>
      </c>
      <c r="Y521" s="657">
        <f t="shared" si="8"/>
        <v>0</v>
      </c>
      <c r="AM521" s="38"/>
      <c r="AN521" s="38"/>
      <c r="AO521" s="38"/>
      <c r="AP521" s="38"/>
      <c r="AQ521" s="38"/>
      <c r="AR521" s="38"/>
      <c r="AS521" s="38"/>
      <c r="AT521" s="38"/>
      <c r="AU521" s="38"/>
      <c r="AV521" s="38"/>
      <c r="AW521" s="38"/>
      <c r="AX521" s="38"/>
      <c r="AY521" s="38"/>
      <c r="AZ521" s="38"/>
      <c r="BA521" s="38"/>
      <c r="BB521" s="38"/>
      <c r="BC521" s="38"/>
      <c r="BD521" s="38"/>
      <c r="BE521" s="38"/>
      <c r="BF521" s="38"/>
    </row>
    <row r="522" spans="4:58" s="173" customFormat="1" ht="75" customHeight="1" hidden="1">
      <c r="D522" s="1473" t="s">
        <v>415</v>
      </c>
      <c r="E522" s="1473"/>
      <c r="F522" s="1473"/>
      <c r="G522" s="1473"/>
      <c r="H522" s="677"/>
      <c r="I522" s="677"/>
      <c r="J522" s="667">
        <v>0</v>
      </c>
      <c r="K522" s="668"/>
      <c r="L522" s="668"/>
      <c r="M522" s="662" t="s">
        <v>416</v>
      </c>
      <c r="N522" s="662">
        <v>0</v>
      </c>
      <c r="O522" s="663"/>
      <c r="P522" s="663"/>
      <c r="Q522" s="663"/>
      <c r="R522" s="663"/>
      <c r="S522" s="663"/>
      <c r="T522" s="664" t="e">
        <f>#REF!</f>
        <v>#REF!</v>
      </c>
      <c r="U522" s="664">
        <v>0</v>
      </c>
      <c r="V522" s="668">
        <v>0</v>
      </c>
      <c r="W522" s="665">
        <f t="shared" si="9"/>
        <v>0</v>
      </c>
      <c r="X522" s="656"/>
      <c r="Y522" s="657">
        <f t="shared" si="8"/>
        <v>156567.55</v>
      </c>
      <c r="AM522" s="38"/>
      <c r="AN522" s="38"/>
      <c r="AO522" s="38"/>
      <c r="AP522" s="38"/>
      <c r="AQ522" s="38"/>
      <c r="AR522" s="38"/>
      <c r="AS522" s="38"/>
      <c r="AT522" s="38"/>
      <c r="AU522" s="38"/>
      <c r="AV522" s="38"/>
      <c r="AW522" s="38"/>
      <c r="AX522" s="38"/>
      <c r="AY522" s="38"/>
      <c r="AZ522" s="38"/>
      <c r="BA522" s="38"/>
      <c r="BB522" s="38"/>
      <c r="BC522" s="38"/>
      <c r="BD522" s="38"/>
      <c r="BE522" s="38"/>
      <c r="BF522" s="38"/>
    </row>
    <row r="523" spans="4:58" s="173" customFormat="1" ht="12.75" hidden="1">
      <c r="D523" s="1473" t="s">
        <v>417</v>
      </c>
      <c r="E523" s="1473"/>
      <c r="F523" s="1473"/>
      <c r="G523" s="1473"/>
      <c r="H523" s="677"/>
      <c r="I523" s="677"/>
      <c r="J523" s="667">
        <f>V480+V481</f>
        <v>347472.55</v>
      </c>
      <c r="K523" s="668"/>
      <c r="L523" s="668"/>
      <c r="M523" s="662" t="s">
        <v>416</v>
      </c>
      <c r="N523" s="662">
        <v>0</v>
      </c>
      <c r="O523" s="663"/>
      <c r="P523" s="663"/>
      <c r="Q523" s="663"/>
      <c r="R523" s="663"/>
      <c r="S523" s="663"/>
      <c r="T523" s="664" t="e">
        <f>#REF!</f>
        <v>#REF!</v>
      </c>
      <c r="U523" s="664">
        <v>0</v>
      </c>
      <c r="V523" s="668">
        <f>X480+X481</f>
        <v>0</v>
      </c>
      <c r="W523" s="665">
        <f t="shared" si="9"/>
        <v>347472.55</v>
      </c>
      <c r="X523" s="656">
        <v>190905</v>
      </c>
      <c r="Y523" s="657">
        <f t="shared" si="8"/>
        <v>-4227338.140534565</v>
      </c>
      <c r="AM523" s="38"/>
      <c r="AN523" s="38"/>
      <c r="AO523" s="38"/>
      <c r="AP523" s="38"/>
      <c r="AQ523" s="38"/>
      <c r="AR523" s="38"/>
      <c r="AS523" s="38"/>
      <c r="AT523" s="38"/>
      <c r="AU523" s="38"/>
      <c r="AV523" s="38"/>
      <c r="AW523" s="38"/>
      <c r="AX523" s="38"/>
      <c r="AY523" s="38"/>
      <c r="AZ523" s="38"/>
      <c r="BA523" s="38"/>
      <c r="BB523" s="38"/>
      <c r="BC523" s="38"/>
      <c r="BD523" s="38"/>
      <c r="BE523" s="38"/>
      <c r="BF523" s="38"/>
    </row>
    <row r="524" spans="4:58" s="173" customFormat="1" ht="13.5" hidden="1" thickBot="1">
      <c r="D524" s="681" t="s">
        <v>418</v>
      </c>
      <c r="E524" s="682"/>
      <c r="F524" s="682"/>
      <c r="G524" s="682"/>
      <c r="H524" s="682"/>
      <c r="I524" s="682"/>
      <c r="J524" s="660">
        <f>J510+J511+J512+J513+J514+J515+J516+J517+J518+J519+J520+J521+J522+J523</f>
        <v>60012732.33946544</v>
      </c>
      <c r="K524" s="661"/>
      <c r="L524" s="661"/>
      <c r="M524" s="661"/>
      <c r="N524" s="661"/>
      <c r="O524" s="663" t="s">
        <v>419</v>
      </c>
      <c r="P524" s="663">
        <v>1663111600</v>
      </c>
      <c r="Q524" s="663">
        <v>726845000</v>
      </c>
      <c r="R524" s="663">
        <v>469429000</v>
      </c>
      <c r="S524" s="663">
        <v>387241100</v>
      </c>
      <c r="T524" s="683" t="e">
        <f>T520+T519+T518+T517+T516+T515+T514+T513+T512+T511+T510+T521+#REF!+T522</f>
        <v>#REF!</v>
      </c>
      <c r="U524" s="683" t="e">
        <f>U520+U519+U518+U517+U516+U515+U514+U513+U512+U511+U510</f>
        <v>#REF!</v>
      </c>
      <c r="V524" s="661">
        <f>V510+V511+V512+V513+V514+V515+V516+V517+V518+V519+V520+V521+V522+V523</f>
        <v>3052932.81</v>
      </c>
      <c r="W524" s="661">
        <f>W510+W511+W512+W513+W514+W515+W516+W517+W518+W519+W520+W521+W522+W523</f>
        <v>56959799.52946544</v>
      </c>
      <c r="X524" s="684">
        <f>X510+X511+X512+X513+X514+X515+X516+X517+X518+X519+X520+X521+X522+X523</f>
        <v>64240070.480000004</v>
      </c>
      <c r="Y524" s="685"/>
      <c r="AM524" s="38"/>
      <c r="AN524" s="38"/>
      <c r="AO524" s="38"/>
      <c r="AP524" s="38"/>
      <c r="AQ524" s="38"/>
      <c r="AR524" s="38"/>
      <c r="AS524" s="38"/>
      <c r="AT524" s="38"/>
      <c r="AU524" s="38"/>
      <c r="AV524" s="38"/>
      <c r="AW524" s="38"/>
      <c r="AX524" s="38"/>
      <c r="AY524" s="38"/>
      <c r="AZ524" s="38"/>
      <c r="BA524" s="38"/>
      <c r="BB524" s="38"/>
      <c r="BC524" s="38"/>
      <c r="BD524" s="38"/>
      <c r="BE524" s="38"/>
      <c r="BF524" s="38"/>
    </row>
    <row r="525" spans="10:58" s="173" customFormat="1" ht="12.75" hidden="1">
      <c r="J525" s="619">
        <v>64533587.28</v>
      </c>
      <c r="K525" s="661">
        <f aca="true" t="shared" si="10" ref="K525:U525">K511+K512+K513+K514+K515+K516+K517+K518+K519+K520+K521+K522+K524</f>
        <v>0</v>
      </c>
      <c r="L525" s="661">
        <f t="shared" si="10"/>
        <v>0</v>
      </c>
      <c r="M525" s="661" t="e">
        <f t="shared" si="10"/>
        <v>#VALUE!</v>
      </c>
      <c r="N525" s="661">
        <f t="shared" si="10"/>
        <v>0</v>
      </c>
      <c r="O525" s="661" t="e">
        <f t="shared" si="10"/>
        <v>#VALUE!</v>
      </c>
      <c r="P525" s="661">
        <f t="shared" si="10"/>
        <v>1817753600</v>
      </c>
      <c r="Q525" s="661">
        <f t="shared" si="10"/>
        <v>726845000</v>
      </c>
      <c r="R525" s="661">
        <f t="shared" si="10"/>
        <v>469429000</v>
      </c>
      <c r="S525" s="661">
        <f t="shared" si="10"/>
        <v>387241100</v>
      </c>
      <c r="T525" s="661" t="e">
        <f t="shared" si="10"/>
        <v>#REF!</v>
      </c>
      <c r="U525" s="661" t="e">
        <f t="shared" si="10"/>
        <v>#REF!</v>
      </c>
      <c r="V525" s="661">
        <v>1785500</v>
      </c>
      <c r="W525" s="661"/>
      <c r="X525" s="406"/>
      <c r="Y525" s="685"/>
      <c r="AM525" s="38"/>
      <c r="AN525" s="38"/>
      <c r="AO525" s="38"/>
      <c r="AP525" s="38"/>
      <c r="AQ525" s="38"/>
      <c r="AR525" s="38"/>
      <c r="AS525" s="38"/>
      <c r="AT525" s="38"/>
      <c r="AU525" s="38"/>
      <c r="AV525" s="38"/>
      <c r="AW525" s="38"/>
      <c r="AX525" s="38"/>
      <c r="AY525" s="38"/>
      <c r="AZ525" s="38"/>
      <c r="BA525" s="38"/>
      <c r="BB525" s="38"/>
      <c r="BC525" s="38"/>
      <c r="BD525" s="38"/>
      <c r="BE525" s="38"/>
      <c r="BF525" s="38"/>
    </row>
    <row r="526" spans="10:58" s="173" customFormat="1" ht="12.75" hidden="1">
      <c r="J526" s="661">
        <f>J525-J524</f>
        <v>4520854.940534562</v>
      </c>
      <c r="K526" s="661">
        <f aca="true" t="shared" si="11" ref="K526:U526">K512+K513+K514+K515+K516+K517+K518+K519+K520+K521+K522+K524+K525</f>
        <v>0</v>
      </c>
      <c r="L526" s="661">
        <f t="shared" si="11"/>
        <v>0</v>
      </c>
      <c r="M526" s="661" t="e">
        <f t="shared" si="11"/>
        <v>#VALUE!</v>
      </c>
      <c r="N526" s="661">
        <f t="shared" si="11"/>
        <v>0</v>
      </c>
      <c r="O526" s="661" t="e">
        <f t="shared" si="11"/>
        <v>#VALUE!</v>
      </c>
      <c r="P526" s="661">
        <f t="shared" si="11"/>
        <v>3635507200</v>
      </c>
      <c r="Q526" s="661">
        <f t="shared" si="11"/>
        <v>1453690000</v>
      </c>
      <c r="R526" s="661">
        <f t="shared" si="11"/>
        <v>938858000</v>
      </c>
      <c r="S526" s="661">
        <f t="shared" si="11"/>
        <v>774482200</v>
      </c>
      <c r="T526" s="661" t="e">
        <f t="shared" si="11"/>
        <v>#REF!</v>
      </c>
      <c r="U526" s="661" t="e">
        <f t="shared" si="11"/>
        <v>#REF!</v>
      </c>
      <c r="V526" s="661">
        <f>V524-V525</f>
        <v>1267432.81</v>
      </c>
      <c r="W526" s="661"/>
      <c r="X526" s="406"/>
      <c r="Y526" s="685"/>
      <c r="AM526" s="38"/>
      <c r="AN526" s="38"/>
      <c r="AO526" s="38"/>
      <c r="AP526" s="38"/>
      <c r="AQ526" s="38"/>
      <c r="AR526" s="38"/>
      <c r="AS526" s="38"/>
      <c r="AT526" s="38"/>
      <c r="AU526" s="38"/>
      <c r="AV526" s="38"/>
      <c r="AW526" s="38"/>
      <c r="AX526" s="38"/>
      <c r="AY526" s="38"/>
      <c r="AZ526" s="38"/>
      <c r="BA526" s="38"/>
      <c r="BB526" s="38"/>
      <c r="BC526" s="38"/>
      <c r="BD526" s="38"/>
      <c r="BE526" s="38"/>
      <c r="BF526" s="38"/>
    </row>
    <row r="527" spans="10:58" s="173" customFormat="1" ht="15.75" customHeight="1" hidden="1">
      <c r="J527" s="686"/>
      <c r="K527" s="685"/>
      <c r="L527" s="685"/>
      <c r="M527" s="685"/>
      <c r="N527" s="685"/>
      <c r="O527" s="685"/>
      <c r="P527" s="685"/>
      <c r="Q527" s="685"/>
      <c r="R527" s="685"/>
      <c r="S527" s="685"/>
      <c r="T527" s="685"/>
      <c r="U527" s="685"/>
      <c r="V527" s="685"/>
      <c r="W527" s="685"/>
      <c r="X527" s="406"/>
      <c r="Y527" s="685">
        <v>0</v>
      </c>
      <c r="AM527" s="38"/>
      <c r="AN527" s="38"/>
      <c r="AO527" s="38"/>
      <c r="AP527" s="38"/>
      <c r="AQ527" s="38"/>
      <c r="AR527" s="38"/>
      <c r="AS527" s="38"/>
      <c r="AT527" s="38"/>
      <c r="AU527" s="38"/>
      <c r="AV527" s="38"/>
      <c r="AW527" s="38"/>
      <c r="AX527" s="38"/>
      <c r="AY527" s="38"/>
      <c r="AZ527" s="38"/>
      <c r="BA527" s="38"/>
      <c r="BB527" s="38"/>
      <c r="BC527" s="38"/>
      <c r="BD527" s="38"/>
      <c r="BE527" s="38"/>
      <c r="BF527" s="38"/>
    </row>
    <row r="528" spans="4:58" s="173" customFormat="1" ht="12.75" customHeight="1" hidden="1">
      <c r="D528" s="1454" t="s">
        <v>30</v>
      </c>
      <c r="E528" s="1455"/>
      <c r="G528" s="1458" t="s">
        <v>420</v>
      </c>
      <c r="H528" s="1460" t="s">
        <v>421</v>
      </c>
      <c r="I528" s="1460"/>
      <c r="J528" s="1461" t="s">
        <v>389</v>
      </c>
      <c r="K528" s="687" t="s">
        <v>422</v>
      </c>
      <c r="L528" s="688"/>
      <c r="Q528" s="685"/>
      <c r="V528" s="687"/>
      <c r="W528" s="688"/>
      <c r="X528" s="406"/>
      <c r="Y528" s="685"/>
      <c r="AM528" s="38"/>
      <c r="AN528" s="38"/>
      <c r="AO528" s="38"/>
      <c r="AP528" s="38"/>
      <c r="AQ528" s="38"/>
      <c r="AR528" s="38"/>
      <c r="AS528" s="38"/>
      <c r="AT528" s="38"/>
      <c r="AU528" s="38"/>
      <c r="AV528" s="38"/>
      <c r="AW528" s="38"/>
      <c r="AX528" s="38"/>
      <c r="AY528" s="38"/>
      <c r="AZ528" s="38"/>
      <c r="BA528" s="38"/>
      <c r="BB528" s="38"/>
      <c r="BC528" s="38"/>
      <c r="BD528" s="38"/>
      <c r="BE528" s="38"/>
      <c r="BF528" s="38"/>
    </row>
    <row r="529" spans="4:58" s="173" customFormat="1" ht="15" hidden="1">
      <c r="D529" s="1456"/>
      <c r="E529" s="1457"/>
      <c r="G529" s="1459"/>
      <c r="H529" s="1460"/>
      <c r="I529" s="1460"/>
      <c r="J529" s="1462"/>
      <c r="K529" s="689" t="s">
        <v>389</v>
      </c>
      <c r="L529" s="690" t="s">
        <v>85</v>
      </c>
      <c r="Q529" s="685"/>
      <c r="V529" s="655" t="s">
        <v>390</v>
      </c>
      <c r="W529" s="655" t="s">
        <v>383</v>
      </c>
      <c r="X529" s="406"/>
      <c r="Y529" s="685"/>
      <c r="AM529" s="38"/>
      <c r="AN529" s="38"/>
      <c r="AO529" s="38"/>
      <c r="AP529" s="38"/>
      <c r="AQ529" s="38"/>
      <c r="AR529" s="38"/>
      <c r="AS529" s="38"/>
      <c r="AT529" s="38"/>
      <c r="AU529" s="38"/>
      <c r="AV529" s="38"/>
      <c r="AW529" s="38"/>
      <c r="AX529" s="38"/>
      <c r="AY529" s="38"/>
      <c r="AZ529" s="38"/>
      <c r="BA529" s="38"/>
      <c r="BB529" s="38"/>
      <c r="BC529" s="38"/>
      <c r="BD529" s="38"/>
      <c r="BE529" s="38"/>
      <c r="BF529" s="38"/>
    </row>
    <row r="530" spans="4:58" s="173" customFormat="1" ht="23.25" customHeight="1" hidden="1" thickBot="1">
      <c r="D530" s="1463">
        <v>1</v>
      </c>
      <c r="E530" s="1463"/>
      <c r="G530" s="691">
        <v>2</v>
      </c>
      <c r="H530" s="1464">
        <v>3</v>
      </c>
      <c r="I530" s="1464"/>
      <c r="J530" s="692">
        <v>4</v>
      </c>
      <c r="K530" s="693">
        <v>5</v>
      </c>
      <c r="L530" s="694">
        <v>6</v>
      </c>
      <c r="Q530" s="685"/>
      <c r="V530" s="693">
        <v>5</v>
      </c>
      <c r="W530" s="694">
        <v>6</v>
      </c>
      <c r="X530" s="406"/>
      <c r="Y530" s="685"/>
      <c r="AM530" s="38"/>
      <c r="AN530" s="38"/>
      <c r="AO530" s="38"/>
      <c r="AP530" s="38"/>
      <c r="AQ530" s="38"/>
      <c r="AR530" s="38"/>
      <c r="AS530" s="38"/>
      <c r="AT530" s="38"/>
      <c r="AU530" s="38"/>
      <c r="AV530" s="38"/>
      <c r="AW530" s="38"/>
      <c r="AX530" s="38"/>
      <c r="AY530" s="38"/>
      <c r="AZ530" s="38"/>
      <c r="BA530" s="38"/>
      <c r="BB530" s="38"/>
      <c r="BC530" s="38"/>
      <c r="BD530" s="38"/>
      <c r="BE530" s="38"/>
      <c r="BF530" s="38"/>
    </row>
    <row r="531" spans="4:58" s="173" customFormat="1" ht="15.75" customHeight="1" hidden="1" thickBot="1">
      <c r="D531" s="1453" t="s">
        <v>423</v>
      </c>
      <c r="E531" s="1453"/>
      <c r="G531" s="695">
        <v>0</v>
      </c>
      <c r="H531" s="1426">
        <v>0</v>
      </c>
      <c r="I531" s="1426"/>
      <c r="J531" s="696">
        <f>J566</f>
        <v>54982692.19946544</v>
      </c>
      <c r="K531" s="697">
        <f>K566</f>
        <v>31369.699</v>
      </c>
      <c r="L531" s="698">
        <f>L566</f>
        <v>33631.499</v>
      </c>
      <c r="Q531" s="685"/>
      <c r="V531" s="696">
        <f>V566</f>
        <v>12025328.184</v>
      </c>
      <c r="W531" s="697">
        <f>J531+V531</f>
        <v>67008020.38346544</v>
      </c>
      <c r="X531" s="406"/>
      <c r="Y531" s="685"/>
      <c r="AM531" s="38"/>
      <c r="AN531" s="38"/>
      <c r="AO531" s="38"/>
      <c r="AP531" s="38"/>
      <c r="AQ531" s="38"/>
      <c r="AR531" s="38"/>
      <c r="AS531" s="38"/>
      <c r="AT531" s="38"/>
      <c r="AU531" s="38"/>
      <c r="AV531" s="38"/>
      <c r="AW531" s="38"/>
      <c r="AX531" s="38"/>
      <c r="AY531" s="38"/>
      <c r="AZ531" s="38"/>
      <c r="BA531" s="38"/>
      <c r="BB531" s="38"/>
      <c r="BC531" s="38"/>
      <c r="BD531" s="38"/>
      <c r="BE531" s="38"/>
      <c r="BF531" s="38"/>
    </row>
    <row r="532" spans="4:58" s="173" customFormat="1" ht="51" customHeight="1" hidden="1" thickBot="1">
      <c r="D532" s="1425" t="s">
        <v>424</v>
      </c>
      <c r="E532" s="1425"/>
      <c r="G532" s="700">
        <v>1</v>
      </c>
      <c r="H532" s="1426">
        <v>0</v>
      </c>
      <c r="I532" s="1426"/>
      <c r="J532" s="701">
        <f>J533+J534+J535+J536+J537</f>
        <v>16041959.08946544</v>
      </c>
      <c r="K532" s="702">
        <f>K533+K534+K535+K536+K537</f>
        <v>11056.32747</v>
      </c>
      <c r="L532" s="702">
        <f>L533+L534+L535+L536+L537</f>
        <v>12009.1093</v>
      </c>
      <c r="Q532" s="685"/>
      <c r="V532" s="701">
        <f>V533+V534+V535+V536+V537</f>
        <v>1690665.58</v>
      </c>
      <c r="W532" s="697">
        <f>J532+V532</f>
        <v>17732624.669465438</v>
      </c>
      <c r="X532" s="406"/>
      <c r="Y532" s="685"/>
      <c r="AM532" s="38"/>
      <c r="AN532" s="38"/>
      <c r="AO532" s="38"/>
      <c r="AP532" s="38"/>
      <c r="AQ532" s="38"/>
      <c r="AR532" s="38"/>
      <c r="AS532" s="38"/>
      <c r="AT532" s="38"/>
      <c r="AU532" s="38"/>
      <c r="AV532" s="38"/>
      <c r="AW532" s="38"/>
      <c r="AX532" s="38"/>
      <c r="AY532" s="38"/>
      <c r="AZ532" s="38"/>
      <c r="BA532" s="38"/>
      <c r="BB532" s="38"/>
      <c r="BC532" s="38"/>
      <c r="BD532" s="38"/>
      <c r="BE532" s="38"/>
      <c r="BF532" s="38"/>
    </row>
    <row r="533" spans="4:58" s="173" customFormat="1" ht="1.5" customHeight="1" hidden="1" thickBot="1">
      <c r="D533" s="1427" t="s">
        <v>425</v>
      </c>
      <c r="E533" s="1427"/>
      <c r="G533" s="704">
        <v>1</v>
      </c>
      <c r="H533" s="1432">
        <v>2</v>
      </c>
      <c r="I533" s="1432"/>
      <c r="J533" s="705">
        <f>V28</f>
        <v>1418634</v>
      </c>
      <c r="K533" s="706">
        <v>1254.4</v>
      </c>
      <c r="L533" s="706">
        <v>1254.4</v>
      </c>
      <c r="Q533" s="685"/>
      <c r="V533" s="705">
        <f>X28</f>
        <v>0</v>
      </c>
      <c r="W533" s="697">
        <f>J533+V533</f>
        <v>1418634</v>
      </c>
      <c r="X533" s="406"/>
      <c r="Y533" s="685"/>
      <c r="AM533" s="38"/>
      <c r="AN533" s="38"/>
      <c r="AO533" s="38"/>
      <c r="AP533" s="38"/>
      <c r="AQ533" s="38"/>
      <c r="AR533" s="38"/>
      <c r="AS533" s="38"/>
      <c r="AT533" s="38"/>
      <c r="AU533" s="38"/>
      <c r="AV533" s="38"/>
      <c r="AW533" s="38"/>
      <c r="AX533" s="38"/>
      <c r="AY533" s="38"/>
      <c r="AZ533" s="38"/>
      <c r="BA533" s="38"/>
      <c r="BB533" s="38"/>
      <c r="BC533" s="38"/>
      <c r="BD533" s="38"/>
      <c r="BE533" s="38"/>
      <c r="BF533" s="38"/>
    </row>
    <row r="534" spans="4:58" s="173" customFormat="1" ht="75" customHeight="1" hidden="1" thickBot="1">
      <c r="D534" s="1451" t="s">
        <v>15</v>
      </c>
      <c r="E534" s="1452"/>
      <c r="G534" s="704">
        <v>1</v>
      </c>
      <c r="H534" s="707">
        <v>3</v>
      </c>
      <c r="I534" s="655"/>
      <c r="J534" s="705"/>
      <c r="K534" s="706"/>
      <c r="L534" s="706"/>
      <c r="Q534" s="685"/>
      <c r="V534" s="705"/>
      <c r="W534" s="697">
        <f aca="true" t="shared" si="12" ref="W534:W566">J534+V534</f>
        <v>0</v>
      </c>
      <c r="X534" s="406"/>
      <c r="Y534" s="685"/>
      <c r="AM534" s="38"/>
      <c r="AN534" s="38"/>
      <c r="AO534" s="38"/>
      <c r="AP534" s="38"/>
      <c r="AQ534" s="38"/>
      <c r="AR534" s="38"/>
      <c r="AS534" s="38"/>
      <c r="AT534" s="38"/>
      <c r="AU534" s="38"/>
      <c r="AV534" s="38"/>
      <c r="AW534" s="38"/>
      <c r="AX534" s="38"/>
      <c r="AY534" s="38"/>
      <c r="AZ534" s="38"/>
      <c r="BA534" s="38"/>
      <c r="BB534" s="38"/>
      <c r="BC534" s="38"/>
      <c r="BD534" s="38"/>
      <c r="BE534" s="38"/>
      <c r="BF534" s="38"/>
    </row>
    <row r="535" spans="4:58" s="173" customFormat="1" ht="13.5" hidden="1" thickBot="1">
      <c r="D535" s="1427" t="s">
        <v>426</v>
      </c>
      <c r="E535" s="1427"/>
      <c r="G535" s="704">
        <v>1</v>
      </c>
      <c r="H535" s="1432">
        <v>4</v>
      </c>
      <c r="I535" s="1432"/>
      <c r="J535" s="705">
        <f>V41+V50+V54</f>
        <v>6622988.998604001</v>
      </c>
      <c r="K535" s="706">
        <v>4440.881</v>
      </c>
      <c r="L535" s="706">
        <v>4440.881</v>
      </c>
      <c r="Q535" s="685"/>
      <c r="V535" s="705">
        <f>X41+X50+X54</f>
        <v>144000</v>
      </c>
      <c r="W535" s="697">
        <f t="shared" si="12"/>
        <v>6766988.998604001</v>
      </c>
      <c r="X535" s="406">
        <f>W535+W533</f>
        <v>8185622.998604001</v>
      </c>
      <c r="Y535" s="685"/>
      <c r="AM535" s="38"/>
      <c r="AN535" s="38"/>
      <c r="AO535" s="38"/>
      <c r="AP535" s="38"/>
      <c r="AQ535" s="38"/>
      <c r="AR535" s="38"/>
      <c r="AS535" s="38"/>
      <c r="AT535" s="38"/>
      <c r="AU535" s="38"/>
      <c r="AV535" s="38"/>
      <c r="AW535" s="38"/>
      <c r="AX535" s="38"/>
      <c r="AY535" s="38"/>
      <c r="AZ535" s="38"/>
      <c r="BA535" s="38"/>
      <c r="BB535" s="38"/>
      <c r="BC535" s="38"/>
      <c r="BD535" s="38"/>
      <c r="BE535" s="38"/>
      <c r="BF535" s="38"/>
    </row>
    <row r="536" spans="4:58" s="173" customFormat="1" ht="23.25" customHeight="1" hidden="1" thickBot="1">
      <c r="D536" s="1427" t="s">
        <v>13</v>
      </c>
      <c r="E536" s="1427"/>
      <c r="G536" s="704">
        <v>1</v>
      </c>
      <c r="H536" s="1432">
        <v>11</v>
      </c>
      <c r="I536" s="1432"/>
      <c r="J536" s="705">
        <f>V65</f>
        <v>10000</v>
      </c>
      <c r="K536" s="706">
        <v>80</v>
      </c>
      <c r="L536" s="706">
        <v>80</v>
      </c>
      <c r="Q536" s="685"/>
      <c r="V536" s="705">
        <f>X65</f>
        <v>0</v>
      </c>
      <c r="W536" s="697">
        <f t="shared" si="12"/>
        <v>10000</v>
      </c>
      <c r="X536" s="406"/>
      <c r="Y536" s="685"/>
      <c r="AM536" s="38"/>
      <c r="AN536" s="38"/>
      <c r="AO536" s="38"/>
      <c r="AP536" s="38"/>
      <c r="AQ536" s="38"/>
      <c r="AR536" s="38"/>
      <c r="AS536" s="38"/>
      <c r="AT536" s="38"/>
      <c r="AU536" s="38"/>
      <c r="AV536" s="38"/>
      <c r="AW536" s="38"/>
      <c r="AX536" s="38"/>
      <c r="AY536" s="38"/>
      <c r="AZ536" s="38"/>
      <c r="BA536" s="38"/>
      <c r="BB536" s="38"/>
      <c r="BC536" s="38"/>
      <c r="BD536" s="38"/>
      <c r="BE536" s="38"/>
      <c r="BF536" s="38"/>
    </row>
    <row r="537" spans="4:58" s="173" customFormat="1" ht="12" customHeight="1" hidden="1" thickBot="1">
      <c r="D537" s="1427" t="s">
        <v>12</v>
      </c>
      <c r="E537" s="1427"/>
      <c r="G537" s="704">
        <v>1</v>
      </c>
      <c r="H537" s="1432">
        <v>13</v>
      </c>
      <c r="I537" s="1432"/>
      <c r="J537" s="705">
        <f>V149+V75+V329+V330</f>
        <v>7990336.09086144</v>
      </c>
      <c r="K537" s="706">
        <v>5281.04647</v>
      </c>
      <c r="L537" s="706">
        <v>6233.8283</v>
      </c>
      <c r="Q537" s="685"/>
      <c r="V537" s="705">
        <f>X149+X75+X329+X330</f>
        <v>1546665.58</v>
      </c>
      <c r="W537" s="697">
        <f t="shared" si="12"/>
        <v>9537001.67086144</v>
      </c>
      <c r="X537" s="406"/>
      <c r="Y537" s="685"/>
      <c r="AM537" s="38"/>
      <c r="AN537" s="38"/>
      <c r="AO537" s="38"/>
      <c r="AP537" s="38"/>
      <c r="AQ537" s="38"/>
      <c r="AR537" s="38"/>
      <c r="AS537" s="38"/>
      <c r="AT537" s="38"/>
      <c r="AU537" s="38"/>
      <c r="AV537" s="38"/>
      <c r="AW537" s="38"/>
      <c r="AX537" s="38"/>
      <c r="AY537" s="38"/>
      <c r="AZ537" s="38"/>
      <c r="BA537" s="38"/>
      <c r="BB537" s="38"/>
      <c r="BC537" s="38"/>
      <c r="BD537" s="38"/>
      <c r="BE537" s="38"/>
      <c r="BF537" s="38"/>
    </row>
    <row r="538" spans="4:58" s="173" customFormat="1" ht="28.5" customHeight="1" hidden="1" thickBot="1">
      <c r="D538" s="1449" t="s">
        <v>427</v>
      </c>
      <c r="E538" s="1449"/>
      <c r="G538" s="709">
        <v>2</v>
      </c>
      <c r="H538" s="1450">
        <v>0</v>
      </c>
      <c r="I538" s="1450"/>
      <c r="J538" s="710">
        <f>J539</f>
        <v>219000</v>
      </c>
      <c r="K538" s="711">
        <f>K539</f>
        <v>156</v>
      </c>
      <c r="L538" s="711">
        <f>L539</f>
        <v>156</v>
      </c>
      <c r="Q538" s="685"/>
      <c r="V538" s="710">
        <f>V539</f>
        <v>0</v>
      </c>
      <c r="W538" s="697">
        <f t="shared" si="12"/>
        <v>219000</v>
      </c>
      <c r="X538" s="406"/>
      <c r="Y538" s="685"/>
      <c r="AM538" s="38"/>
      <c r="AN538" s="38"/>
      <c r="AO538" s="38"/>
      <c r="AP538" s="38"/>
      <c r="AQ538" s="38"/>
      <c r="AR538" s="38"/>
      <c r="AS538" s="38"/>
      <c r="AT538" s="38"/>
      <c r="AU538" s="38"/>
      <c r="AV538" s="38"/>
      <c r="AW538" s="38"/>
      <c r="AX538" s="38"/>
      <c r="AY538" s="38"/>
      <c r="AZ538" s="38"/>
      <c r="BA538" s="38"/>
      <c r="BB538" s="38"/>
      <c r="BC538" s="38"/>
      <c r="BD538" s="38"/>
      <c r="BE538" s="38"/>
      <c r="BF538" s="38"/>
    </row>
    <row r="539" spans="4:58" s="173" customFormat="1" ht="24.75" customHeight="1" hidden="1" thickBot="1">
      <c r="D539" s="1427" t="s">
        <v>11</v>
      </c>
      <c r="E539" s="1427"/>
      <c r="G539" s="704">
        <v>2</v>
      </c>
      <c r="H539" s="1432">
        <v>3</v>
      </c>
      <c r="I539" s="1432"/>
      <c r="J539" s="705">
        <f>V173+V163</f>
        <v>219000</v>
      </c>
      <c r="K539" s="706">
        <v>156</v>
      </c>
      <c r="L539" s="706">
        <v>156</v>
      </c>
      <c r="Q539" s="685"/>
      <c r="V539" s="705">
        <f>X173+X163</f>
        <v>0</v>
      </c>
      <c r="W539" s="697">
        <f t="shared" si="12"/>
        <v>219000</v>
      </c>
      <c r="X539" s="406"/>
      <c r="Y539" s="685"/>
      <c r="AM539" s="38"/>
      <c r="AN539" s="38"/>
      <c r="AO539" s="38"/>
      <c r="AP539" s="38"/>
      <c r="AQ539" s="38"/>
      <c r="AR539" s="38"/>
      <c r="AS539" s="38"/>
      <c r="AT539" s="38"/>
      <c r="AU539" s="38"/>
      <c r="AV539" s="38"/>
      <c r="AW539" s="38"/>
      <c r="AX539" s="38"/>
      <c r="AY539" s="38"/>
      <c r="AZ539" s="38"/>
      <c r="BA539" s="38"/>
      <c r="BB539" s="38"/>
      <c r="BC539" s="38"/>
      <c r="BD539" s="38"/>
      <c r="BE539" s="38"/>
      <c r="BF539" s="38"/>
    </row>
    <row r="540" spans="4:58" s="173" customFormat="1" ht="13.5" hidden="1" thickBot="1">
      <c r="D540" s="1425" t="s">
        <v>428</v>
      </c>
      <c r="E540" s="1425"/>
      <c r="G540" s="712">
        <v>3</v>
      </c>
      <c r="H540" s="1426">
        <v>0</v>
      </c>
      <c r="I540" s="1426"/>
      <c r="J540" s="713">
        <f>J541+J542+J543+J544</f>
        <v>763922</v>
      </c>
      <c r="K540" s="714">
        <f>K542+K541+K544+K543</f>
        <v>115.22999999999999</v>
      </c>
      <c r="L540" s="714">
        <f>L542+L541+L544+L543</f>
        <v>115.22999999999999</v>
      </c>
      <c r="Q540" s="685"/>
      <c r="V540" s="713">
        <f>V541+V542+V543+V544</f>
        <v>586839.04</v>
      </c>
      <c r="W540" s="697">
        <f t="shared" si="12"/>
        <v>1350761.04</v>
      </c>
      <c r="X540" s="406"/>
      <c r="Y540" s="685"/>
      <c r="AM540" s="38"/>
      <c r="AN540" s="38"/>
      <c r="AO540" s="38"/>
      <c r="AP540" s="38"/>
      <c r="AQ540" s="38"/>
      <c r="AR540" s="38"/>
      <c r="AS540" s="38"/>
      <c r="AT540" s="38"/>
      <c r="AU540" s="38"/>
      <c r="AV540" s="38"/>
      <c r="AW540" s="38"/>
      <c r="AX540" s="38"/>
      <c r="AY540" s="38"/>
      <c r="AZ540" s="38"/>
      <c r="BA540" s="38"/>
      <c r="BB540" s="38"/>
      <c r="BC540" s="38"/>
      <c r="BD540" s="38"/>
      <c r="BE540" s="38"/>
      <c r="BF540" s="38"/>
    </row>
    <row r="541" spans="4:58" s="173" customFormat="1" ht="58.5" customHeight="1" hidden="1" thickBot="1">
      <c r="D541" s="1427" t="s">
        <v>19</v>
      </c>
      <c r="E541" s="1427"/>
      <c r="G541" s="704">
        <v>3</v>
      </c>
      <c r="H541" s="1432">
        <v>4</v>
      </c>
      <c r="I541" s="1432"/>
      <c r="J541" s="705">
        <f>V178</f>
        <v>6970</v>
      </c>
      <c r="K541" s="706">
        <v>9.8</v>
      </c>
      <c r="L541" s="706">
        <v>9.8</v>
      </c>
      <c r="Q541" s="685"/>
      <c r="V541" s="705">
        <f>X178</f>
        <v>0</v>
      </c>
      <c r="W541" s="697">
        <f t="shared" si="12"/>
        <v>6970</v>
      </c>
      <c r="X541" s="406"/>
      <c r="AM541" s="38"/>
      <c r="AN541" s="38"/>
      <c r="AO541" s="38"/>
      <c r="AP541" s="38"/>
      <c r="AQ541" s="38"/>
      <c r="AR541" s="38"/>
      <c r="AS541" s="38"/>
      <c r="AT541" s="38"/>
      <c r="AU541" s="38"/>
      <c r="AV541" s="38"/>
      <c r="AW541" s="38"/>
      <c r="AX541" s="38"/>
      <c r="AY541" s="38"/>
      <c r="AZ541" s="38"/>
      <c r="BA541" s="38"/>
      <c r="BB541" s="38"/>
      <c r="BC541" s="38"/>
      <c r="BD541" s="38"/>
      <c r="BE541" s="38"/>
      <c r="BF541" s="38"/>
    </row>
    <row r="542" spans="4:58" s="173" customFormat="1" ht="17.25" customHeight="1" hidden="1" thickBot="1">
      <c r="D542" s="1448" t="s">
        <v>429</v>
      </c>
      <c r="E542" s="1448"/>
      <c r="G542" s="704">
        <v>3</v>
      </c>
      <c r="H542" s="1432">
        <v>9</v>
      </c>
      <c r="I542" s="1432"/>
      <c r="J542" s="705">
        <f>V189</f>
        <v>429832</v>
      </c>
      <c r="K542" s="706">
        <v>100</v>
      </c>
      <c r="L542" s="706">
        <v>100</v>
      </c>
      <c r="Q542" s="685"/>
      <c r="V542" s="705">
        <f>X189</f>
        <v>516839.04</v>
      </c>
      <c r="W542" s="697">
        <f t="shared" si="12"/>
        <v>946671.04</v>
      </c>
      <c r="X542" s="406"/>
      <c r="Y542" s="685"/>
      <c r="AM542" s="38"/>
      <c r="AN542" s="38"/>
      <c r="AO542" s="38"/>
      <c r="AP542" s="38"/>
      <c r="AQ542" s="38"/>
      <c r="AR542" s="38"/>
      <c r="AS542" s="38"/>
      <c r="AT542" s="38"/>
      <c r="AU542" s="38"/>
      <c r="AV542" s="38"/>
      <c r="AW542" s="38"/>
      <c r="AX542" s="38"/>
      <c r="AY542" s="38"/>
      <c r="AZ542" s="38"/>
      <c r="BA542" s="38"/>
      <c r="BB542" s="38"/>
      <c r="BC542" s="38"/>
      <c r="BD542" s="38"/>
      <c r="BE542" s="38"/>
      <c r="BF542" s="38"/>
    </row>
    <row r="543" spans="4:58" s="173" customFormat="1" ht="36" customHeight="1" hidden="1" thickBot="1">
      <c r="D543" s="1448" t="s">
        <v>430</v>
      </c>
      <c r="E543" s="1448"/>
      <c r="G543" s="704">
        <v>3</v>
      </c>
      <c r="H543" s="1432">
        <v>10</v>
      </c>
      <c r="I543" s="1432"/>
      <c r="J543" s="705">
        <f>V204</f>
        <v>300000</v>
      </c>
      <c r="K543" s="706">
        <v>0</v>
      </c>
      <c r="L543" s="706">
        <v>0</v>
      </c>
      <c r="Q543" s="685"/>
      <c r="V543" s="705">
        <f>X204</f>
        <v>70000</v>
      </c>
      <c r="W543" s="697">
        <f t="shared" si="12"/>
        <v>370000</v>
      </c>
      <c r="X543" s="406"/>
      <c r="Y543" s="685"/>
      <c r="AM543" s="38"/>
      <c r="AN543" s="38"/>
      <c r="AO543" s="38"/>
      <c r="AP543" s="38"/>
      <c r="AQ543" s="38"/>
      <c r="AR543" s="38"/>
      <c r="AS543" s="38"/>
      <c r="AT543" s="38"/>
      <c r="AU543" s="38"/>
      <c r="AV543" s="38"/>
      <c r="AW543" s="38"/>
      <c r="AX543" s="38"/>
      <c r="AY543" s="38"/>
      <c r="AZ543" s="38"/>
      <c r="BA543" s="38"/>
      <c r="BB543" s="38"/>
      <c r="BC543" s="38"/>
      <c r="BD543" s="38"/>
      <c r="BE543" s="38"/>
      <c r="BF543" s="38"/>
    </row>
    <row r="544" spans="4:58" s="173" customFormat="1" ht="15.75" customHeight="1" hidden="1" thickBot="1">
      <c r="D544" s="1427" t="s">
        <v>18</v>
      </c>
      <c r="E544" s="1427"/>
      <c r="G544" s="704">
        <v>3</v>
      </c>
      <c r="H544" s="1432">
        <v>14</v>
      </c>
      <c r="I544" s="1432"/>
      <c r="J544" s="705">
        <f>V232+V236</f>
        <v>27120</v>
      </c>
      <c r="K544" s="706">
        <v>5.43</v>
      </c>
      <c r="L544" s="706">
        <v>5.43</v>
      </c>
      <c r="Q544" s="685"/>
      <c r="V544" s="705">
        <f>X232+X236</f>
        <v>0</v>
      </c>
      <c r="W544" s="697">
        <f t="shared" si="12"/>
        <v>27120</v>
      </c>
      <c r="X544" s="406"/>
      <c r="Y544" s="685"/>
      <c r="AM544" s="38"/>
      <c r="AN544" s="38"/>
      <c r="AO544" s="38"/>
      <c r="AP544" s="38"/>
      <c r="AQ544" s="38"/>
      <c r="AR544" s="38"/>
      <c r="AS544" s="38"/>
      <c r="AT544" s="38"/>
      <c r="AU544" s="38"/>
      <c r="AV544" s="38"/>
      <c r="AW544" s="38"/>
      <c r="AX544" s="38"/>
      <c r="AY544" s="38"/>
      <c r="AZ544" s="38"/>
      <c r="BA544" s="38"/>
      <c r="BB544" s="38"/>
      <c r="BC544" s="38"/>
      <c r="BD544" s="38"/>
      <c r="BE544" s="38"/>
      <c r="BF544" s="38"/>
    </row>
    <row r="545" spans="4:58" s="173" customFormat="1" ht="21" customHeight="1" hidden="1" thickBot="1">
      <c r="D545" s="1425" t="s">
        <v>431</v>
      </c>
      <c r="E545" s="1425"/>
      <c r="G545" s="712">
        <v>4</v>
      </c>
      <c r="H545" s="1426">
        <v>0</v>
      </c>
      <c r="I545" s="1426"/>
      <c r="J545" s="713">
        <f>J548+J547</f>
        <v>8815284</v>
      </c>
      <c r="K545" s="714">
        <f>K548+K547</f>
        <v>2742</v>
      </c>
      <c r="L545" s="714">
        <f>L548+L547</f>
        <v>2879</v>
      </c>
      <c r="Q545" s="685"/>
      <c r="V545" s="713">
        <f>V548+V547</f>
        <v>80000</v>
      </c>
      <c r="W545" s="697">
        <f t="shared" si="12"/>
        <v>8895284</v>
      </c>
      <c r="X545" s="406"/>
      <c r="Y545" s="685"/>
      <c r="AM545" s="38"/>
      <c r="AN545" s="38"/>
      <c r="AO545" s="38"/>
      <c r="AP545" s="38"/>
      <c r="AQ545" s="38"/>
      <c r="AR545" s="38"/>
      <c r="AS545" s="38"/>
      <c r="AT545" s="38"/>
      <c r="AU545" s="38"/>
      <c r="AV545" s="38"/>
      <c r="AW545" s="38"/>
      <c r="AX545" s="38"/>
      <c r="AY545" s="38"/>
      <c r="AZ545" s="38"/>
      <c r="BA545" s="38"/>
      <c r="BB545" s="38"/>
      <c r="BC545" s="38"/>
      <c r="BD545" s="38"/>
      <c r="BE545" s="38"/>
      <c r="BF545" s="38"/>
    </row>
    <row r="546" spans="4:58" s="173" customFormat="1" ht="30" customHeight="1" hidden="1" thickBot="1">
      <c r="D546" s="1427" t="s">
        <v>432</v>
      </c>
      <c r="E546" s="1427"/>
      <c r="G546" s="704">
        <v>4</v>
      </c>
      <c r="H546" s="1432">
        <v>1</v>
      </c>
      <c r="I546" s="1432"/>
      <c r="J546" s="705">
        <f>V480+V481</f>
        <v>347472.55</v>
      </c>
      <c r="K546" s="714"/>
      <c r="L546" s="714"/>
      <c r="Q546" s="685"/>
      <c r="V546" s="705">
        <f>X480+X481</f>
        <v>0</v>
      </c>
      <c r="W546" s="697">
        <f t="shared" si="12"/>
        <v>347472.55</v>
      </c>
      <c r="X546" s="406"/>
      <c r="Y546" s="685"/>
      <c r="AM546" s="38"/>
      <c r="AN546" s="38"/>
      <c r="AO546" s="38"/>
      <c r="AP546" s="38"/>
      <c r="AQ546" s="38"/>
      <c r="AR546" s="38"/>
      <c r="AS546" s="38"/>
      <c r="AT546" s="38"/>
      <c r="AU546" s="38"/>
      <c r="AV546" s="38"/>
      <c r="AW546" s="38"/>
      <c r="AX546" s="38"/>
      <c r="AY546" s="38"/>
      <c r="AZ546" s="38"/>
      <c r="BA546" s="38"/>
      <c r="BB546" s="38"/>
      <c r="BC546" s="38"/>
      <c r="BD546" s="38"/>
      <c r="BE546" s="38"/>
      <c r="BF546" s="38"/>
    </row>
    <row r="547" spans="4:58" s="173" customFormat="1" ht="16.5" customHeight="1" hidden="1" thickBot="1">
      <c r="D547" s="1427" t="s">
        <v>433</v>
      </c>
      <c r="E547" s="1427"/>
      <c r="G547" s="704">
        <v>4</v>
      </c>
      <c r="H547" s="1432">
        <v>9</v>
      </c>
      <c r="I547" s="1432"/>
      <c r="J547" s="705">
        <f>V254+V55</f>
        <v>8740116</v>
      </c>
      <c r="K547" s="706">
        <v>2742</v>
      </c>
      <c r="L547" s="706">
        <v>2879</v>
      </c>
      <c r="Q547" s="685"/>
      <c r="V547" s="705">
        <f>X254+X55</f>
        <v>0</v>
      </c>
      <c r="W547" s="697">
        <f t="shared" si="12"/>
        <v>8740116</v>
      </c>
      <c r="X547" s="406"/>
      <c r="Y547" s="685"/>
      <c r="AM547" s="38"/>
      <c r="AN547" s="38"/>
      <c r="AO547" s="38"/>
      <c r="AP547" s="38"/>
      <c r="AQ547" s="38"/>
      <c r="AR547" s="38"/>
      <c r="AS547" s="38"/>
      <c r="AT547" s="38"/>
      <c r="AU547" s="38"/>
      <c r="AV547" s="38"/>
      <c r="AW547" s="38"/>
      <c r="AX547" s="38"/>
      <c r="AY547" s="38"/>
      <c r="AZ547" s="38"/>
      <c r="BA547" s="38"/>
      <c r="BB547" s="38"/>
      <c r="BC547" s="38"/>
      <c r="BD547" s="38"/>
      <c r="BE547" s="38"/>
      <c r="BF547" s="38"/>
    </row>
    <row r="548" spans="4:58" s="173" customFormat="1" ht="28.5" customHeight="1" hidden="1" thickBot="1">
      <c r="D548" s="1427" t="s">
        <v>434</v>
      </c>
      <c r="E548" s="1427"/>
      <c r="G548" s="704">
        <v>4</v>
      </c>
      <c r="H548" s="1432">
        <v>10</v>
      </c>
      <c r="I548" s="1432"/>
      <c r="J548" s="705">
        <f>V266</f>
        <v>75168</v>
      </c>
      <c r="K548" s="706">
        <v>0</v>
      </c>
      <c r="L548" s="706">
        <v>0</v>
      </c>
      <c r="Q548" s="685"/>
      <c r="V548" s="705">
        <f>X266</f>
        <v>80000</v>
      </c>
      <c r="W548" s="697">
        <f t="shared" si="12"/>
        <v>155168</v>
      </c>
      <c r="X548" s="406"/>
      <c r="Y548" s="685"/>
      <c r="AM548" s="38"/>
      <c r="AN548" s="38"/>
      <c r="AO548" s="38"/>
      <c r="AP548" s="38"/>
      <c r="AQ548" s="38"/>
      <c r="AR548" s="38"/>
      <c r="AS548" s="38"/>
      <c r="AT548" s="38"/>
      <c r="AU548" s="38"/>
      <c r="AV548" s="38"/>
      <c r="AW548" s="38"/>
      <c r="AX548" s="38"/>
      <c r="AY548" s="38"/>
      <c r="AZ548" s="38"/>
      <c r="BA548" s="38"/>
      <c r="BB548" s="38"/>
      <c r="BC548" s="38"/>
      <c r="BD548" s="38"/>
      <c r="BE548" s="38"/>
      <c r="BF548" s="38"/>
    </row>
    <row r="549" spans="4:58" s="173" customFormat="1" ht="20.25" customHeight="1" hidden="1" thickBot="1">
      <c r="D549" s="1427" t="s">
        <v>25</v>
      </c>
      <c r="E549" s="1427"/>
      <c r="G549" s="704">
        <v>4</v>
      </c>
      <c r="H549" s="1432">
        <v>12</v>
      </c>
      <c r="I549" s="1432"/>
      <c r="J549" s="705"/>
      <c r="K549" s="706">
        <v>0</v>
      </c>
      <c r="L549" s="706">
        <v>0</v>
      </c>
      <c r="Q549" s="685"/>
      <c r="V549" s="705"/>
      <c r="W549" s="697">
        <f t="shared" si="12"/>
        <v>0</v>
      </c>
      <c r="X549" s="406"/>
      <c r="Y549" s="685"/>
      <c r="AM549" s="38"/>
      <c r="AN549" s="38"/>
      <c r="AO549" s="38"/>
      <c r="AP549" s="38"/>
      <c r="AQ549" s="38"/>
      <c r="AR549" s="38"/>
      <c r="AS549" s="38"/>
      <c r="AT549" s="38"/>
      <c r="AU549" s="38"/>
      <c r="AV549" s="38"/>
      <c r="AW549" s="38"/>
      <c r="AX549" s="38"/>
      <c r="AY549" s="38"/>
      <c r="AZ549" s="38"/>
      <c r="BA549" s="38"/>
      <c r="BB549" s="38"/>
      <c r="BC549" s="38"/>
      <c r="BD549" s="38"/>
      <c r="BE549" s="38"/>
      <c r="BF549" s="38"/>
    </row>
    <row r="550" spans="4:58" s="173" customFormat="1" ht="13.5" customHeight="1" hidden="1" thickBot="1">
      <c r="D550" s="1425" t="s">
        <v>435</v>
      </c>
      <c r="E550" s="1425"/>
      <c r="G550" s="712">
        <v>5</v>
      </c>
      <c r="H550" s="1426">
        <v>0</v>
      </c>
      <c r="I550" s="1426"/>
      <c r="J550" s="713">
        <f>J551+J554+J555</f>
        <v>18908370.21</v>
      </c>
      <c r="K550" s="714">
        <f>K551+K554+K555</f>
        <v>10567.42953</v>
      </c>
      <c r="L550" s="714">
        <f>L551+L554+L555</f>
        <v>11888.67304</v>
      </c>
      <c r="Q550" s="685"/>
      <c r="V550" s="713">
        <f>V551+V554+V555</f>
        <v>897551.7</v>
      </c>
      <c r="W550" s="697">
        <f t="shared" si="12"/>
        <v>19805921.91</v>
      </c>
      <c r="X550" s="406"/>
      <c r="Y550" s="685"/>
      <c r="AM550" s="38"/>
      <c r="AN550" s="38"/>
      <c r="AO550" s="38"/>
      <c r="AP550" s="38"/>
      <c r="AQ550" s="38"/>
      <c r="AR550" s="38"/>
      <c r="AS550" s="38"/>
      <c r="AT550" s="38"/>
      <c r="AU550" s="38"/>
      <c r="AV550" s="38"/>
      <c r="AW550" s="38"/>
      <c r="AX550" s="38"/>
      <c r="AY550" s="38"/>
      <c r="AZ550" s="38"/>
      <c r="BA550" s="38"/>
      <c r="BB550" s="38"/>
      <c r="BC550" s="38"/>
      <c r="BD550" s="38"/>
      <c r="BE550" s="38"/>
      <c r="BF550" s="38"/>
    </row>
    <row r="551" spans="4:58" s="173" customFormat="1" ht="0.75" customHeight="1" hidden="1" thickBot="1">
      <c r="D551" s="1447" t="s">
        <v>9</v>
      </c>
      <c r="E551" s="1447"/>
      <c r="G551" s="716">
        <v>5</v>
      </c>
      <c r="H551" s="1439">
        <v>1</v>
      </c>
      <c r="I551" s="1439"/>
      <c r="J551" s="717">
        <f>V273+V287+V56</f>
        <v>2081960</v>
      </c>
      <c r="K551" s="718">
        <v>5405.03153</v>
      </c>
      <c r="L551" s="718">
        <v>5659.67304</v>
      </c>
      <c r="Q551" s="685"/>
      <c r="V551" s="717">
        <f>X273+X287+X56</f>
        <v>321551.7</v>
      </c>
      <c r="W551" s="697">
        <f t="shared" si="12"/>
        <v>2403511.7</v>
      </c>
      <c r="X551" s="406"/>
      <c r="Y551" s="685"/>
      <c r="AM551" s="38"/>
      <c r="AN551" s="38"/>
      <c r="AO551" s="38"/>
      <c r="AP551" s="38"/>
      <c r="AQ551" s="38"/>
      <c r="AR551" s="38"/>
      <c r="AS551" s="38"/>
      <c r="AT551" s="38"/>
      <c r="AU551" s="38"/>
      <c r="AV551" s="38"/>
      <c r="AW551" s="38"/>
      <c r="AX551" s="38"/>
      <c r="AY551" s="38"/>
      <c r="AZ551" s="38"/>
      <c r="BA551" s="38"/>
      <c r="BB551" s="38"/>
      <c r="BC551" s="38"/>
      <c r="BD551" s="38"/>
      <c r="BE551" s="38"/>
      <c r="BF551" s="38"/>
    </row>
    <row r="552" spans="4:58" s="173" customFormat="1" ht="25.5" customHeight="1" hidden="1">
      <c r="D552" s="1440" t="s">
        <v>436</v>
      </c>
      <c r="E552" s="1440"/>
      <c r="G552" s="720">
        <v>5</v>
      </c>
      <c r="H552" s="721">
        <v>1</v>
      </c>
      <c r="I552" s="655"/>
      <c r="J552" s="722"/>
      <c r="K552" s="723">
        <v>212</v>
      </c>
      <c r="L552" s="723">
        <v>212</v>
      </c>
      <c r="Q552" s="685"/>
      <c r="V552" s="722"/>
      <c r="W552" s="697">
        <f t="shared" si="12"/>
        <v>0</v>
      </c>
      <c r="X552" s="406"/>
      <c r="Y552" s="685"/>
      <c r="AM552" s="38"/>
      <c r="AN552" s="38"/>
      <c r="AO552" s="38"/>
      <c r="AP552" s="38"/>
      <c r="AQ552" s="38"/>
      <c r="AR552" s="38"/>
      <c r="AS552" s="38"/>
      <c r="AT552" s="38"/>
      <c r="AU552" s="38"/>
      <c r="AV552" s="38"/>
      <c r="AW552" s="38"/>
      <c r="AX552" s="38"/>
      <c r="AY552" s="38"/>
      <c r="AZ552" s="38"/>
      <c r="BA552" s="38"/>
      <c r="BB552" s="38"/>
      <c r="BC552" s="38"/>
      <c r="BD552" s="38"/>
      <c r="BE552" s="38"/>
      <c r="BF552" s="38"/>
    </row>
    <row r="553" spans="4:58" s="173" customFormat="1" ht="16.5" customHeight="1" hidden="1" thickBot="1">
      <c r="D553" s="1440" t="s">
        <v>437</v>
      </c>
      <c r="E553" s="1440"/>
      <c r="G553" s="720">
        <v>5</v>
      </c>
      <c r="H553" s="721">
        <v>1</v>
      </c>
      <c r="I553" s="655"/>
      <c r="J553" s="722"/>
      <c r="K553" s="723">
        <v>75</v>
      </c>
      <c r="L553" s="723">
        <v>75</v>
      </c>
      <c r="Q553" s="685"/>
      <c r="V553" s="722"/>
      <c r="W553" s="697">
        <f t="shared" si="12"/>
        <v>0</v>
      </c>
      <c r="X553" s="406"/>
      <c r="Y553" s="685"/>
      <c r="AM553" s="38"/>
      <c r="AN553" s="38"/>
      <c r="AO553" s="38"/>
      <c r="AP553" s="38"/>
      <c r="AQ553" s="38"/>
      <c r="AR553" s="38"/>
      <c r="AS553" s="38"/>
      <c r="AT553" s="38"/>
      <c r="AU553" s="38"/>
      <c r="AV553" s="38"/>
      <c r="AW553" s="38"/>
      <c r="AX553" s="38"/>
      <c r="AY553" s="38"/>
      <c r="AZ553" s="38"/>
      <c r="BA553" s="38"/>
      <c r="BB553" s="38"/>
      <c r="BC553" s="38"/>
      <c r="BD553" s="38"/>
      <c r="BE553" s="38"/>
      <c r="BF553" s="38"/>
    </row>
    <row r="554" spans="4:58" s="173" customFormat="1" ht="11.25" customHeight="1" hidden="1" thickBot="1">
      <c r="D554" s="1447" t="s">
        <v>26</v>
      </c>
      <c r="E554" s="1447"/>
      <c r="G554" s="716">
        <v>5</v>
      </c>
      <c r="H554" s="1439">
        <v>2</v>
      </c>
      <c r="I554" s="1439"/>
      <c r="J554" s="717">
        <f>V297+V57+V58</f>
        <v>15934084</v>
      </c>
      <c r="K554" s="718">
        <v>4660</v>
      </c>
      <c r="L554" s="718">
        <v>5879</v>
      </c>
      <c r="Q554" s="685"/>
      <c r="V554" s="717">
        <f>X297+X57+X58</f>
        <v>0</v>
      </c>
      <c r="W554" s="697">
        <f t="shared" si="12"/>
        <v>15934084</v>
      </c>
      <c r="X554" s="406"/>
      <c r="Y554" s="685"/>
      <c r="AM554" s="38"/>
      <c r="AN554" s="38"/>
      <c r="AO554" s="38"/>
      <c r="AP554" s="38"/>
      <c r="AQ554" s="38"/>
      <c r="AR554" s="38"/>
      <c r="AS554" s="38"/>
      <c r="AT554" s="38"/>
      <c r="AU554" s="38"/>
      <c r="AV554" s="38"/>
      <c r="AW554" s="38"/>
      <c r="AX554" s="38"/>
      <c r="AY554" s="38"/>
      <c r="AZ554" s="38"/>
      <c r="BA554" s="38"/>
      <c r="BB554" s="38"/>
      <c r="BC554" s="38"/>
      <c r="BD554" s="38"/>
      <c r="BE554" s="38"/>
      <c r="BF554" s="38"/>
    </row>
    <row r="555" spans="4:58" s="173" customFormat="1" ht="0.75" customHeight="1" hidden="1">
      <c r="D555" s="1447" t="s">
        <v>8</v>
      </c>
      <c r="E555" s="1447"/>
      <c r="G555" s="716">
        <v>5</v>
      </c>
      <c r="H555" s="1439">
        <v>3</v>
      </c>
      <c r="I555" s="1439"/>
      <c r="J555" s="717">
        <f>V327+V361+V371+V355+V340</f>
        <v>892326.2100000001</v>
      </c>
      <c r="K555" s="718">
        <v>502.398</v>
      </c>
      <c r="L555" s="718">
        <v>350</v>
      </c>
      <c r="Q555" s="685"/>
      <c r="V555" s="717">
        <f>X327+X361+X371+X355+X340+X333+X341+X342</f>
        <v>576000</v>
      </c>
      <c r="W555" s="697">
        <f t="shared" si="12"/>
        <v>1468326.21</v>
      </c>
      <c r="X555" s="406"/>
      <c r="Y555" s="685"/>
      <c r="AM555" s="38"/>
      <c r="AN555" s="38"/>
      <c r="AO555" s="38"/>
      <c r="AP555" s="38"/>
      <c r="AQ555" s="38"/>
      <c r="AR555" s="38"/>
      <c r="AS555" s="38"/>
      <c r="AT555" s="38"/>
      <c r="AU555" s="38"/>
      <c r="AV555" s="38"/>
      <c r="AW555" s="38"/>
      <c r="AX555" s="38"/>
      <c r="AY555" s="38"/>
      <c r="AZ555" s="38"/>
      <c r="BA555" s="38"/>
      <c r="BB555" s="38"/>
      <c r="BC555" s="38"/>
      <c r="BD555" s="38"/>
      <c r="BE555" s="38"/>
      <c r="BF555" s="38"/>
    </row>
    <row r="556" spans="4:58" s="173" customFormat="1" ht="14.25" customHeight="1" hidden="1">
      <c r="D556" s="1440" t="s">
        <v>438</v>
      </c>
      <c r="E556" s="1440"/>
      <c r="G556" s="720">
        <v>5</v>
      </c>
      <c r="H556" s="721">
        <v>3</v>
      </c>
      <c r="I556" s="655"/>
      <c r="J556" s="722"/>
      <c r="K556" s="723"/>
      <c r="L556" s="723"/>
      <c r="Q556" s="685"/>
      <c r="V556" s="722"/>
      <c r="W556" s="697">
        <f t="shared" si="12"/>
        <v>0</v>
      </c>
      <c r="X556" s="406"/>
      <c r="Y556" s="685"/>
      <c r="AM556" s="38"/>
      <c r="AN556" s="38"/>
      <c r="AO556" s="38"/>
      <c r="AP556" s="38"/>
      <c r="AQ556" s="38"/>
      <c r="AR556" s="38"/>
      <c r="AS556" s="38"/>
      <c r="AT556" s="38"/>
      <c r="AU556" s="38"/>
      <c r="AV556" s="38"/>
      <c r="AW556" s="38"/>
      <c r="AX556" s="38"/>
      <c r="AY556" s="38"/>
      <c r="AZ556" s="38"/>
      <c r="BA556" s="38"/>
      <c r="BB556" s="38"/>
      <c r="BC556" s="38"/>
      <c r="BD556" s="38"/>
      <c r="BE556" s="38"/>
      <c r="BF556" s="38"/>
    </row>
    <row r="557" spans="4:58" s="173" customFormat="1" ht="42.75" customHeight="1" hidden="1">
      <c r="D557" s="1440" t="s">
        <v>439</v>
      </c>
      <c r="E557" s="1440"/>
      <c r="G557" s="720">
        <v>5</v>
      </c>
      <c r="H557" s="721">
        <v>3</v>
      </c>
      <c r="I557" s="655"/>
      <c r="J557" s="722"/>
      <c r="K557" s="723"/>
      <c r="L557" s="723"/>
      <c r="Q557" s="685"/>
      <c r="V557" s="722"/>
      <c r="W557" s="697">
        <f t="shared" si="12"/>
        <v>0</v>
      </c>
      <c r="X557" s="406"/>
      <c r="Y557" s="685"/>
      <c r="AM557" s="38"/>
      <c r="AN557" s="38"/>
      <c r="AO557" s="38"/>
      <c r="AP557" s="38"/>
      <c r="AQ557" s="38"/>
      <c r="AR557" s="38"/>
      <c r="AS557" s="38"/>
      <c r="AT557" s="38"/>
      <c r="AU557" s="38"/>
      <c r="AV557" s="38"/>
      <c r="AW557" s="38"/>
      <c r="AX557" s="38"/>
      <c r="AY557" s="38"/>
      <c r="AZ557" s="38"/>
      <c r="BA557" s="38"/>
      <c r="BB557" s="38"/>
      <c r="BC557" s="38"/>
      <c r="BD557" s="38"/>
      <c r="BE557" s="38"/>
      <c r="BF557" s="38"/>
    </row>
    <row r="558" spans="4:58" s="173" customFormat="1" ht="16.5" customHeight="1" hidden="1" thickBot="1">
      <c r="D558" s="1440" t="s">
        <v>440</v>
      </c>
      <c r="E558" s="1440"/>
      <c r="G558" s="720">
        <v>5</v>
      </c>
      <c r="H558" s="721">
        <v>3</v>
      </c>
      <c r="I558" s="655"/>
      <c r="J558" s="722"/>
      <c r="K558" s="723">
        <v>7659</v>
      </c>
      <c r="L558" s="723">
        <v>7659</v>
      </c>
      <c r="Q558" s="685"/>
      <c r="V558" s="722"/>
      <c r="W558" s="697">
        <f t="shared" si="12"/>
        <v>0</v>
      </c>
      <c r="X558" s="406"/>
      <c r="Y558" s="685"/>
      <c r="AM558" s="38"/>
      <c r="AN558" s="38"/>
      <c r="AO558" s="38"/>
      <c r="AP558" s="38"/>
      <c r="AQ558" s="38"/>
      <c r="AR558" s="38"/>
      <c r="AS558" s="38"/>
      <c r="AT558" s="38"/>
      <c r="AU558" s="38"/>
      <c r="AV558" s="38"/>
      <c r="AW558" s="38"/>
      <c r="AX558" s="38"/>
      <c r="AY558" s="38"/>
      <c r="AZ558" s="38"/>
      <c r="BA558" s="38"/>
      <c r="BB558" s="38"/>
      <c r="BC558" s="38"/>
      <c r="BD558" s="38"/>
      <c r="BE558" s="38"/>
      <c r="BF558" s="38"/>
    </row>
    <row r="559" spans="4:58" s="173" customFormat="1" ht="13.5" hidden="1" thickBot="1">
      <c r="D559" s="1425" t="s">
        <v>441</v>
      </c>
      <c r="E559" s="1425"/>
      <c r="G559" s="712">
        <v>8</v>
      </c>
      <c r="H559" s="1426">
        <v>0</v>
      </c>
      <c r="I559" s="1426"/>
      <c r="J559" s="713">
        <f>J560+J561</f>
        <v>9249028.354</v>
      </c>
      <c r="K559" s="714">
        <f>K560+K561+K580+K581+K582</f>
        <v>5447.412</v>
      </c>
      <c r="L559" s="714">
        <f>L560+L561+L580+L581+L582</f>
        <v>5298.18666</v>
      </c>
      <c r="Q559" s="685"/>
      <c r="V559" s="713">
        <f>V560+V561</f>
        <v>8755985.794</v>
      </c>
      <c r="W559" s="697">
        <f t="shared" si="12"/>
        <v>18005014.148000002</v>
      </c>
      <c r="X559" s="406"/>
      <c r="Y559" s="685"/>
      <c r="AM559" s="38"/>
      <c r="AN559" s="38"/>
      <c r="AO559" s="38"/>
      <c r="AP559" s="38"/>
      <c r="AQ559" s="38"/>
      <c r="AR559" s="38"/>
      <c r="AS559" s="38"/>
      <c r="AT559" s="38"/>
      <c r="AU559" s="38"/>
      <c r="AV559" s="38"/>
      <c r="AW559" s="38"/>
      <c r="AX559" s="38"/>
      <c r="AY559" s="38"/>
      <c r="AZ559" s="38"/>
      <c r="BA559" s="38"/>
      <c r="BB559" s="38"/>
      <c r="BC559" s="38"/>
      <c r="BD559" s="38"/>
      <c r="BE559" s="38"/>
      <c r="BF559" s="38"/>
    </row>
    <row r="560" spans="4:58" s="173" customFormat="1" ht="13.5" hidden="1" thickBot="1">
      <c r="D560" s="1427" t="s">
        <v>7</v>
      </c>
      <c r="E560" s="1427"/>
      <c r="G560" s="704">
        <v>8</v>
      </c>
      <c r="H560" s="1432">
        <v>1</v>
      </c>
      <c r="I560" s="1432"/>
      <c r="J560" s="705">
        <f>V435</f>
        <v>8571497.1</v>
      </c>
      <c r="K560" s="706">
        <v>4996.92</v>
      </c>
      <c r="L560" s="706">
        <v>4828.16466</v>
      </c>
      <c r="Q560" s="685"/>
      <c r="V560" s="705">
        <f>X435</f>
        <v>-378101.28</v>
      </c>
      <c r="W560" s="697">
        <f t="shared" si="12"/>
        <v>8193395.819999999</v>
      </c>
      <c r="X560" s="406"/>
      <c r="Y560" s="685"/>
      <c r="AM560" s="38"/>
      <c r="AN560" s="38"/>
      <c r="AO560" s="38"/>
      <c r="AP560" s="38"/>
      <c r="AQ560" s="38"/>
      <c r="AR560" s="38"/>
      <c r="AS560" s="38"/>
      <c r="AT560" s="38"/>
      <c r="AU560" s="38"/>
      <c r="AV560" s="38"/>
      <c r="AW560" s="38"/>
      <c r="AX560" s="38"/>
      <c r="AY560" s="38"/>
      <c r="AZ560" s="38"/>
      <c r="BA560" s="38"/>
      <c r="BB560" s="38"/>
      <c r="BC560" s="38"/>
      <c r="BD560" s="38"/>
      <c r="BE560" s="38"/>
      <c r="BF560" s="38"/>
    </row>
    <row r="561" spans="4:58" s="173" customFormat="1" ht="15" customHeight="1" hidden="1" thickBot="1">
      <c r="D561" s="1427" t="s">
        <v>6</v>
      </c>
      <c r="E561" s="1427"/>
      <c r="G561" s="704">
        <v>8</v>
      </c>
      <c r="H561" s="1432">
        <v>2</v>
      </c>
      <c r="I561" s="1432"/>
      <c r="J561" s="705">
        <f>V449</f>
        <v>677531.254</v>
      </c>
      <c r="K561" s="706">
        <v>450.492</v>
      </c>
      <c r="L561" s="706">
        <v>470.022</v>
      </c>
      <c r="Q561" s="685"/>
      <c r="V561" s="705">
        <f>W449</f>
        <v>9134087.074</v>
      </c>
      <c r="W561" s="697">
        <f t="shared" si="12"/>
        <v>9811618.328</v>
      </c>
      <c r="X561" s="406"/>
      <c r="Y561" s="685"/>
      <c r="AM561" s="38"/>
      <c r="AN561" s="38"/>
      <c r="AO561" s="38"/>
      <c r="AP561" s="38"/>
      <c r="AQ561" s="38"/>
      <c r="AR561" s="38"/>
      <c r="AS561" s="38"/>
      <c r="AT561" s="38"/>
      <c r="AU561" s="38"/>
      <c r="AV561" s="38"/>
      <c r="AW561" s="38"/>
      <c r="AX561" s="38"/>
      <c r="AY561" s="38"/>
      <c r="AZ561" s="38"/>
      <c r="BA561" s="38"/>
      <c r="BB561" s="38"/>
      <c r="BC561" s="38"/>
      <c r="BD561" s="38"/>
      <c r="BE561" s="38"/>
      <c r="BF561" s="38"/>
    </row>
    <row r="562" spans="4:58" s="173" customFormat="1" ht="15.75" customHeight="1" hidden="1" thickBot="1">
      <c r="D562" s="1428" t="s">
        <v>442</v>
      </c>
      <c r="E562" s="1428"/>
      <c r="G562" s="725" t="s">
        <v>92</v>
      </c>
      <c r="H562" s="1426">
        <v>0</v>
      </c>
      <c r="I562" s="1426"/>
      <c r="J562" s="713">
        <f>J563</f>
        <v>210000</v>
      </c>
      <c r="K562" s="714">
        <f>K563</f>
        <v>120</v>
      </c>
      <c r="L562" s="714">
        <f>L563</f>
        <v>120</v>
      </c>
      <c r="Q562" s="685"/>
      <c r="V562" s="713">
        <f>V563</f>
        <v>0</v>
      </c>
      <c r="W562" s="697">
        <f t="shared" si="12"/>
        <v>210000</v>
      </c>
      <c r="X562" s="406"/>
      <c r="Y562" s="685"/>
      <c r="AM562" s="38"/>
      <c r="AN562" s="38"/>
      <c r="AO562" s="38"/>
      <c r="AP562" s="38"/>
      <c r="AQ562" s="38"/>
      <c r="AR562" s="38"/>
      <c r="AS562" s="38"/>
      <c r="AT562" s="38"/>
      <c r="AU562" s="38"/>
      <c r="AV562" s="38"/>
      <c r="AW562" s="38"/>
      <c r="AX562" s="38"/>
      <c r="AY562" s="38"/>
      <c r="AZ562" s="38"/>
      <c r="BA562" s="38"/>
      <c r="BB562" s="38"/>
      <c r="BC562" s="38"/>
      <c r="BD562" s="38"/>
      <c r="BE562" s="38"/>
      <c r="BF562" s="38"/>
    </row>
    <row r="563" spans="4:58" s="173" customFormat="1" ht="16.5" customHeight="1" hidden="1" thickBot="1">
      <c r="D563" s="1437" t="s">
        <v>2</v>
      </c>
      <c r="E563" s="1437"/>
      <c r="G563" s="727" t="s">
        <v>92</v>
      </c>
      <c r="H563" s="1438" t="s">
        <v>88</v>
      </c>
      <c r="I563" s="1438"/>
      <c r="J563" s="728">
        <f>V457</f>
        <v>210000</v>
      </c>
      <c r="K563" s="729">
        <v>120</v>
      </c>
      <c r="L563" s="729">
        <v>120</v>
      </c>
      <c r="Q563" s="685"/>
      <c r="V563" s="728">
        <f>X457</f>
        <v>0</v>
      </c>
      <c r="W563" s="697">
        <f t="shared" si="12"/>
        <v>210000</v>
      </c>
      <c r="X563" s="406"/>
      <c r="Y563" s="685"/>
      <c r="AM563" s="38"/>
      <c r="AN563" s="38"/>
      <c r="AO563" s="38"/>
      <c r="AP563" s="38"/>
      <c r="AQ563" s="38"/>
      <c r="AR563" s="38"/>
      <c r="AS563" s="38"/>
      <c r="AT563" s="38"/>
      <c r="AU563" s="38"/>
      <c r="AV563" s="38"/>
      <c r="AW563" s="38"/>
      <c r="AX563" s="38"/>
      <c r="AY563" s="38"/>
      <c r="AZ563" s="38"/>
      <c r="BA563" s="38"/>
      <c r="BB563" s="38"/>
      <c r="BC563" s="38"/>
      <c r="BD563" s="38"/>
      <c r="BE563" s="38"/>
      <c r="BF563" s="38"/>
    </row>
    <row r="564" spans="4:58" s="173" customFormat="1" ht="14.25" customHeight="1" hidden="1" thickBot="1">
      <c r="D564" s="1425" t="s">
        <v>443</v>
      </c>
      <c r="E564" s="1425"/>
      <c r="G564" s="730">
        <v>11</v>
      </c>
      <c r="H564" s="1426">
        <v>0</v>
      </c>
      <c r="I564" s="1426"/>
      <c r="J564" s="713">
        <f>J565</f>
        <v>427655.9960000001</v>
      </c>
      <c r="K564" s="714">
        <f>K565</f>
        <v>1165.3</v>
      </c>
      <c r="L564" s="714">
        <f>L565</f>
        <v>1165.3</v>
      </c>
      <c r="Q564" s="685"/>
      <c r="V564" s="713">
        <f>V565</f>
        <v>14286.07</v>
      </c>
      <c r="W564" s="697">
        <f t="shared" si="12"/>
        <v>441942.0660000001</v>
      </c>
      <c r="X564" s="406"/>
      <c r="Y564" s="685"/>
      <c r="AM564" s="38"/>
      <c r="AN564" s="38"/>
      <c r="AO564" s="38"/>
      <c r="AP564" s="38"/>
      <c r="AQ564" s="38"/>
      <c r="AR564" s="38"/>
      <c r="AS564" s="38"/>
      <c r="AT564" s="38"/>
      <c r="AU564" s="38"/>
      <c r="AV564" s="38"/>
      <c r="AW564" s="38"/>
      <c r="AX564" s="38"/>
      <c r="AY564" s="38"/>
      <c r="AZ564" s="38"/>
      <c r="BA564" s="38"/>
      <c r="BB564" s="38"/>
      <c r="BC564" s="38"/>
      <c r="BD564" s="38"/>
      <c r="BE564" s="38"/>
      <c r="BF564" s="38"/>
    </row>
    <row r="565" spans="4:58" s="173" customFormat="1" ht="13.5" hidden="1" thickBot="1">
      <c r="D565" s="1441" t="s">
        <v>4</v>
      </c>
      <c r="E565" s="1441"/>
      <c r="G565" s="732">
        <v>11</v>
      </c>
      <c r="H565" s="1442">
        <v>1</v>
      </c>
      <c r="I565" s="1442"/>
      <c r="J565" s="733">
        <f>V467+V478++V473</f>
        <v>427655.9960000001</v>
      </c>
      <c r="K565" s="734">
        <v>1165.3</v>
      </c>
      <c r="L565" s="734">
        <v>1165.3</v>
      </c>
      <c r="Q565" s="685"/>
      <c r="V565" s="733">
        <f>X467+X478+X473</f>
        <v>14286.07</v>
      </c>
      <c r="W565" s="697">
        <f t="shared" si="12"/>
        <v>441942.0660000001</v>
      </c>
      <c r="X565" s="406"/>
      <c r="Y565" s="685">
        <f>W566-X566</f>
        <v>8430057.903465442</v>
      </c>
      <c r="AM565" s="38"/>
      <c r="AN565" s="38"/>
      <c r="AO565" s="38"/>
      <c r="AP565" s="38"/>
      <c r="AQ565" s="38"/>
      <c r="AR565" s="38"/>
      <c r="AS565" s="38"/>
      <c r="AT565" s="38"/>
      <c r="AU565" s="38"/>
      <c r="AV565" s="38"/>
      <c r="AW565" s="38"/>
      <c r="AX565" s="38"/>
      <c r="AY565" s="38"/>
      <c r="AZ565" s="38"/>
      <c r="BA565" s="38"/>
      <c r="BB565" s="38"/>
      <c r="BC565" s="38"/>
      <c r="BD565" s="38"/>
      <c r="BE565" s="38"/>
      <c r="BF565" s="38"/>
    </row>
    <row r="566" spans="4:58" s="173" customFormat="1" ht="13.5" hidden="1" thickBot="1">
      <c r="D566" s="1443" t="s">
        <v>444</v>
      </c>
      <c r="E566" s="1444"/>
      <c r="F566" s="735"/>
      <c r="G566" s="736"/>
      <c r="H566" s="1445"/>
      <c r="I566" s="1446"/>
      <c r="J566" s="737">
        <f>J532+J538+J540+J545+J550+J559+J562+J564+J546</f>
        <v>54982692.19946544</v>
      </c>
      <c r="K566" s="738">
        <f>K532+K538+K540+K545+K550+K559+K562+K564</f>
        <v>31369.699</v>
      </c>
      <c r="L566" s="738">
        <f>L532+L538+L540+L545+L550+L559+L562+L564</f>
        <v>33631.499</v>
      </c>
      <c r="M566" s="735"/>
      <c r="N566" s="735"/>
      <c r="O566" s="735"/>
      <c r="P566" s="735"/>
      <c r="Q566" s="739"/>
      <c r="R566" s="735"/>
      <c r="S566" s="735"/>
      <c r="T566" s="735"/>
      <c r="U566" s="735"/>
      <c r="V566" s="737">
        <f>V532+V538+V540+V545+V550+V559+V562+V564+V546</f>
        <v>12025328.184</v>
      </c>
      <c r="W566" s="697">
        <f t="shared" si="12"/>
        <v>67008020.38346544</v>
      </c>
      <c r="X566" s="406">
        <v>58577962.48</v>
      </c>
      <c r="Y566" s="685"/>
      <c r="AM566" s="38"/>
      <c r="AN566" s="38"/>
      <c r="AO566" s="38"/>
      <c r="AP566" s="38"/>
      <c r="AQ566" s="38"/>
      <c r="AR566" s="38"/>
      <c r="AS566" s="38"/>
      <c r="AT566" s="38"/>
      <c r="AU566" s="38"/>
      <c r="AV566" s="38"/>
      <c r="AW566" s="38"/>
      <c r="AX566" s="38"/>
      <c r="AY566" s="38"/>
      <c r="AZ566" s="38"/>
      <c r="BA566" s="38"/>
      <c r="BB566" s="38"/>
      <c r="BC566" s="38"/>
      <c r="BD566" s="38"/>
      <c r="BE566" s="38"/>
      <c r="BF566" s="38"/>
    </row>
    <row r="567" spans="10:58" s="173" customFormat="1" ht="12.75" hidden="1">
      <c r="J567" s="622">
        <v>64533587.28</v>
      </c>
      <c r="Q567" s="685"/>
      <c r="V567" s="173">
        <v>3996884.79</v>
      </c>
      <c r="X567" s="406"/>
      <c r="Y567" s="685"/>
      <c r="AM567" s="38"/>
      <c r="AN567" s="38"/>
      <c r="AO567" s="38"/>
      <c r="AP567" s="38"/>
      <c r="AQ567" s="38"/>
      <c r="AR567" s="38"/>
      <c r="AS567" s="38"/>
      <c r="AT567" s="38"/>
      <c r="AU567" s="38"/>
      <c r="AV567" s="38"/>
      <c r="AW567" s="38"/>
      <c r="AX567" s="38"/>
      <c r="AY567" s="38"/>
      <c r="AZ567" s="38"/>
      <c r="BA567" s="38"/>
      <c r="BB567" s="38"/>
      <c r="BC567" s="38"/>
      <c r="BD567" s="38"/>
      <c r="BE567" s="38"/>
      <c r="BF567" s="38"/>
    </row>
    <row r="568" spans="4:58" s="173" customFormat="1" ht="12.75" hidden="1">
      <c r="D568" s="1436"/>
      <c r="E568" s="1436"/>
      <c r="J568" s="733">
        <f>J567-J566</f>
        <v>9550895.080534562</v>
      </c>
      <c r="Q568" s="685"/>
      <c r="X568" s="406"/>
      <c r="Y568" s="685"/>
      <c r="AM568" s="38"/>
      <c r="AN568" s="38"/>
      <c r="AO568" s="38"/>
      <c r="AP568" s="38"/>
      <c r="AQ568" s="38"/>
      <c r="AR568" s="38"/>
      <c r="AS568" s="38"/>
      <c r="AT568" s="38"/>
      <c r="AU568" s="38"/>
      <c r="AV568" s="38"/>
      <c r="AW568" s="38"/>
      <c r="AX568" s="38"/>
      <c r="AY568" s="38"/>
      <c r="AZ568" s="38"/>
      <c r="BA568" s="38"/>
      <c r="BB568" s="38"/>
      <c r="BC568" s="38"/>
      <c r="BD568" s="38"/>
      <c r="BE568" s="38"/>
      <c r="BF568" s="38"/>
    </row>
    <row r="569" spans="4:58" s="173" customFormat="1" ht="12.75" hidden="1">
      <c r="D569" s="1436"/>
      <c r="E569" s="1436"/>
      <c r="J569" s="740"/>
      <c r="Q569" s="685"/>
      <c r="X569" s="406"/>
      <c r="Y569" s="685"/>
      <c r="AM569" s="38"/>
      <c r="AN569" s="38"/>
      <c r="AO569" s="38"/>
      <c r="AP569" s="38"/>
      <c r="AQ569" s="38"/>
      <c r="AR569" s="38"/>
      <c r="AS569" s="38"/>
      <c r="AT569" s="38"/>
      <c r="AU569" s="38"/>
      <c r="AV569" s="38"/>
      <c r="AW569" s="38"/>
      <c r="AX569" s="38"/>
      <c r="AY569" s="38"/>
      <c r="AZ569" s="38"/>
      <c r="BA569" s="38"/>
      <c r="BB569" s="38"/>
      <c r="BC569" s="38"/>
      <c r="BD569" s="38"/>
      <c r="BE569" s="38"/>
      <c r="BF569" s="38"/>
    </row>
    <row r="570" spans="4:58" s="173" customFormat="1" ht="12.75">
      <c r="D570" s="1436"/>
      <c r="E570" s="1436"/>
      <c r="J570" s="740"/>
      <c r="Q570" s="685"/>
      <c r="X570" s="406">
        <v>3077041.11</v>
      </c>
      <c r="Y570" s="685" t="s">
        <v>710</v>
      </c>
      <c r="AM570" s="38"/>
      <c r="AN570" s="38"/>
      <c r="AO570" s="38"/>
      <c r="AP570" s="38"/>
      <c r="AQ570" s="38"/>
      <c r="AR570" s="38"/>
      <c r="AS570" s="38"/>
      <c r="AT570" s="38"/>
      <c r="AU570" s="38"/>
      <c r="AV570" s="38"/>
      <c r="AW570" s="38"/>
      <c r="AX570" s="38"/>
      <c r="AY570" s="38"/>
      <c r="AZ570" s="38"/>
      <c r="BA570" s="38"/>
      <c r="BB570" s="38"/>
      <c r="BC570" s="38"/>
      <c r="BD570" s="38"/>
      <c r="BE570" s="38"/>
      <c r="BF570" s="38"/>
    </row>
    <row r="571" spans="4:58" s="173" customFormat="1" ht="12.75">
      <c r="D571" s="1436"/>
      <c r="E571" s="1436"/>
      <c r="J571" s="740"/>
      <c r="Q571" s="685"/>
      <c r="X571" s="406">
        <v>6851.7</v>
      </c>
      <c r="Y571" s="685" t="s">
        <v>711</v>
      </c>
      <c r="AM571" s="38"/>
      <c r="AN571" s="38"/>
      <c r="AO571" s="38"/>
      <c r="AP571" s="38"/>
      <c r="AQ571" s="38"/>
      <c r="AR571" s="38"/>
      <c r="AS571" s="38"/>
      <c r="AT571" s="38"/>
      <c r="AU571" s="38"/>
      <c r="AV571" s="38"/>
      <c r="AW571" s="38"/>
      <c r="AX571" s="38"/>
      <c r="AY571" s="38"/>
      <c r="AZ571" s="38"/>
      <c r="BA571" s="38"/>
      <c r="BB571" s="38"/>
      <c r="BC571" s="38"/>
      <c r="BD571" s="38"/>
      <c r="BE571" s="38"/>
      <c r="BF571" s="38"/>
    </row>
    <row r="572" spans="4:58" s="173" customFormat="1" ht="12.75">
      <c r="D572" s="1436"/>
      <c r="E572" s="1436"/>
      <c r="J572" s="740"/>
      <c r="Q572" s="685"/>
      <c r="X572" s="406"/>
      <c r="Y572" s="685"/>
      <c r="AM572" s="38"/>
      <c r="AN572" s="38"/>
      <c r="AO572" s="38"/>
      <c r="AP572" s="38"/>
      <c r="AQ572" s="38"/>
      <c r="AR572" s="38"/>
      <c r="AS572" s="38"/>
      <c r="AT572" s="38"/>
      <c r="AU572" s="38"/>
      <c r="AV572" s="38"/>
      <c r="AW572" s="38"/>
      <c r="AX572" s="38"/>
      <c r="AY572" s="38"/>
      <c r="AZ572" s="38"/>
      <c r="BA572" s="38"/>
      <c r="BB572" s="38"/>
      <c r="BC572" s="38"/>
      <c r="BD572" s="38"/>
      <c r="BE572" s="38"/>
      <c r="BF572" s="38"/>
    </row>
    <row r="573" spans="4:58" s="173" customFormat="1" ht="12.75">
      <c r="D573" s="1436"/>
      <c r="E573" s="1436"/>
      <c r="J573" s="740"/>
      <c r="Q573" s="685"/>
      <c r="X573" s="406"/>
      <c r="Y573" s="685"/>
      <c r="AM573" s="38"/>
      <c r="AN573" s="38"/>
      <c r="AO573" s="38"/>
      <c r="AP573" s="38"/>
      <c r="AQ573" s="38"/>
      <c r="AR573" s="38"/>
      <c r="AS573" s="38"/>
      <c r="AT573" s="38"/>
      <c r="AU573" s="38"/>
      <c r="AV573" s="38"/>
      <c r="AW573" s="38"/>
      <c r="AX573" s="38"/>
      <c r="AY573" s="38"/>
      <c r="AZ573" s="38"/>
      <c r="BA573" s="38"/>
      <c r="BB573" s="38"/>
      <c r="BC573" s="38"/>
      <c r="BD573" s="38"/>
      <c r="BE573" s="38"/>
      <c r="BF573" s="38"/>
    </row>
    <row r="574" spans="4:58" s="173" customFormat="1" ht="12.75">
      <c r="D574" s="1436"/>
      <c r="E574" s="1436"/>
      <c r="J574" s="740"/>
      <c r="Q574" s="685"/>
      <c r="X574" s="406"/>
      <c r="Y574" s="685"/>
      <c r="AM574" s="38"/>
      <c r="AN574" s="38"/>
      <c r="AO574" s="38"/>
      <c r="AP574" s="38"/>
      <c r="AQ574" s="38"/>
      <c r="AR574" s="38"/>
      <c r="AS574" s="38"/>
      <c r="AT574" s="38"/>
      <c r="AU574" s="38"/>
      <c r="AV574" s="38"/>
      <c r="AW574" s="38"/>
      <c r="AX574" s="38"/>
      <c r="AY574" s="38"/>
      <c r="AZ574" s="38"/>
      <c r="BA574" s="38"/>
      <c r="BB574" s="38"/>
      <c r="BC574" s="38"/>
      <c r="BD574" s="38"/>
      <c r="BE574" s="38"/>
      <c r="BF574" s="38"/>
    </row>
    <row r="575" spans="10:58" s="173" customFormat="1" ht="12.75">
      <c r="J575" s="740"/>
      <c r="Q575" s="685"/>
      <c r="X575" s="406"/>
      <c r="Y575" s="685"/>
      <c r="AM575" s="38"/>
      <c r="AN575" s="38"/>
      <c r="AO575" s="38"/>
      <c r="AP575" s="38"/>
      <c r="AQ575" s="38"/>
      <c r="AR575" s="38"/>
      <c r="AS575" s="38"/>
      <c r="AT575" s="38"/>
      <c r="AU575" s="38"/>
      <c r="AV575" s="38"/>
      <c r="AW575" s="38"/>
      <c r="AX575" s="38"/>
      <c r="AY575" s="38"/>
      <c r="AZ575" s="38"/>
      <c r="BA575" s="38"/>
      <c r="BB575" s="38"/>
      <c r="BC575" s="38"/>
      <c r="BD575" s="38"/>
      <c r="BE575" s="38"/>
      <c r="BF575" s="38"/>
    </row>
    <row r="576" spans="10:58" s="173" customFormat="1" ht="12.75">
      <c r="J576" s="740"/>
      <c r="Q576" s="685"/>
      <c r="X576" s="406"/>
      <c r="Y576" s="685"/>
      <c r="AM576" s="38"/>
      <c r="AN576" s="38"/>
      <c r="AO576" s="38"/>
      <c r="AP576" s="38"/>
      <c r="AQ576" s="38"/>
      <c r="AR576" s="38"/>
      <c r="AS576" s="38"/>
      <c r="AT576" s="38"/>
      <c r="AU576" s="38"/>
      <c r="AV576" s="38"/>
      <c r="AW576" s="38"/>
      <c r="AX576" s="38"/>
      <c r="AY576" s="38"/>
      <c r="AZ576" s="38"/>
      <c r="BA576" s="38"/>
      <c r="BB576" s="38"/>
      <c r="BC576" s="38"/>
      <c r="BD576" s="38"/>
      <c r="BE576" s="38"/>
      <c r="BF576" s="38"/>
    </row>
    <row r="577" spans="10:58" s="173" customFormat="1" ht="12.75">
      <c r="J577" s="740"/>
      <c r="Q577" s="685"/>
      <c r="X577" s="406"/>
      <c r="Y577" s="685"/>
      <c r="AM577" s="38"/>
      <c r="AN577" s="38"/>
      <c r="AO577" s="38"/>
      <c r="AP577" s="38"/>
      <c r="AQ577" s="38"/>
      <c r="AR577" s="38"/>
      <c r="AS577" s="38"/>
      <c r="AT577" s="38"/>
      <c r="AU577" s="38"/>
      <c r="AV577" s="38"/>
      <c r="AW577" s="38"/>
      <c r="AX577" s="38"/>
      <c r="AY577" s="38"/>
      <c r="AZ577" s="38"/>
      <c r="BA577" s="38"/>
      <c r="BB577" s="38"/>
      <c r="BC577" s="38"/>
      <c r="BD577" s="38"/>
      <c r="BE577" s="38"/>
      <c r="BF577" s="38"/>
    </row>
    <row r="578" spans="10:58" s="173" customFormat="1" ht="12.75">
      <c r="J578" s="740"/>
      <c r="Q578" s="685"/>
      <c r="X578" s="406"/>
      <c r="Y578" s="685"/>
      <c r="AM578" s="38"/>
      <c r="AN578" s="38"/>
      <c r="AO578" s="38"/>
      <c r="AP578" s="38"/>
      <c r="AQ578" s="38"/>
      <c r="AR578" s="38"/>
      <c r="AS578" s="38"/>
      <c r="AT578" s="38"/>
      <c r="AU578" s="38"/>
      <c r="AV578" s="38"/>
      <c r="AW578" s="38"/>
      <c r="AX578" s="38"/>
      <c r="AY578" s="38"/>
      <c r="AZ578" s="38"/>
      <c r="BA578" s="38"/>
      <c r="BB578" s="38"/>
      <c r="BC578" s="38"/>
      <c r="BD578" s="38"/>
      <c r="BE578" s="38"/>
      <c r="BF578" s="38"/>
    </row>
    <row r="579" spans="10:58" s="173" customFormat="1" ht="12.75">
      <c r="J579" s="740"/>
      <c r="Q579" s="685"/>
      <c r="X579" s="406"/>
      <c r="Y579" s="685"/>
      <c r="AM579" s="38"/>
      <c r="AN579" s="38"/>
      <c r="AO579" s="38"/>
      <c r="AP579" s="38"/>
      <c r="AQ579" s="38"/>
      <c r="AR579" s="38"/>
      <c r="AS579" s="38"/>
      <c r="AT579" s="38"/>
      <c r="AU579" s="38"/>
      <c r="AV579" s="38"/>
      <c r="AW579" s="38"/>
      <c r="AX579" s="38"/>
      <c r="AY579" s="38"/>
      <c r="AZ579" s="38"/>
      <c r="BA579" s="38"/>
      <c r="BB579" s="38"/>
      <c r="BC579" s="38"/>
      <c r="BD579" s="38"/>
      <c r="BE579" s="38"/>
      <c r="BF579" s="38"/>
    </row>
    <row r="580" spans="10:58" s="173" customFormat="1" ht="12.75">
      <c r="J580" s="740"/>
      <c r="Q580" s="685"/>
      <c r="X580" s="406"/>
      <c r="Y580" s="685"/>
      <c r="AM580" s="38"/>
      <c r="AN580" s="38"/>
      <c r="AO580" s="38"/>
      <c r="AP580" s="38"/>
      <c r="AQ580" s="38"/>
      <c r="AR580" s="38"/>
      <c r="AS580" s="38"/>
      <c r="AT580" s="38"/>
      <c r="AU580" s="38"/>
      <c r="AV580" s="38"/>
      <c r="AW580" s="38"/>
      <c r="AX580" s="38"/>
      <c r="AY580" s="38"/>
      <c r="AZ580" s="38"/>
      <c r="BA580" s="38"/>
      <c r="BB580" s="38"/>
      <c r="BC580" s="38"/>
      <c r="BD580" s="38"/>
      <c r="BE580" s="38"/>
      <c r="BF580" s="38"/>
    </row>
    <row r="581" spans="10:58" s="173" customFormat="1" ht="12.75">
      <c r="J581" s="740"/>
      <c r="Q581" s="685"/>
      <c r="X581" s="406"/>
      <c r="Y581" s="685"/>
      <c r="AM581" s="38"/>
      <c r="AN581" s="38"/>
      <c r="AO581" s="38"/>
      <c r="AP581" s="38"/>
      <c r="AQ581" s="38"/>
      <c r="AR581" s="38"/>
      <c r="AS581" s="38"/>
      <c r="AT581" s="38"/>
      <c r="AU581" s="38"/>
      <c r="AV581" s="38"/>
      <c r="AW581" s="38"/>
      <c r="AX581" s="38"/>
      <c r="AY581" s="38"/>
      <c r="AZ581" s="38"/>
      <c r="BA581" s="38"/>
      <c r="BB581" s="38"/>
      <c r="BC581" s="38"/>
      <c r="BD581" s="38"/>
      <c r="BE581" s="38"/>
      <c r="BF581" s="38"/>
    </row>
    <row r="582" spans="10:58" s="173" customFormat="1" ht="12.75">
      <c r="J582" s="740"/>
      <c r="Q582" s="685"/>
      <c r="X582" s="406"/>
      <c r="Y582" s="685"/>
      <c r="AM582" s="38"/>
      <c r="AN582" s="38"/>
      <c r="AO582" s="38"/>
      <c r="AP582" s="38"/>
      <c r="AQ582" s="38"/>
      <c r="AR582" s="38"/>
      <c r="AS582" s="38"/>
      <c r="AT582" s="38"/>
      <c r="AU582" s="38"/>
      <c r="AV582" s="38"/>
      <c r="AW582" s="38"/>
      <c r="AX582" s="38"/>
      <c r="AY582" s="38"/>
      <c r="AZ582" s="38"/>
      <c r="BA582" s="38"/>
      <c r="BB582" s="38"/>
      <c r="BC582" s="38"/>
      <c r="BD582" s="38"/>
      <c r="BE582" s="38"/>
      <c r="BF582" s="38"/>
    </row>
    <row r="583" spans="10:58" s="173" customFormat="1" ht="12.75">
      <c r="J583" s="740"/>
      <c r="Q583" s="685"/>
      <c r="X583" s="406"/>
      <c r="Y583" s="685"/>
      <c r="AM583" s="38"/>
      <c r="AN583" s="38"/>
      <c r="AO583" s="38"/>
      <c r="AP583" s="38"/>
      <c r="AQ583" s="38"/>
      <c r="AR583" s="38"/>
      <c r="AS583" s="38"/>
      <c r="AT583" s="38"/>
      <c r="AU583" s="38"/>
      <c r="AV583" s="38"/>
      <c r="AW583" s="38"/>
      <c r="AX583" s="38"/>
      <c r="AY583" s="38"/>
      <c r="AZ583" s="38"/>
      <c r="BA583" s="38"/>
      <c r="BB583" s="38"/>
      <c r="BC583" s="38"/>
      <c r="BD583" s="38"/>
      <c r="BE583" s="38"/>
      <c r="BF583" s="38"/>
    </row>
    <row r="584" spans="10:58" s="173" customFormat="1" ht="12.75">
      <c r="J584" s="740"/>
      <c r="Q584" s="685"/>
      <c r="X584" s="406"/>
      <c r="Y584" s="685"/>
      <c r="AM584" s="38"/>
      <c r="AN584" s="38"/>
      <c r="AO584" s="38"/>
      <c r="AP584" s="38"/>
      <c r="AQ584" s="38"/>
      <c r="AR584" s="38"/>
      <c r="AS584" s="38"/>
      <c r="AT584" s="38"/>
      <c r="AU584" s="38"/>
      <c r="AV584" s="38"/>
      <c r="AW584" s="38"/>
      <c r="AX584" s="38"/>
      <c r="AY584" s="38"/>
      <c r="AZ584" s="38"/>
      <c r="BA584" s="38"/>
      <c r="BB584" s="38"/>
      <c r="BC584" s="38"/>
      <c r="BD584" s="38"/>
      <c r="BE584" s="38"/>
      <c r="BF584" s="38"/>
    </row>
    <row r="585" spans="10:58" s="173" customFormat="1" ht="12.75">
      <c r="J585" s="740"/>
      <c r="Q585" s="685"/>
      <c r="X585" s="406"/>
      <c r="Y585" s="685"/>
      <c r="AM585" s="38"/>
      <c r="AN585" s="38"/>
      <c r="AO585" s="38"/>
      <c r="AP585" s="38"/>
      <c r="AQ585" s="38"/>
      <c r="AR585" s="38"/>
      <c r="AS585" s="38"/>
      <c r="AT585" s="38"/>
      <c r="AU585" s="38"/>
      <c r="AV585" s="38"/>
      <c r="AW585" s="38"/>
      <c r="AX585" s="38"/>
      <c r="AY585" s="38"/>
      <c r="AZ585" s="38"/>
      <c r="BA585" s="38"/>
      <c r="BB585" s="38"/>
      <c r="BC585" s="38"/>
      <c r="BD585" s="38"/>
      <c r="BE585" s="38"/>
      <c r="BF585" s="38"/>
    </row>
    <row r="586" spans="10:58" s="173" customFormat="1" ht="12.75">
      <c r="J586" s="740"/>
      <c r="Q586" s="685"/>
      <c r="X586" s="406"/>
      <c r="Y586" s="685"/>
      <c r="AM586" s="38"/>
      <c r="AN586" s="38"/>
      <c r="AO586" s="38"/>
      <c r="AP586" s="38"/>
      <c r="AQ586" s="38"/>
      <c r="AR586" s="38"/>
      <c r="AS586" s="38"/>
      <c r="AT586" s="38"/>
      <c r="AU586" s="38"/>
      <c r="AV586" s="38"/>
      <c r="AW586" s="38"/>
      <c r="AX586" s="38"/>
      <c r="AY586" s="38"/>
      <c r="AZ586" s="38"/>
      <c r="BA586" s="38"/>
      <c r="BB586" s="38"/>
      <c r="BC586" s="38"/>
      <c r="BD586" s="38"/>
      <c r="BE586" s="38"/>
      <c r="BF586" s="38"/>
    </row>
    <row r="587" spans="10:58" s="173" customFormat="1" ht="12.75">
      <c r="J587" s="740"/>
      <c r="Q587" s="685"/>
      <c r="X587" s="406"/>
      <c r="Y587" s="685"/>
      <c r="AM587" s="38"/>
      <c r="AN587" s="38"/>
      <c r="AO587" s="38"/>
      <c r="AP587" s="38"/>
      <c r="AQ587" s="38"/>
      <c r="AR587" s="38"/>
      <c r="AS587" s="38"/>
      <c r="AT587" s="38"/>
      <c r="AU587" s="38"/>
      <c r="AV587" s="38"/>
      <c r="AW587" s="38"/>
      <c r="AX587" s="38"/>
      <c r="AY587" s="38"/>
      <c r="AZ587" s="38"/>
      <c r="BA587" s="38"/>
      <c r="BB587" s="38"/>
      <c r="BC587" s="38"/>
      <c r="BD587" s="38"/>
      <c r="BE587" s="38"/>
      <c r="BF587" s="38"/>
    </row>
    <row r="588" spans="10:58" s="173" customFormat="1" ht="12.75">
      <c r="J588" s="740"/>
      <c r="Q588" s="685"/>
      <c r="X588" s="406"/>
      <c r="Y588" s="685"/>
      <c r="AM588" s="38"/>
      <c r="AN588" s="38"/>
      <c r="AO588" s="38"/>
      <c r="AP588" s="38"/>
      <c r="AQ588" s="38"/>
      <c r="AR588" s="38"/>
      <c r="AS588" s="38"/>
      <c r="AT588" s="38"/>
      <c r="AU588" s="38"/>
      <c r="AV588" s="38"/>
      <c r="AW588" s="38"/>
      <c r="AX588" s="38"/>
      <c r="AY588" s="38"/>
      <c r="AZ588" s="38"/>
      <c r="BA588" s="38"/>
      <c r="BB588" s="38"/>
      <c r="BC588" s="38"/>
      <c r="BD588" s="38"/>
      <c r="BE588" s="38"/>
      <c r="BF588" s="38"/>
    </row>
    <row r="589" spans="10:58" s="173" customFormat="1" ht="12.75">
      <c r="J589" s="740"/>
      <c r="Q589" s="685"/>
      <c r="X589" s="406"/>
      <c r="Y589" s="685"/>
      <c r="AM589" s="38"/>
      <c r="AN589" s="38"/>
      <c r="AO589" s="38"/>
      <c r="AP589" s="38"/>
      <c r="AQ589" s="38"/>
      <c r="AR589" s="38"/>
      <c r="AS589" s="38"/>
      <c r="AT589" s="38"/>
      <c r="AU589" s="38"/>
      <c r="AV589" s="38"/>
      <c r="AW589" s="38"/>
      <c r="AX589" s="38"/>
      <c r="AY589" s="38"/>
      <c r="AZ589" s="38"/>
      <c r="BA589" s="38"/>
      <c r="BB589" s="38"/>
      <c r="BC589" s="38"/>
      <c r="BD589" s="38"/>
      <c r="BE589" s="38"/>
      <c r="BF589" s="38"/>
    </row>
    <row r="590" spans="10:58" s="173" customFormat="1" ht="12.75">
      <c r="J590" s="740"/>
      <c r="Q590" s="685"/>
      <c r="X590" s="406"/>
      <c r="Y590" s="685"/>
      <c r="AM590" s="38"/>
      <c r="AN590" s="38"/>
      <c r="AO590" s="38"/>
      <c r="AP590" s="38"/>
      <c r="AQ590" s="38"/>
      <c r="AR590" s="38"/>
      <c r="AS590" s="38"/>
      <c r="AT590" s="38"/>
      <c r="AU590" s="38"/>
      <c r="AV590" s="38"/>
      <c r="AW590" s="38"/>
      <c r="AX590" s="38"/>
      <c r="AY590" s="38"/>
      <c r="AZ590" s="38"/>
      <c r="BA590" s="38"/>
      <c r="BB590" s="38"/>
      <c r="BC590" s="38"/>
      <c r="BD590" s="38"/>
      <c r="BE590" s="38"/>
      <c r="BF590" s="38"/>
    </row>
    <row r="591" spans="10:58" s="173" customFormat="1" ht="12.75">
      <c r="J591" s="740"/>
      <c r="Q591" s="685"/>
      <c r="X591" s="406"/>
      <c r="Y591" s="685"/>
      <c r="AM591" s="38"/>
      <c r="AN591" s="38"/>
      <c r="AO591" s="38"/>
      <c r="AP591" s="38"/>
      <c r="AQ591" s="38"/>
      <c r="AR591" s="38"/>
      <c r="AS591" s="38"/>
      <c r="AT591" s="38"/>
      <c r="AU591" s="38"/>
      <c r="AV591" s="38"/>
      <c r="AW591" s="38"/>
      <c r="AX591" s="38"/>
      <c r="AY591" s="38"/>
      <c r="AZ591" s="38"/>
      <c r="BA591" s="38"/>
      <c r="BB591" s="38"/>
      <c r="BC591" s="38"/>
      <c r="BD591" s="38"/>
      <c r="BE591" s="38"/>
      <c r="BF591" s="38"/>
    </row>
    <row r="592" spans="10:58" s="173" customFormat="1" ht="12.75">
      <c r="J592" s="740"/>
      <c r="Q592" s="685"/>
      <c r="X592" s="406"/>
      <c r="Y592" s="685"/>
      <c r="AM592" s="38"/>
      <c r="AN592" s="38"/>
      <c r="AO592" s="38"/>
      <c r="AP592" s="38"/>
      <c r="AQ592" s="38"/>
      <c r="AR592" s="38"/>
      <c r="AS592" s="38"/>
      <c r="AT592" s="38"/>
      <c r="AU592" s="38"/>
      <c r="AV592" s="38"/>
      <c r="AW592" s="38"/>
      <c r="AX592" s="38"/>
      <c r="AY592" s="38"/>
      <c r="AZ592" s="38"/>
      <c r="BA592" s="38"/>
      <c r="BB592" s="38"/>
      <c r="BC592" s="38"/>
      <c r="BD592" s="38"/>
      <c r="BE592" s="38"/>
      <c r="BF592" s="38"/>
    </row>
    <row r="593" spans="10:58" s="173" customFormat="1" ht="12.75">
      <c r="J593" s="740"/>
      <c r="Q593" s="685"/>
      <c r="X593" s="406"/>
      <c r="Y593" s="685"/>
      <c r="AM593" s="38"/>
      <c r="AN593" s="38"/>
      <c r="AO593" s="38"/>
      <c r="AP593" s="38"/>
      <c r="AQ593" s="38"/>
      <c r="AR593" s="38"/>
      <c r="AS593" s="38"/>
      <c r="AT593" s="38"/>
      <c r="AU593" s="38"/>
      <c r="AV593" s="38"/>
      <c r="AW593" s="38"/>
      <c r="AX593" s="38"/>
      <c r="AY593" s="38"/>
      <c r="AZ593" s="38"/>
      <c r="BA593" s="38"/>
      <c r="BB593" s="38"/>
      <c r="BC593" s="38"/>
      <c r="BD593" s="38"/>
      <c r="BE593" s="38"/>
      <c r="BF593" s="38"/>
    </row>
    <row r="594" spans="10:58" s="173" customFormat="1" ht="12.75">
      <c r="J594" s="740"/>
      <c r="Q594" s="685"/>
      <c r="X594" s="406"/>
      <c r="Y594" s="685"/>
      <c r="AM594" s="38"/>
      <c r="AN594" s="38"/>
      <c r="AO594" s="38"/>
      <c r="AP594" s="38"/>
      <c r="AQ594" s="38"/>
      <c r="AR594" s="38"/>
      <c r="AS594" s="38"/>
      <c r="AT594" s="38"/>
      <c r="AU594" s="38"/>
      <c r="AV594" s="38"/>
      <c r="AW594" s="38"/>
      <c r="AX594" s="38"/>
      <c r="AY594" s="38"/>
      <c r="AZ594" s="38"/>
      <c r="BA594" s="38"/>
      <c r="BB594" s="38"/>
      <c r="BC594" s="38"/>
      <c r="BD594" s="38"/>
      <c r="BE594" s="38"/>
      <c r="BF594" s="38"/>
    </row>
    <row r="595" spans="10:58" s="173" customFormat="1" ht="12.75">
      <c r="J595" s="740"/>
      <c r="Q595" s="685"/>
      <c r="X595" s="406"/>
      <c r="Y595" s="685"/>
      <c r="AM595" s="38"/>
      <c r="AN595" s="38"/>
      <c r="AO595" s="38"/>
      <c r="AP595" s="38"/>
      <c r="AQ595" s="38"/>
      <c r="AR595" s="38"/>
      <c r="AS595" s="38"/>
      <c r="AT595" s="38"/>
      <c r="AU595" s="38"/>
      <c r="AV595" s="38"/>
      <c r="AW595" s="38"/>
      <c r="AX595" s="38"/>
      <c r="AY595" s="38"/>
      <c r="AZ595" s="38"/>
      <c r="BA595" s="38"/>
      <c r="BB595" s="38"/>
      <c r="BC595" s="38"/>
      <c r="BD595" s="38"/>
      <c r="BE595" s="38"/>
      <c r="BF595" s="38"/>
    </row>
    <row r="596" spans="10:58" s="173" customFormat="1" ht="12.75">
      <c r="J596" s="740"/>
      <c r="Q596" s="685"/>
      <c r="X596" s="406"/>
      <c r="Y596" s="685"/>
      <c r="AM596" s="38"/>
      <c r="AN596" s="38"/>
      <c r="AO596" s="38"/>
      <c r="AP596" s="38"/>
      <c r="AQ596" s="38"/>
      <c r="AR596" s="38"/>
      <c r="AS596" s="38"/>
      <c r="AT596" s="38"/>
      <c r="AU596" s="38"/>
      <c r="AV596" s="38"/>
      <c r="AW596" s="38"/>
      <c r="AX596" s="38"/>
      <c r="AY596" s="38"/>
      <c r="AZ596" s="38"/>
      <c r="BA596" s="38"/>
      <c r="BB596" s="38"/>
      <c r="BC596" s="38"/>
      <c r="BD596" s="38"/>
      <c r="BE596" s="38"/>
      <c r="BF596" s="38"/>
    </row>
    <row r="597" spans="10:58" s="173" customFormat="1" ht="12.75">
      <c r="J597" s="740"/>
      <c r="Q597" s="685"/>
      <c r="X597" s="406"/>
      <c r="Y597" s="685"/>
      <c r="AM597" s="38"/>
      <c r="AN597" s="38"/>
      <c r="AO597" s="38"/>
      <c r="AP597" s="38"/>
      <c r="AQ597" s="38"/>
      <c r="AR597" s="38"/>
      <c r="AS597" s="38"/>
      <c r="AT597" s="38"/>
      <c r="AU597" s="38"/>
      <c r="AV597" s="38"/>
      <c r="AW597" s="38"/>
      <c r="AX597" s="38"/>
      <c r="AY597" s="38"/>
      <c r="AZ597" s="38"/>
      <c r="BA597" s="38"/>
      <c r="BB597" s="38"/>
      <c r="BC597" s="38"/>
      <c r="BD597" s="38"/>
      <c r="BE597" s="38"/>
      <c r="BF597" s="38"/>
    </row>
    <row r="598" spans="10:58" s="173" customFormat="1" ht="12.75">
      <c r="J598" s="740"/>
      <c r="Q598" s="685"/>
      <c r="X598" s="406"/>
      <c r="Y598" s="685"/>
      <c r="AM598" s="38"/>
      <c r="AN598" s="38"/>
      <c r="AO598" s="38"/>
      <c r="AP598" s="38"/>
      <c r="AQ598" s="38"/>
      <c r="AR598" s="38"/>
      <c r="AS598" s="38"/>
      <c r="AT598" s="38"/>
      <c r="AU598" s="38"/>
      <c r="AV598" s="38"/>
      <c r="AW598" s="38"/>
      <c r="AX598" s="38"/>
      <c r="AY598" s="38"/>
      <c r="AZ598" s="38"/>
      <c r="BA598" s="38"/>
      <c r="BB598" s="38"/>
      <c r="BC598" s="38"/>
      <c r="BD598" s="38"/>
      <c r="BE598" s="38"/>
      <c r="BF598" s="38"/>
    </row>
    <row r="599" spans="10:58" s="173" customFormat="1" ht="12.75">
      <c r="J599" s="740"/>
      <c r="Q599" s="685"/>
      <c r="X599" s="406"/>
      <c r="Y599" s="685"/>
      <c r="AM599" s="38"/>
      <c r="AN599" s="38"/>
      <c r="AO599" s="38"/>
      <c r="AP599" s="38"/>
      <c r="AQ599" s="38"/>
      <c r="AR599" s="38"/>
      <c r="AS599" s="38"/>
      <c r="AT599" s="38"/>
      <c r="AU599" s="38"/>
      <c r="AV599" s="38"/>
      <c r="AW599" s="38"/>
      <c r="AX599" s="38"/>
      <c r="AY599" s="38"/>
      <c r="AZ599" s="38"/>
      <c r="BA599" s="38"/>
      <c r="BB599" s="38"/>
      <c r="BC599" s="38"/>
      <c r="BD599" s="38"/>
      <c r="BE599" s="38"/>
      <c r="BF599" s="38"/>
    </row>
    <row r="600" spans="10:58" s="173" customFormat="1" ht="12.75">
      <c r="J600" s="740"/>
      <c r="Q600" s="685"/>
      <c r="X600" s="406"/>
      <c r="Y600" s="685"/>
      <c r="AM600" s="38"/>
      <c r="AN600" s="38"/>
      <c r="AO600" s="38"/>
      <c r="AP600" s="38"/>
      <c r="AQ600" s="38"/>
      <c r="AR600" s="38"/>
      <c r="AS600" s="38"/>
      <c r="AT600" s="38"/>
      <c r="AU600" s="38"/>
      <c r="AV600" s="38"/>
      <c r="AW600" s="38"/>
      <c r="AX600" s="38"/>
      <c r="AY600" s="38"/>
      <c r="AZ600" s="38"/>
      <c r="BA600" s="38"/>
      <c r="BB600" s="38"/>
      <c r="BC600" s="38"/>
      <c r="BD600" s="38"/>
      <c r="BE600" s="38"/>
      <c r="BF600" s="38"/>
    </row>
    <row r="601" spans="10:58" s="173" customFormat="1" ht="12.75">
      <c r="J601" s="740"/>
      <c r="Q601" s="685"/>
      <c r="X601" s="406"/>
      <c r="Y601" s="685"/>
      <c r="AM601" s="38"/>
      <c r="AN601" s="38"/>
      <c r="AO601" s="38"/>
      <c r="AP601" s="38"/>
      <c r="AQ601" s="38"/>
      <c r="AR601" s="38"/>
      <c r="AS601" s="38"/>
      <c r="AT601" s="38"/>
      <c r="AU601" s="38"/>
      <c r="AV601" s="38"/>
      <c r="AW601" s="38"/>
      <c r="AX601" s="38"/>
      <c r="AY601" s="38"/>
      <c r="AZ601" s="38"/>
      <c r="BA601" s="38"/>
      <c r="BB601" s="38"/>
      <c r="BC601" s="38"/>
      <c r="BD601" s="38"/>
      <c r="BE601" s="38"/>
      <c r="BF601" s="38"/>
    </row>
    <row r="602" spans="10:58" s="173" customFormat="1" ht="12.75">
      <c r="J602" s="740"/>
      <c r="Q602" s="685"/>
      <c r="X602" s="406"/>
      <c r="Y602" s="685"/>
      <c r="AM602" s="38"/>
      <c r="AN602" s="38"/>
      <c r="AO602" s="38"/>
      <c r="AP602" s="38"/>
      <c r="AQ602" s="38"/>
      <c r="AR602" s="38"/>
      <c r="AS602" s="38"/>
      <c r="AT602" s="38"/>
      <c r="AU602" s="38"/>
      <c r="AV602" s="38"/>
      <c r="AW602" s="38"/>
      <c r="AX602" s="38"/>
      <c r="AY602" s="38"/>
      <c r="AZ602" s="38"/>
      <c r="BA602" s="38"/>
      <c r="BB602" s="38"/>
      <c r="BC602" s="38"/>
      <c r="BD602" s="38"/>
      <c r="BE602" s="38"/>
      <c r="BF602" s="38"/>
    </row>
    <row r="603" spans="10:58" s="173" customFormat="1" ht="12.75">
      <c r="J603" s="740"/>
      <c r="Q603" s="685"/>
      <c r="X603" s="406"/>
      <c r="Y603" s="685"/>
      <c r="AM603" s="38"/>
      <c r="AN603" s="38"/>
      <c r="AO603" s="38"/>
      <c r="AP603" s="38"/>
      <c r="AQ603" s="38"/>
      <c r="AR603" s="38"/>
      <c r="AS603" s="38"/>
      <c r="AT603" s="38"/>
      <c r="AU603" s="38"/>
      <c r="AV603" s="38"/>
      <c r="AW603" s="38"/>
      <c r="AX603" s="38"/>
      <c r="AY603" s="38"/>
      <c r="AZ603" s="38"/>
      <c r="BA603" s="38"/>
      <c r="BB603" s="38"/>
      <c r="BC603" s="38"/>
      <c r="BD603" s="38"/>
      <c r="BE603" s="38"/>
      <c r="BF603" s="38"/>
    </row>
    <row r="604" spans="10:58" s="173" customFormat="1" ht="12.75">
      <c r="J604" s="740"/>
      <c r="Q604" s="685"/>
      <c r="X604" s="406"/>
      <c r="Y604" s="685"/>
      <c r="AM604" s="38"/>
      <c r="AN604" s="38"/>
      <c r="AO604" s="38"/>
      <c r="AP604" s="38"/>
      <c r="AQ604" s="38"/>
      <c r="AR604" s="38"/>
      <c r="AS604" s="38"/>
      <c r="AT604" s="38"/>
      <c r="AU604" s="38"/>
      <c r="AV604" s="38"/>
      <c r="AW604" s="38"/>
      <c r="AX604" s="38"/>
      <c r="AY604" s="38"/>
      <c r="AZ604" s="38"/>
      <c r="BA604" s="38"/>
      <c r="BB604" s="38"/>
      <c r="BC604" s="38"/>
      <c r="BD604" s="38"/>
      <c r="BE604" s="38"/>
      <c r="BF604" s="38"/>
    </row>
    <row r="605" spans="10:58" s="173" customFormat="1" ht="12.75">
      <c r="J605" s="740"/>
      <c r="Q605" s="685"/>
      <c r="X605" s="406"/>
      <c r="Y605" s="685"/>
      <c r="AM605" s="38"/>
      <c r="AN605" s="38"/>
      <c r="AO605" s="38"/>
      <c r="AP605" s="38"/>
      <c r="AQ605" s="38"/>
      <c r="AR605" s="38"/>
      <c r="AS605" s="38"/>
      <c r="AT605" s="38"/>
      <c r="AU605" s="38"/>
      <c r="AV605" s="38"/>
      <c r="AW605" s="38"/>
      <c r="AX605" s="38"/>
      <c r="AY605" s="38"/>
      <c r="AZ605" s="38"/>
      <c r="BA605" s="38"/>
      <c r="BB605" s="38"/>
      <c r="BC605" s="38"/>
      <c r="BD605" s="38"/>
      <c r="BE605" s="38"/>
      <c r="BF605" s="38"/>
    </row>
    <row r="606" spans="10:58" s="173" customFormat="1" ht="12.75">
      <c r="J606" s="740"/>
      <c r="Q606" s="685"/>
      <c r="X606" s="406"/>
      <c r="Y606" s="685"/>
      <c r="AM606" s="38"/>
      <c r="AN606" s="38"/>
      <c r="AO606" s="38"/>
      <c r="AP606" s="38"/>
      <c r="AQ606" s="38"/>
      <c r="AR606" s="38"/>
      <c r="AS606" s="38"/>
      <c r="AT606" s="38"/>
      <c r="AU606" s="38"/>
      <c r="AV606" s="38"/>
      <c r="AW606" s="38"/>
      <c r="AX606" s="38"/>
      <c r="AY606" s="38"/>
      <c r="AZ606" s="38"/>
      <c r="BA606" s="38"/>
      <c r="BB606" s="38"/>
      <c r="BC606" s="38"/>
      <c r="BD606" s="38"/>
      <c r="BE606" s="38"/>
      <c r="BF606" s="38"/>
    </row>
    <row r="607" spans="10:58" s="173" customFormat="1" ht="12.75">
      <c r="J607" s="740"/>
      <c r="Q607" s="685"/>
      <c r="X607" s="406"/>
      <c r="Y607" s="685"/>
      <c r="AM607" s="38"/>
      <c r="AN607" s="38"/>
      <c r="AO607" s="38"/>
      <c r="AP607" s="38"/>
      <c r="AQ607" s="38"/>
      <c r="AR607" s="38"/>
      <c r="AS607" s="38"/>
      <c r="AT607" s="38"/>
      <c r="AU607" s="38"/>
      <c r="AV607" s="38"/>
      <c r="AW607" s="38"/>
      <c r="AX607" s="38"/>
      <c r="AY607" s="38"/>
      <c r="AZ607" s="38"/>
      <c r="BA607" s="38"/>
      <c r="BB607" s="38"/>
      <c r="BC607" s="38"/>
      <c r="BD607" s="38"/>
      <c r="BE607" s="38"/>
      <c r="BF607" s="38"/>
    </row>
    <row r="608" spans="10:58" s="173" customFormat="1" ht="12.75">
      <c r="J608" s="740"/>
      <c r="Q608" s="685"/>
      <c r="X608" s="406"/>
      <c r="Y608" s="685"/>
      <c r="AM608" s="38"/>
      <c r="AN608" s="38"/>
      <c r="AO608" s="38"/>
      <c r="AP608" s="38"/>
      <c r="AQ608" s="38"/>
      <c r="AR608" s="38"/>
      <c r="AS608" s="38"/>
      <c r="AT608" s="38"/>
      <c r="AU608" s="38"/>
      <c r="AV608" s="38"/>
      <c r="AW608" s="38"/>
      <c r="AX608" s="38"/>
      <c r="AY608" s="38"/>
      <c r="AZ608" s="38"/>
      <c r="BA608" s="38"/>
      <c r="BB608" s="38"/>
      <c r="BC608" s="38"/>
      <c r="BD608" s="38"/>
      <c r="BE608" s="38"/>
      <c r="BF608" s="38"/>
    </row>
    <row r="609" spans="10:58" s="173" customFormat="1" ht="12.75">
      <c r="J609" s="740"/>
      <c r="Q609" s="685"/>
      <c r="X609" s="406"/>
      <c r="Y609" s="685"/>
      <c r="AM609" s="38"/>
      <c r="AN609" s="38"/>
      <c r="AO609" s="38"/>
      <c r="AP609" s="38"/>
      <c r="AQ609" s="38"/>
      <c r="AR609" s="38"/>
      <c r="AS609" s="38"/>
      <c r="AT609" s="38"/>
      <c r="AU609" s="38"/>
      <c r="AV609" s="38"/>
      <c r="AW609" s="38"/>
      <c r="AX609" s="38"/>
      <c r="AY609" s="38"/>
      <c r="AZ609" s="38"/>
      <c r="BA609" s="38"/>
      <c r="BB609" s="38"/>
      <c r="BC609" s="38"/>
      <c r="BD609" s="38"/>
      <c r="BE609" s="38"/>
      <c r="BF609" s="38"/>
    </row>
    <row r="610" spans="10:58" s="173" customFormat="1" ht="12.75">
      <c r="J610" s="740"/>
      <c r="Q610" s="685"/>
      <c r="X610" s="406"/>
      <c r="Y610" s="685"/>
      <c r="AM610" s="38"/>
      <c r="AN610" s="38"/>
      <c r="AO610" s="38"/>
      <c r="AP610" s="38"/>
      <c r="AQ610" s="38"/>
      <c r="AR610" s="38"/>
      <c r="AS610" s="38"/>
      <c r="AT610" s="38"/>
      <c r="AU610" s="38"/>
      <c r="AV610" s="38"/>
      <c r="AW610" s="38"/>
      <c r="AX610" s="38"/>
      <c r="AY610" s="38"/>
      <c r="AZ610" s="38"/>
      <c r="BA610" s="38"/>
      <c r="BB610" s="38"/>
      <c r="BC610" s="38"/>
      <c r="BD610" s="38"/>
      <c r="BE610" s="38"/>
      <c r="BF610" s="38"/>
    </row>
    <row r="611" spans="10:58" s="173" customFormat="1" ht="12.75">
      <c r="J611" s="740"/>
      <c r="Q611" s="685"/>
      <c r="X611" s="406"/>
      <c r="Y611" s="685"/>
      <c r="AM611" s="38"/>
      <c r="AN611" s="38"/>
      <c r="AO611" s="38"/>
      <c r="AP611" s="38"/>
      <c r="AQ611" s="38"/>
      <c r="AR611" s="38"/>
      <c r="AS611" s="38"/>
      <c r="AT611" s="38"/>
      <c r="AU611" s="38"/>
      <c r="AV611" s="38"/>
      <c r="AW611" s="38"/>
      <c r="AX611" s="38"/>
      <c r="AY611" s="38"/>
      <c r="AZ611" s="38"/>
      <c r="BA611" s="38"/>
      <c r="BB611" s="38"/>
      <c r="BC611" s="38"/>
      <c r="BD611" s="38"/>
      <c r="BE611" s="38"/>
      <c r="BF611" s="38"/>
    </row>
    <row r="612" spans="10:58" s="173" customFormat="1" ht="12.75">
      <c r="J612" s="740"/>
      <c r="Q612" s="685"/>
      <c r="X612" s="406"/>
      <c r="Y612" s="685"/>
      <c r="AM612" s="38"/>
      <c r="AN612" s="38"/>
      <c r="AO612" s="38"/>
      <c r="AP612" s="38"/>
      <c r="AQ612" s="38"/>
      <c r="AR612" s="38"/>
      <c r="AS612" s="38"/>
      <c r="AT612" s="38"/>
      <c r="AU612" s="38"/>
      <c r="AV612" s="38"/>
      <c r="AW612" s="38"/>
      <c r="AX612" s="38"/>
      <c r="AY612" s="38"/>
      <c r="AZ612" s="38"/>
      <c r="BA612" s="38"/>
      <c r="BB612" s="38"/>
      <c r="BC612" s="38"/>
      <c r="BD612" s="38"/>
      <c r="BE612" s="38"/>
      <c r="BF612" s="38"/>
    </row>
    <row r="613" spans="10:58" s="173" customFormat="1" ht="12.75">
      <c r="J613" s="740"/>
      <c r="Q613" s="685"/>
      <c r="X613" s="406"/>
      <c r="Y613" s="685"/>
      <c r="AM613" s="38"/>
      <c r="AN613" s="38"/>
      <c r="AO613" s="38"/>
      <c r="AP613" s="38"/>
      <c r="AQ613" s="38"/>
      <c r="AR613" s="38"/>
      <c r="AS613" s="38"/>
      <c r="AU613" s="38"/>
      <c r="AV613" s="38"/>
      <c r="AW613" s="38"/>
      <c r="AX613" s="38"/>
      <c r="AY613" s="38"/>
      <c r="AZ613" s="38"/>
      <c r="BA613" s="38"/>
      <c r="BB613" s="38"/>
      <c r="BC613" s="38"/>
      <c r="BD613" s="38"/>
      <c r="BE613" s="38"/>
      <c r="BF613" s="38"/>
    </row>
    <row r="614" spans="10:58" s="173" customFormat="1" ht="12.75">
      <c r="J614" s="740"/>
      <c r="Q614" s="685"/>
      <c r="X614" s="406"/>
      <c r="Y614" s="685"/>
      <c r="AM614" s="38"/>
      <c r="AN614" s="38"/>
      <c r="AO614" s="38"/>
      <c r="AP614" s="38"/>
      <c r="AQ614" s="38"/>
      <c r="AR614" s="38"/>
      <c r="AS614" s="38"/>
      <c r="AT614" s="38"/>
      <c r="AU614" s="38"/>
      <c r="AV614" s="38"/>
      <c r="AW614" s="38"/>
      <c r="AX614" s="38"/>
      <c r="AY614" s="38"/>
      <c r="AZ614" s="38"/>
      <c r="BA614" s="38"/>
      <c r="BB614" s="38"/>
      <c r="BC614" s="38"/>
      <c r="BD614" s="38"/>
      <c r="BE614" s="38"/>
      <c r="BF614" s="38"/>
    </row>
    <row r="615" spans="10:58" s="173" customFormat="1" ht="12.75">
      <c r="J615" s="740"/>
      <c r="Q615" s="685"/>
      <c r="X615" s="406"/>
      <c r="Y615" s="685"/>
      <c r="AM615" s="38"/>
      <c r="AN615" s="38"/>
      <c r="AO615" s="38"/>
      <c r="AP615" s="38"/>
      <c r="AQ615" s="38"/>
      <c r="AR615" s="38"/>
      <c r="AS615" s="38"/>
      <c r="AT615" s="38"/>
      <c r="AU615" s="38"/>
      <c r="AV615" s="38"/>
      <c r="AW615" s="38"/>
      <c r="AX615" s="38"/>
      <c r="AY615" s="38"/>
      <c r="AZ615" s="38"/>
      <c r="BA615" s="38"/>
      <c r="BB615" s="38"/>
      <c r="BC615" s="38"/>
      <c r="BD615" s="38"/>
      <c r="BE615" s="38"/>
      <c r="BF615" s="38"/>
    </row>
    <row r="616" spans="10:58" s="173" customFormat="1" ht="12.75">
      <c r="J616" s="740"/>
      <c r="Q616" s="685"/>
      <c r="X616" s="406"/>
      <c r="Y616" s="685"/>
      <c r="AM616" s="38"/>
      <c r="AN616" s="38"/>
      <c r="AO616" s="38"/>
      <c r="AP616" s="38"/>
      <c r="AQ616" s="38"/>
      <c r="AR616" s="38"/>
      <c r="AS616" s="38"/>
      <c r="AT616" s="38"/>
      <c r="AU616" s="38"/>
      <c r="AV616" s="38"/>
      <c r="AW616" s="38"/>
      <c r="AX616" s="38"/>
      <c r="AY616" s="38"/>
      <c r="AZ616" s="38"/>
      <c r="BA616" s="38"/>
      <c r="BB616" s="38"/>
      <c r="BC616" s="38"/>
      <c r="BD616" s="38"/>
      <c r="BE616" s="38"/>
      <c r="BF616" s="38"/>
    </row>
    <row r="617" spans="10:58" s="173" customFormat="1" ht="12.75">
      <c r="J617" s="740"/>
      <c r="Q617" s="685"/>
      <c r="X617" s="406"/>
      <c r="Y617" s="685"/>
      <c r="AM617" s="38"/>
      <c r="AN617" s="38"/>
      <c r="AO617" s="38"/>
      <c r="AP617" s="38"/>
      <c r="AQ617" s="38"/>
      <c r="AR617" s="38"/>
      <c r="AS617" s="38"/>
      <c r="AT617" s="38"/>
      <c r="AU617" s="38"/>
      <c r="AV617" s="38"/>
      <c r="AW617" s="38"/>
      <c r="AX617" s="38"/>
      <c r="AY617" s="38"/>
      <c r="AZ617" s="38"/>
      <c r="BA617" s="38"/>
      <c r="BB617" s="38"/>
      <c r="BC617" s="38"/>
      <c r="BD617" s="38"/>
      <c r="BE617" s="38"/>
      <c r="BF617" s="38"/>
    </row>
    <row r="618" spans="10:58" s="173" customFormat="1" ht="12.75">
      <c r="J618" s="740"/>
      <c r="Q618" s="685"/>
      <c r="X618" s="406"/>
      <c r="Y618" s="685"/>
      <c r="AM618" s="38"/>
      <c r="AN618" s="38"/>
      <c r="AO618" s="38"/>
      <c r="AP618" s="38"/>
      <c r="AQ618" s="38"/>
      <c r="AR618" s="38"/>
      <c r="AS618" s="38"/>
      <c r="AT618" s="38"/>
      <c r="AU618" s="38"/>
      <c r="AV618" s="38"/>
      <c r="AW618" s="38"/>
      <c r="AX618" s="38"/>
      <c r="AY618" s="38"/>
      <c r="AZ618" s="38"/>
      <c r="BA618" s="38"/>
      <c r="BB618" s="38"/>
      <c r="BC618" s="38"/>
      <c r="BD618" s="38"/>
      <c r="BE618" s="38"/>
      <c r="BF618" s="38"/>
    </row>
    <row r="619" spans="10:58" s="173" customFormat="1" ht="12.75">
      <c r="J619" s="740"/>
      <c r="Q619" s="685"/>
      <c r="X619" s="406"/>
      <c r="Y619" s="685"/>
      <c r="AM619" s="38"/>
      <c r="AN619" s="38"/>
      <c r="AO619" s="38"/>
      <c r="AP619" s="38"/>
      <c r="AQ619" s="38"/>
      <c r="AR619" s="38"/>
      <c r="AS619" s="38"/>
      <c r="AT619" s="38"/>
      <c r="AU619" s="38"/>
      <c r="AV619" s="38"/>
      <c r="AW619" s="38"/>
      <c r="AX619" s="38"/>
      <c r="AY619" s="38"/>
      <c r="AZ619" s="38"/>
      <c r="BA619" s="38"/>
      <c r="BB619" s="38"/>
      <c r="BC619" s="38"/>
      <c r="BD619" s="38"/>
      <c r="BE619" s="38"/>
      <c r="BF619" s="38"/>
    </row>
    <row r="620" spans="10:58" s="173" customFormat="1" ht="12.75">
      <c r="J620" s="740"/>
      <c r="Q620" s="685"/>
      <c r="X620" s="406"/>
      <c r="Y620" s="685"/>
      <c r="AM620" s="38"/>
      <c r="AN620" s="38"/>
      <c r="AO620" s="38"/>
      <c r="AP620" s="38"/>
      <c r="AQ620" s="38"/>
      <c r="AR620" s="38"/>
      <c r="AS620" s="38"/>
      <c r="AT620" s="38"/>
      <c r="AU620" s="38"/>
      <c r="AV620" s="38"/>
      <c r="AW620" s="38"/>
      <c r="AX620" s="38"/>
      <c r="AY620" s="38"/>
      <c r="AZ620" s="38"/>
      <c r="BA620" s="38"/>
      <c r="BB620" s="38"/>
      <c r="BC620" s="38"/>
      <c r="BD620" s="38"/>
      <c r="BE620" s="38"/>
      <c r="BF620" s="38"/>
    </row>
    <row r="621" spans="10:58" s="173" customFormat="1" ht="12.75">
      <c r="J621" s="740"/>
      <c r="Q621" s="685"/>
      <c r="X621" s="406"/>
      <c r="Y621" s="685"/>
      <c r="AM621" s="38"/>
      <c r="AN621" s="38"/>
      <c r="AO621" s="38"/>
      <c r="AP621" s="38"/>
      <c r="AQ621" s="38"/>
      <c r="AR621" s="38"/>
      <c r="AS621" s="38"/>
      <c r="AT621" s="38"/>
      <c r="AU621" s="38"/>
      <c r="AV621" s="38"/>
      <c r="AW621" s="38"/>
      <c r="AX621" s="38"/>
      <c r="AY621" s="38"/>
      <c r="AZ621" s="38"/>
      <c r="BA621" s="38"/>
      <c r="BB621" s="38"/>
      <c r="BC621" s="38"/>
      <c r="BD621" s="38"/>
      <c r="BE621" s="38"/>
      <c r="BF621" s="38"/>
    </row>
    <row r="622" spans="10:58" s="173" customFormat="1" ht="12.75">
      <c r="J622" s="740"/>
      <c r="Q622" s="685"/>
      <c r="X622" s="406"/>
      <c r="Y622" s="685"/>
      <c r="AM622" s="38"/>
      <c r="AN622" s="38"/>
      <c r="AO622" s="38"/>
      <c r="AP622" s="38"/>
      <c r="AQ622" s="38"/>
      <c r="AR622" s="38"/>
      <c r="AS622" s="38"/>
      <c r="AT622" s="38"/>
      <c r="AU622" s="38"/>
      <c r="AV622" s="38"/>
      <c r="AW622" s="38"/>
      <c r="AX622" s="38"/>
      <c r="AY622" s="38"/>
      <c r="AZ622" s="38"/>
      <c r="BA622" s="38"/>
      <c r="BB622" s="38"/>
      <c r="BC622" s="38"/>
      <c r="BD622" s="38"/>
      <c r="BE622" s="38"/>
      <c r="BF622" s="38"/>
    </row>
    <row r="623" spans="10:58" s="173" customFormat="1" ht="12.75">
      <c r="J623" s="740"/>
      <c r="Q623" s="685"/>
      <c r="X623" s="406"/>
      <c r="Y623" s="685"/>
      <c r="AM623" s="38"/>
      <c r="AN623" s="38"/>
      <c r="AO623" s="38"/>
      <c r="AP623" s="38"/>
      <c r="AQ623" s="38"/>
      <c r="AR623" s="38"/>
      <c r="AS623" s="38"/>
      <c r="AT623" s="38"/>
      <c r="AU623" s="38"/>
      <c r="AV623" s="38"/>
      <c r="AW623" s="38"/>
      <c r="AX623" s="38"/>
      <c r="AY623" s="38"/>
      <c r="AZ623" s="38"/>
      <c r="BA623" s="38"/>
      <c r="BB623" s="38"/>
      <c r="BC623" s="38"/>
      <c r="BD623" s="38"/>
      <c r="BE623" s="38"/>
      <c r="BF623" s="38"/>
    </row>
    <row r="624" spans="10:58" s="173" customFormat="1" ht="12.75">
      <c r="J624" s="740"/>
      <c r="Q624" s="685"/>
      <c r="X624" s="406"/>
      <c r="Y624" s="685"/>
      <c r="AM624" s="38"/>
      <c r="AN624" s="38"/>
      <c r="AO624" s="38"/>
      <c r="AP624" s="38"/>
      <c r="AQ624" s="38"/>
      <c r="AR624" s="38"/>
      <c r="AS624" s="38"/>
      <c r="AT624" s="38"/>
      <c r="AU624" s="38"/>
      <c r="AV624" s="38"/>
      <c r="AW624" s="38"/>
      <c r="AX624" s="38"/>
      <c r="AY624" s="38"/>
      <c r="AZ624" s="38"/>
      <c r="BA624" s="38"/>
      <c r="BB624" s="38"/>
      <c r="BC624" s="38"/>
      <c r="BD624" s="38"/>
      <c r="BE624" s="38"/>
      <c r="BF624" s="38"/>
    </row>
    <row r="625" spans="10:58" s="173" customFormat="1" ht="12.75">
      <c r="J625" s="740"/>
      <c r="Q625" s="685"/>
      <c r="X625" s="406"/>
      <c r="Y625" s="685"/>
      <c r="AM625" s="38"/>
      <c r="AN625" s="38"/>
      <c r="AO625" s="38"/>
      <c r="AP625" s="38"/>
      <c r="AQ625" s="38"/>
      <c r="AR625" s="38"/>
      <c r="AS625" s="38"/>
      <c r="AT625" s="38"/>
      <c r="AU625" s="38"/>
      <c r="AV625" s="38"/>
      <c r="AW625" s="38"/>
      <c r="AX625" s="38"/>
      <c r="AY625" s="38"/>
      <c r="AZ625" s="38"/>
      <c r="BA625" s="38"/>
      <c r="BB625" s="38"/>
      <c r="BC625" s="38"/>
      <c r="BD625" s="38"/>
      <c r="BE625" s="38"/>
      <c r="BF625" s="38"/>
    </row>
    <row r="626" spans="10:58" s="173" customFormat="1" ht="12.75">
      <c r="J626" s="740"/>
      <c r="Q626" s="685"/>
      <c r="X626" s="406"/>
      <c r="Y626" s="685"/>
      <c r="AM626" s="38"/>
      <c r="AN626" s="38"/>
      <c r="AO626" s="38"/>
      <c r="AP626" s="38"/>
      <c r="AQ626" s="38"/>
      <c r="AR626" s="38"/>
      <c r="AS626" s="38"/>
      <c r="AT626" s="38"/>
      <c r="AU626" s="38"/>
      <c r="AV626" s="38"/>
      <c r="AW626" s="38"/>
      <c r="AX626" s="38"/>
      <c r="AY626" s="38"/>
      <c r="AZ626" s="38"/>
      <c r="BA626" s="38"/>
      <c r="BB626" s="38"/>
      <c r="BC626" s="38"/>
      <c r="BD626" s="38"/>
      <c r="BE626" s="38"/>
      <c r="BF626" s="38"/>
    </row>
    <row r="627" spans="10:58" s="173" customFormat="1" ht="12.75">
      <c r="J627" s="740"/>
      <c r="Q627" s="685"/>
      <c r="X627" s="406"/>
      <c r="Y627" s="685"/>
      <c r="AM627" s="38"/>
      <c r="AN627" s="38"/>
      <c r="AO627" s="38"/>
      <c r="AP627" s="38"/>
      <c r="AQ627" s="38"/>
      <c r="AR627" s="38"/>
      <c r="AS627" s="38"/>
      <c r="AT627" s="38"/>
      <c r="AU627" s="38"/>
      <c r="AV627" s="38"/>
      <c r="AW627" s="38"/>
      <c r="AX627" s="38"/>
      <c r="AY627" s="38"/>
      <c r="AZ627" s="38"/>
      <c r="BA627" s="38"/>
      <c r="BB627" s="38"/>
      <c r="BC627" s="38"/>
      <c r="BD627" s="38"/>
      <c r="BE627" s="38"/>
      <c r="BF627" s="38"/>
    </row>
    <row r="628" spans="10:58" s="173" customFormat="1" ht="12.75">
      <c r="J628" s="740"/>
      <c r="Q628" s="685"/>
      <c r="X628" s="406"/>
      <c r="Y628" s="685"/>
      <c r="AM628" s="38"/>
      <c r="AN628" s="38"/>
      <c r="AO628" s="38"/>
      <c r="AP628" s="38"/>
      <c r="AQ628" s="38"/>
      <c r="AR628" s="38"/>
      <c r="AS628" s="38"/>
      <c r="AT628" s="38"/>
      <c r="AU628" s="38"/>
      <c r="AV628" s="38"/>
      <c r="AW628" s="38"/>
      <c r="AX628" s="38"/>
      <c r="AY628" s="38"/>
      <c r="AZ628" s="38"/>
      <c r="BA628" s="38"/>
      <c r="BB628" s="38"/>
      <c r="BC628" s="38"/>
      <c r="BD628" s="38"/>
      <c r="BE628" s="38"/>
      <c r="BF628" s="38"/>
    </row>
    <row r="629" spans="10:58" s="173" customFormat="1" ht="12.75">
      <c r="J629" s="740"/>
      <c r="Q629" s="685"/>
      <c r="X629" s="406"/>
      <c r="Y629" s="685"/>
      <c r="AM629" s="38"/>
      <c r="AN629" s="38"/>
      <c r="AO629" s="38"/>
      <c r="AP629" s="38"/>
      <c r="AQ629" s="38"/>
      <c r="AR629" s="38"/>
      <c r="AS629" s="38"/>
      <c r="AT629" s="38"/>
      <c r="AU629" s="38"/>
      <c r="AV629" s="38"/>
      <c r="AW629" s="38"/>
      <c r="AX629" s="38"/>
      <c r="AY629" s="38"/>
      <c r="AZ629" s="38"/>
      <c r="BA629" s="38"/>
      <c r="BB629" s="38"/>
      <c r="BC629" s="38"/>
      <c r="BD629" s="38"/>
      <c r="BE629" s="38"/>
      <c r="BF629" s="38"/>
    </row>
    <row r="630" spans="10:58" s="173" customFormat="1" ht="12.75">
      <c r="J630" s="740"/>
      <c r="Q630" s="685"/>
      <c r="X630" s="406"/>
      <c r="Y630" s="685"/>
      <c r="AM630" s="38"/>
      <c r="AN630" s="38"/>
      <c r="AO630" s="38"/>
      <c r="AP630" s="38"/>
      <c r="AQ630" s="38"/>
      <c r="AR630" s="38"/>
      <c r="AS630" s="38"/>
      <c r="AT630" s="38"/>
      <c r="AU630" s="38"/>
      <c r="AV630" s="38"/>
      <c r="AW630" s="38"/>
      <c r="AX630" s="38"/>
      <c r="AY630" s="38"/>
      <c r="AZ630" s="38"/>
      <c r="BA630" s="38"/>
      <c r="BB630" s="38"/>
      <c r="BC630" s="38"/>
      <c r="BD630" s="38"/>
      <c r="BE630" s="38"/>
      <c r="BF630" s="38"/>
    </row>
    <row r="631" spans="10:58" s="173" customFormat="1" ht="12.75">
      <c r="J631" s="740"/>
      <c r="Q631" s="685"/>
      <c r="X631" s="406"/>
      <c r="Y631" s="685"/>
      <c r="AM631" s="38"/>
      <c r="AN631" s="38"/>
      <c r="AO631" s="38"/>
      <c r="AP631" s="38"/>
      <c r="AQ631" s="38"/>
      <c r="AR631" s="38"/>
      <c r="AS631" s="38"/>
      <c r="AT631" s="38"/>
      <c r="AU631" s="38"/>
      <c r="AV631" s="38"/>
      <c r="AW631" s="38"/>
      <c r="AX631" s="38"/>
      <c r="AY631" s="38"/>
      <c r="AZ631" s="38"/>
      <c r="BA631" s="38"/>
      <c r="BB631" s="38"/>
      <c r="BC631" s="38"/>
      <c r="BD631" s="38"/>
      <c r="BE631" s="38"/>
      <c r="BF631" s="38"/>
    </row>
    <row r="632" spans="10:58" s="173" customFormat="1" ht="12.75">
      <c r="J632" s="740"/>
      <c r="Q632" s="685"/>
      <c r="X632" s="406"/>
      <c r="Y632" s="685"/>
      <c r="AM632" s="38"/>
      <c r="AN632" s="38"/>
      <c r="AO632" s="38"/>
      <c r="AP632" s="38"/>
      <c r="AQ632" s="38"/>
      <c r="AR632" s="38"/>
      <c r="AS632" s="38"/>
      <c r="AT632" s="38"/>
      <c r="AU632" s="38"/>
      <c r="AV632" s="38"/>
      <c r="AW632" s="38"/>
      <c r="AX632" s="38"/>
      <c r="AY632" s="38"/>
      <c r="AZ632" s="38"/>
      <c r="BA632" s="38"/>
      <c r="BB632" s="38"/>
      <c r="BC632" s="38"/>
      <c r="BD632" s="38"/>
      <c r="BE632" s="38"/>
      <c r="BF632" s="38"/>
    </row>
    <row r="633" spans="10:57" s="173" customFormat="1" ht="12.75">
      <c r="J633" s="740"/>
      <c r="Q633" s="685"/>
      <c r="X633" s="406"/>
      <c r="Y633" s="685"/>
      <c r="AM633" s="38"/>
      <c r="AN633" s="38"/>
      <c r="AO633" s="38"/>
      <c r="AP633" s="38"/>
      <c r="AQ633" s="38"/>
      <c r="AR633" s="38"/>
      <c r="AS633" s="38"/>
      <c r="AT633" s="38"/>
      <c r="AU633" s="38"/>
      <c r="AV633" s="38"/>
      <c r="AW633" s="38"/>
      <c r="AX633" s="38"/>
      <c r="AY633" s="38"/>
      <c r="AZ633" s="38"/>
      <c r="BA633" s="38"/>
      <c r="BB633" s="38"/>
      <c r="BC633" s="38"/>
      <c r="BD633" s="38"/>
      <c r="BE633" s="38"/>
    </row>
    <row r="634" spans="10:58" s="173" customFormat="1" ht="12.75">
      <c r="J634" s="740"/>
      <c r="Q634" s="685"/>
      <c r="X634" s="406"/>
      <c r="Y634" s="685"/>
      <c r="AM634" s="38"/>
      <c r="AN634" s="38"/>
      <c r="AO634" s="38"/>
      <c r="AP634" s="38"/>
      <c r="AQ634" s="38"/>
      <c r="AR634" s="38"/>
      <c r="AS634" s="38"/>
      <c r="AT634" s="38"/>
      <c r="AU634" s="38"/>
      <c r="AV634" s="38"/>
      <c r="AW634" s="38"/>
      <c r="AX634" s="38"/>
      <c r="AY634" s="38"/>
      <c r="AZ634" s="38"/>
      <c r="BA634" s="38"/>
      <c r="BB634" s="38"/>
      <c r="BC634" s="38"/>
      <c r="BD634" s="38"/>
      <c r="BE634" s="38"/>
      <c r="BF634" s="38"/>
    </row>
    <row r="635" spans="10:58" s="173" customFormat="1" ht="12.75">
      <c r="J635" s="740"/>
      <c r="Q635" s="685"/>
      <c r="X635" s="406"/>
      <c r="Y635" s="685"/>
      <c r="AM635" s="38"/>
      <c r="AN635" s="38"/>
      <c r="AO635" s="38"/>
      <c r="AP635" s="38"/>
      <c r="AQ635" s="38"/>
      <c r="AR635" s="38"/>
      <c r="AS635" s="38"/>
      <c r="AT635" s="38"/>
      <c r="AU635" s="38"/>
      <c r="AV635" s="38"/>
      <c r="AW635" s="38"/>
      <c r="AX635" s="38"/>
      <c r="AY635" s="38"/>
      <c r="AZ635" s="38"/>
      <c r="BA635" s="38"/>
      <c r="BB635" s="38"/>
      <c r="BC635" s="38"/>
      <c r="BD635" s="38"/>
      <c r="BE635" s="38"/>
      <c r="BF635" s="38"/>
    </row>
    <row r="636" spans="10:58" s="173" customFormat="1" ht="12.75">
      <c r="J636" s="740"/>
      <c r="Q636" s="685"/>
      <c r="X636" s="406"/>
      <c r="Y636" s="685"/>
      <c r="AM636" s="38"/>
      <c r="AN636" s="38"/>
      <c r="AO636" s="38"/>
      <c r="AP636" s="38"/>
      <c r="AQ636" s="38"/>
      <c r="AR636" s="38"/>
      <c r="AS636" s="38"/>
      <c r="AT636" s="38"/>
      <c r="AU636" s="38"/>
      <c r="AV636" s="38"/>
      <c r="AW636" s="38"/>
      <c r="AX636" s="38"/>
      <c r="AY636" s="38"/>
      <c r="AZ636" s="38"/>
      <c r="BA636" s="38"/>
      <c r="BB636" s="38"/>
      <c r="BC636" s="38"/>
      <c r="BD636" s="38"/>
      <c r="BE636" s="38"/>
      <c r="BF636" s="38"/>
    </row>
    <row r="637" spans="10:58" s="173" customFormat="1" ht="12.75">
      <c r="J637" s="740"/>
      <c r="Q637" s="685"/>
      <c r="X637" s="406"/>
      <c r="Y637" s="685"/>
      <c r="AM637" s="38"/>
      <c r="AN637" s="38"/>
      <c r="AO637" s="38"/>
      <c r="AP637" s="38"/>
      <c r="AQ637" s="38"/>
      <c r="AR637" s="38"/>
      <c r="AS637" s="38"/>
      <c r="AT637" s="38"/>
      <c r="AU637" s="38"/>
      <c r="AV637" s="38"/>
      <c r="AW637" s="38"/>
      <c r="AX637" s="38"/>
      <c r="AY637" s="38"/>
      <c r="AZ637" s="38"/>
      <c r="BA637" s="38"/>
      <c r="BB637" s="38"/>
      <c r="BC637" s="38"/>
      <c r="BD637" s="38"/>
      <c r="BE637" s="38"/>
      <c r="BF637" s="38"/>
    </row>
    <row r="638" spans="10:58" s="173" customFormat="1" ht="12.75">
      <c r="J638" s="740"/>
      <c r="Q638" s="685"/>
      <c r="X638" s="406"/>
      <c r="Y638" s="685"/>
      <c r="AM638" s="38"/>
      <c r="AN638" s="38"/>
      <c r="AO638" s="38"/>
      <c r="AP638" s="38"/>
      <c r="AQ638" s="38"/>
      <c r="AR638" s="38"/>
      <c r="AS638" s="38"/>
      <c r="AT638" s="38"/>
      <c r="AU638" s="38"/>
      <c r="AV638" s="38"/>
      <c r="AW638" s="38"/>
      <c r="AX638" s="38"/>
      <c r="AY638" s="38"/>
      <c r="AZ638" s="38"/>
      <c r="BA638" s="38"/>
      <c r="BB638" s="38"/>
      <c r="BC638" s="38"/>
      <c r="BD638" s="38"/>
      <c r="BE638" s="38"/>
      <c r="BF638" s="38"/>
    </row>
    <row r="639" spans="10:58" s="173" customFormat="1" ht="12.75">
      <c r="J639" s="740"/>
      <c r="Q639" s="685"/>
      <c r="X639" s="406"/>
      <c r="Y639" s="685"/>
      <c r="AM639" s="38"/>
      <c r="AN639" s="38"/>
      <c r="AO639" s="38"/>
      <c r="AP639" s="38"/>
      <c r="AQ639" s="38"/>
      <c r="AR639" s="38"/>
      <c r="AS639" s="38"/>
      <c r="AT639" s="38"/>
      <c r="AU639" s="38"/>
      <c r="AV639" s="38"/>
      <c r="AW639" s="38"/>
      <c r="AX639" s="38"/>
      <c r="AY639" s="38"/>
      <c r="AZ639" s="38"/>
      <c r="BA639" s="38"/>
      <c r="BB639" s="38"/>
      <c r="BC639" s="38"/>
      <c r="BD639" s="38"/>
      <c r="BE639" s="38"/>
      <c r="BF639" s="38"/>
    </row>
    <row r="640" spans="10:58" s="173" customFormat="1" ht="12.75">
      <c r="J640" s="740"/>
      <c r="Q640" s="685"/>
      <c r="X640" s="406"/>
      <c r="Y640" s="685"/>
      <c r="AM640" s="38"/>
      <c r="AN640" s="38"/>
      <c r="AO640" s="38"/>
      <c r="AP640" s="38"/>
      <c r="AQ640" s="38"/>
      <c r="AR640" s="38"/>
      <c r="AS640" s="38"/>
      <c r="AT640" s="38"/>
      <c r="AU640" s="38"/>
      <c r="AV640" s="38"/>
      <c r="AW640" s="38"/>
      <c r="AX640" s="38"/>
      <c r="AY640" s="38"/>
      <c r="AZ640" s="38"/>
      <c r="BA640" s="38"/>
      <c r="BB640" s="38"/>
      <c r="BC640" s="38"/>
      <c r="BD640" s="38"/>
      <c r="BE640" s="38"/>
      <c r="BF640" s="38"/>
    </row>
    <row r="641" spans="10:58" s="173" customFormat="1" ht="12.75">
      <c r="J641" s="740"/>
      <c r="Q641" s="685"/>
      <c r="X641" s="406"/>
      <c r="Y641" s="685"/>
      <c r="AM641" s="38"/>
      <c r="AN641" s="38"/>
      <c r="AO641" s="38"/>
      <c r="AP641" s="38"/>
      <c r="AQ641" s="38"/>
      <c r="AR641" s="38"/>
      <c r="AS641" s="38"/>
      <c r="AT641" s="38"/>
      <c r="AU641" s="38"/>
      <c r="AV641" s="38"/>
      <c r="AW641" s="38"/>
      <c r="AX641" s="38"/>
      <c r="AY641" s="38"/>
      <c r="AZ641" s="38"/>
      <c r="BA641" s="38"/>
      <c r="BB641" s="38"/>
      <c r="BC641" s="38"/>
      <c r="BD641" s="38"/>
      <c r="BE641" s="38"/>
      <c r="BF641" s="38"/>
    </row>
    <row r="642" spans="10:58" s="173" customFormat="1" ht="12.75">
      <c r="J642" s="740"/>
      <c r="Q642" s="685"/>
      <c r="X642" s="406"/>
      <c r="Y642" s="685"/>
      <c r="AM642" s="38"/>
      <c r="AN642" s="38"/>
      <c r="AO642" s="38"/>
      <c r="AP642" s="38"/>
      <c r="AQ642" s="38"/>
      <c r="AR642" s="38"/>
      <c r="AS642" s="38"/>
      <c r="AT642" s="38"/>
      <c r="AU642" s="38"/>
      <c r="AV642" s="38"/>
      <c r="AW642" s="38"/>
      <c r="AX642" s="38"/>
      <c r="AY642" s="38"/>
      <c r="AZ642" s="38"/>
      <c r="BA642" s="38"/>
      <c r="BB642" s="38"/>
      <c r="BC642" s="38"/>
      <c r="BD642" s="38"/>
      <c r="BE642" s="38"/>
      <c r="BF642" s="38"/>
    </row>
    <row r="643" spans="10:58" s="173" customFormat="1" ht="12.75">
      <c r="J643" s="740"/>
      <c r="Q643" s="685"/>
      <c r="X643" s="406"/>
      <c r="Y643" s="685"/>
      <c r="AM643" s="38"/>
      <c r="AN643" s="38"/>
      <c r="AO643" s="38"/>
      <c r="AP643" s="38"/>
      <c r="AQ643" s="38"/>
      <c r="AR643" s="38"/>
      <c r="AS643" s="38"/>
      <c r="AT643" s="38"/>
      <c r="AU643" s="38"/>
      <c r="AV643" s="38"/>
      <c r="AW643" s="38"/>
      <c r="AX643" s="38"/>
      <c r="AY643" s="38"/>
      <c r="AZ643" s="38"/>
      <c r="BA643" s="38"/>
      <c r="BB643" s="38"/>
      <c r="BC643" s="38"/>
      <c r="BD643" s="38"/>
      <c r="BE643" s="38"/>
      <c r="BF643" s="38"/>
    </row>
    <row r="644" spans="10:58" s="173" customFormat="1" ht="12.75">
      <c r="J644" s="740"/>
      <c r="Q644" s="685"/>
      <c r="X644" s="406"/>
      <c r="Y644" s="685"/>
      <c r="AM644" s="38"/>
      <c r="AN644" s="38"/>
      <c r="AO644" s="38"/>
      <c r="AP644" s="38"/>
      <c r="AQ644" s="38"/>
      <c r="AR644" s="38"/>
      <c r="AS644" s="38"/>
      <c r="AT644" s="38"/>
      <c r="AU644" s="38"/>
      <c r="AV644" s="38"/>
      <c r="AW644" s="38"/>
      <c r="AX644" s="38"/>
      <c r="AY644" s="38"/>
      <c r="AZ644" s="38"/>
      <c r="BA644" s="38"/>
      <c r="BB644" s="38"/>
      <c r="BC644" s="38"/>
      <c r="BD644" s="38"/>
      <c r="BE644" s="38"/>
      <c r="BF644" s="38"/>
    </row>
    <row r="645" spans="10:58" s="173" customFormat="1" ht="12.75">
      <c r="J645" s="740"/>
      <c r="Q645" s="685"/>
      <c r="X645" s="406"/>
      <c r="Y645" s="685"/>
      <c r="AM645" s="38"/>
      <c r="AN645" s="38"/>
      <c r="AO645" s="38"/>
      <c r="AP645" s="38"/>
      <c r="AQ645" s="38"/>
      <c r="AR645" s="38"/>
      <c r="AS645" s="38"/>
      <c r="AT645" s="38"/>
      <c r="AU645" s="38"/>
      <c r="AV645" s="38"/>
      <c r="AW645" s="38"/>
      <c r="AX645" s="38"/>
      <c r="AY645" s="38"/>
      <c r="AZ645" s="38"/>
      <c r="BA645" s="38"/>
      <c r="BB645" s="38"/>
      <c r="BC645" s="38"/>
      <c r="BD645" s="38"/>
      <c r="BE645" s="38"/>
      <c r="BF645" s="38"/>
    </row>
    <row r="646" spans="10:58" s="173" customFormat="1" ht="12.75">
      <c r="J646" s="740"/>
      <c r="Q646" s="685"/>
      <c r="X646" s="406"/>
      <c r="Y646" s="685"/>
      <c r="AM646" s="38"/>
      <c r="AN646" s="38"/>
      <c r="AO646" s="38"/>
      <c r="AP646" s="38"/>
      <c r="AQ646" s="38"/>
      <c r="AR646" s="38"/>
      <c r="AS646" s="38"/>
      <c r="AT646" s="38"/>
      <c r="AU646" s="38"/>
      <c r="AV646" s="38"/>
      <c r="AW646" s="38"/>
      <c r="AX646" s="38"/>
      <c r="AY646" s="38"/>
      <c r="AZ646" s="38"/>
      <c r="BA646" s="38"/>
      <c r="BB646" s="38"/>
      <c r="BC646" s="38"/>
      <c r="BD646" s="38"/>
      <c r="BE646" s="38"/>
      <c r="BF646" s="38"/>
    </row>
    <row r="647" spans="10:58" s="173" customFormat="1" ht="12.75">
      <c r="J647" s="740"/>
      <c r="Q647" s="685"/>
      <c r="X647" s="406"/>
      <c r="Y647" s="685"/>
      <c r="AM647" s="38"/>
      <c r="AN647" s="38"/>
      <c r="AO647" s="38"/>
      <c r="AP647" s="38"/>
      <c r="AQ647" s="38"/>
      <c r="AR647" s="38"/>
      <c r="AS647" s="38"/>
      <c r="AT647" s="38"/>
      <c r="AU647" s="38"/>
      <c r="AV647" s="38"/>
      <c r="AW647" s="38"/>
      <c r="AX647" s="38"/>
      <c r="AY647" s="38"/>
      <c r="AZ647" s="38"/>
      <c r="BA647" s="38"/>
      <c r="BB647" s="38"/>
      <c r="BC647" s="38"/>
      <c r="BD647" s="38"/>
      <c r="BE647" s="38"/>
      <c r="BF647" s="38"/>
    </row>
    <row r="648" spans="10:58" s="173" customFormat="1" ht="12.75">
      <c r="J648" s="740"/>
      <c r="Q648" s="685"/>
      <c r="X648" s="406"/>
      <c r="Y648" s="685"/>
      <c r="AM648" s="38"/>
      <c r="AN648" s="38"/>
      <c r="AO648" s="38"/>
      <c r="AP648" s="38"/>
      <c r="AQ648" s="38"/>
      <c r="AR648" s="38"/>
      <c r="AS648" s="38"/>
      <c r="AT648" s="38"/>
      <c r="AU648" s="38"/>
      <c r="AV648" s="38"/>
      <c r="AW648" s="38"/>
      <c r="AX648" s="38"/>
      <c r="AY648" s="38"/>
      <c r="AZ648" s="38"/>
      <c r="BA648" s="38"/>
      <c r="BB648" s="38"/>
      <c r="BC648" s="38"/>
      <c r="BD648" s="38"/>
      <c r="BE648" s="38"/>
      <c r="BF648" s="38"/>
    </row>
    <row r="649" spans="10:58" s="173" customFormat="1" ht="12.75">
      <c r="J649" s="740"/>
      <c r="Q649" s="685"/>
      <c r="X649" s="406"/>
      <c r="Y649" s="685"/>
      <c r="AM649" s="38"/>
      <c r="AN649" s="38"/>
      <c r="AO649" s="38"/>
      <c r="AP649" s="38"/>
      <c r="AQ649" s="38"/>
      <c r="AR649" s="38"/>
      <c r="AS649" s="38"/>
      <c r="AT649" s="38"/>
      <c r="AU649" s="38"/>
      <c r="AV649" s="38"/>
      <c r="AW649" s="38"/>
      <c r="AX649" s="38"/>
      <c r="AY649" s="38"/>
      <c r="AZ649" s="38"/>
      <c r="BA649" s="38"/>
      <c r="BB649" s="38"/>
      <c r="BC649" s="38"/>
      <c r="BD649" s="38"/>
      <c r="BE649" s="38"/>
      <c r="BF649" s="38"/>
    </row>
    <row r="650" spans="10:58" s="173" customFormat="1" ht="12.75">
      <c r="J650" s="740"/>
      <c r="Q650" s="685"/>
      <c r="X650" s="406"/>
      <c r="Y650" s="685"/>
      <c r="AM650" s="38"/>
      <c r="AN650" s="38"/>
      <c r="AO650" s="38"/>
      <c r="AP650" s="38"/>
      <c r="AQ650" s="38"/>
      <c r="AR650" s="38"/>
      <c r="AS650" s="38"/>
      <c r="AT650" s="38"/>
      <c r="AU650" s="38"/>
      <c r="AV650" s="38"/>
      <c r="AW650" s="38"/>
      <c r="AX650" s="38"/>
      <c r="AY650" s="38"/>
      <c r="AZ650" s="38"/>
      <c r="BA650" s="38"/>
      <c r="BB650" s="38"/>
      <c r="BC650" s="38"/>
      <c r="BD650" s="38"/>
      <c r="BE650" s="38"/>
      <c r="BF650" s="38"/>
    </row>
    <row r="651" spans="10:58" s="173" customFormat="1" ht="12.75">
      <c r="J651" s="740"/>
      <c r="Q651" s="685"/>
      <c r="X651" s="406"/>
      <c r="Y651" s="685"/>
      <c r="AM651" s="38"/>
      <c r="AN651" s="38"/>
      <c r="AO651" s="38"/>
      <c r="AP651" s="38"/>
      <c r="AQ651" s="38"/>
      <c r="AR651" s="38"/>
      <c r="AS651" s="38"/>
      <c r="AT651" s="38"/>
      <c r="AU651" s="38"/>
      <c r="AV651" s="38"/>
      <c r="AW651" s="38"/>
      <c r="AX651" s="38"/>
      <c r="AY651" s="38"/>
      <c r="AZ651" s="38"/>
      <c r="BA651" s="38"/>
      <c r="BB651" s="38"/>
      <c r="BC651" s="38"/>
      <c r="BD651" s="38"/>
      <c r="BE651" s="38"/>
      <c r="BF651" s="38"/>
    </row>
    <row r="652" spans="10:58" s="173" customFormat="1" ht="12.75">
      <c r="J652" s="740"/>
      <c r="Q652" s="685"/>
      <c r="X652" s="406"/>
      <c r="Y652" s="685"/>
      <c r="AM652" s="38"/>
      <c r="AN652" s="38"/>
      <c r="AO652" s="38"/>
      <c r="AP652" s="38"/>
      <c r="AQ652" s="38"/>
      <c r="AR652" s="38"/>
      <c r="AS652" s="38"/>
      <c r="AT652" s="38"/>
      <c r="AU652" s="38"/>
      <c r="AV652" s="38"/>
      <c r="AW652" s="38"/>
      <c r="AX652" s="38"/>
      <c r="AY652" s="38"/>
      <c r="AZ652" s="38"/>
      <c r="BA652" s="38"/>
      <c r="BB652" s="38"/>
      <c r="BC652" s="38"/>
      <c r="BD652" s="38"/>
      <c r="BE652" s="38"/>
      <c r="BF652" s="38"/>
    </row>
    <row r="653" spans="10:58" s="173" customFormat="1" ht="12.75">
      <c r="J653" s="740"/>
      <c r="Q653" s="685"/>
      <c r="X653" s="406"/>
      <c r="Y653" s="685"/>
      <c r="AM653" s="38"/>
      <c r="AN653" s="38"/>
      <c r="AO653" s="38"/>
      <c r="AP653" s="38"/>
      <c r="AQ653" s="38"/>
      <c r="AR653" s="38"/>
      <c r="AS653" s="38"/>
      <c r="AT653" s="38"/>
      <c r="AU653" s="38"/>
      <c r="AV653" s="38"/>
      <c r="AW653" s="38"/>
      <c r="AX653" s="38"/>
      <c r="AY653" s="38"/>
      <c r="AZ653" s="38"/>
      <c r="BA653" s="38"/>
      <c r="BB653" s="38"/>
      <c r="BC653" s="38"/>
      <c r="BD653" s="38"/>
      <c r="BE653" s="38"/>
      <c r="BF653" s="38"/>
    </row>
    <row r="654" spans="10:58" s="173" customFormat="1" ht="12.75">
      <c r="J654" s="740"/>
      <c r="Q654" s="685"/>
      <c r="X654" s="406"/>
      <c r="Y654" s="685"/>
      <c r="AM654" s="38"/>
      <c r="AN654" s="38"/>
      <c r="AO654" s="38"/>
      <c r="AP654" s="38"/>
      <c r="AQ654" s="38"/>
      <c r="AR654" s="38"/>
      <c r="AS654" s="38"/>
      <c r="AT654" s="38"/>
      <c r="AU654" s="38"/>
      <c r="AV654" s="38"/>
      <c r="AW654" s="38"/>
      <c r="AX654" s="38"/>
      <c r="AY654" s="38"/>
      <c r="AZ654" s="38"/>
      <c r="BA654" s="38"/>
      <c r="BB654" s="38"/>
      <c r="BC654" s="38"/>
      <c r="BD654" s="38"/>
      <c r="BE654" s="38"/>
      <c r="BF654" s="38"/>
    </row>
    <row r="655" spans="10:58" s="173" customFormat="1" ht="12.75">
      <c r="J655" s="740"/>
      <c r="Q655" s="685"/>
      <c r="X655" s="406"/>
      <c r="Y655" s="685"/>
      <c r="AM655" s="38"/>
      <c r="AN655" s="38"/>
      <c r="AO655" s="38"/>
      <c r="AP655" s="38"/>
      <c r="AQ655" s="38"/>
      <c r="AR655" s="38"/>
      <c r="AS655" s="38"/>
      <c r="AT655" s="38"/>
      <c r="AU655" s="38"/>
      <c r="AV655" s="38"/>
      <c r="AW655" s="38"/>
      <c r="AX655" s="38"/>
      <c r="AY655" s="38"/>
      <c r="AZ655" s="38"/>
      <c r="BA655" s="38"/>
      <c r="BB655" s="38"/>
      <c r="BC655" s="38"/>
      <c r="BD655" s="38"/>
      <c r="BE655" s="38"/>
      <c r="BF655" s="38"/>
    </row>
    <row r="656" spans="10:58" s="173" customFormat="1" ht="12.75">
      <c r="J656" s="740"/>
      <c r="Q656" s="685"/>
      <c r="X656" s="406"/>
      <c r="Y656" s="685"/>
      <c r="AM656" s="38"/>
      <c r="AN656" s="38"/>
      <c r="AO656" s="38"/>
      <c r="AP656" s="38"/>
      <c r="AQ656" s="38"/>
      <c r="AR656" s="38"/>
      <c r="AS656" s="38"/>
      <c r="AT656" s="38"/>
      <c r="AU656" s="38"/>
      <c r="AV656" s="38"/>
      <c r="AW656" s="38"/>
      <c r="AX656" s="38"/>
      <c r="AY656" s="38"/>
      <c r="AZ656" s="38"/>
      <c r="BA656" s="38"/>
      <c r="BB656" s="38"/>
      <c r="BC656" s="38"/>
      <c r="BD656" s="38"/>
      <c r="BE656" s="38"/>
      <c r="BF656" s="38"/>
    </row>
    <row r="657" spans="10:58" s="173" customFormat="1" ht="12.75">
      <c r="J657" s="740"/>
      <c r="Q657" s="685"/>
      <c r="X657" s="406"/>
      <c r="Y657" s="685"/>
      <c r="AM657" s="38"/>
      <c r="AN657" s="38"/>
      <c r="AO657" s="38"/>
      <c r="AP657" s="38"/>
      <c r="AQ657" s="38"/>
      <c r="AR657" s="38"/>
      <c r="AS657" s="38"/>
      <c r="AT657" s="38"/>
      <c r="AU657" s="38"/>
      <c r="AV657" s="38"/>
      <c r="AW657" s="38"/>
      <c r="AX657" s="38"/>
      <c r="AY657" s="38"/>
      <c r="AZ657" s="38"/>
      <c r="BA657" s="38"/>
      <c r="BB657" s="38"/>
      <c r="BC657" s="38"/>
      <c r="BD657" s="38"/>
      <c r="BE657" s="38"/>
      <c r="BF657" s="38"/>
    </row>
    <row r="658" spans="10:58" s="173" customFormat="1" ht="12.75">
      <c r="J658" s="740"/>
      <c r="Q658" s="685"/>
      <c r="X658" s="406"/>
      <c r="Y658" s="685"/>
      <c r="AM658" s="38"/>
      <c r="AN658" s="38"/>
      <c r="AO658" s="38"/>
      <c r="AP658" s="38"/>
      <c r="AQ658" s="38"/>
      <c r="AR658" s="38"/>
      <c r="AS658" s="38"/>
      <c r="AT658" s="38"/>
      <c r="AU658" s="38"/>
      <c r="AV658" s="38"/>
      <c r="AW658" s="38"/>
      <c r="AX658" s="38"/>
      <c r="AY658" s="38"/>
      <c r="AZ658" s="38"/>
      <c r="BA658" s="38"/>
      <c r="BB658" s="38"/>
      <c r="BC658" s="38"/>
      <c r="BD658" s="38"/>
      <c r="BE658" s="38"/>
      <c r="BF658" s="38"/>
    </row>
    <row r="659" spans="10:58" s="173" customFormat="1" ht="12.75">
      <c r="J659" s="740"/>
      <c r="Q659" s="685"/>
      <c r="X659" s="406"/>
      <c r="Y659" s="685"/>
      <c r="AM659" s="38"/>
      <c r="AN659" s="38"/>
      <c r="AO659" s="38"/>
      <c r="AP659" s="38"/>
      <c r="AQ659" s="38"/>
      <c r="AR659" s="38"/>
      <c r="AS659" s="38"/>
      <c r="AT659" s="38"/>
      <c r="AU659" s="38"/>
      <c r="AV659" s="38"/>
      <c r="AW659" s="38"/>
      <c r="AX659" s="38"/>
      <c r="AY659" s="38"/>
      <c r="AZ659" s="38"/>
      <c r="BA659" s="38"/>
      <c r="BB659" s="38"/>
      <c r="BC659" s="38"/>
      <c r="BD659" s="38"/>
      <c r="BE659" s="38"/>
      <c r="BF659" s="38"/>
    </row>
    <row r="660" spans="10:58" s="173" customFormat="1" ht="12.75">
      <c r="J660" s="740"/>
      <c r="Q660" s="685"/>
      <c r="X660" s="406"/>
      <c r="Y660" s="685"/>
      <c r="AM660" s="38"/>
      <c r="AN660" s="38"/>
      <c r="AO660" s="38"/>
      <c r="AP660" s="38"/>
      <c r="AQ660" s="38"/>
      <c r="AR660" s="38"/>
      <c r="AS660" s="38"/>
      <c r="AT660" s="38"/>
      <c r="AU660" s="38"/>
      <c r="AV660" s="38"/>
      <c r="AW660" s="38"/>
      <c r="AX660" s="38"/>
      <c r="AY660" s="38"/>
      <c r="AZ660" s="38"/>
      <c r="BA660" s="38"/>
      <c r="BB660" s="38"/>
      <c r="BC660" s="38"/>
      <c r="BD660" s="38"/>
      <c r="BE660" s="38"/>
      <c r="BF660" s="38"/>
    </row>
    <row r="661" spans="10:58" s="173" customFormat="1" ht="12.75">
      <c r="J661" s="740"/>
      <c r="Q661" s="685"/>
      <c r="X661" s="406"/>
      <c r="Y661" s="685"/>
      <c r="AM661" s="38"/>
      <c r="AN661" s="38"/>
      <c r="AO661" s="38"/>
      <c r="AP661" s="38"/>
      <c r="AQ661" s="38"/>
      <c r="AR661" s="38"/>
      <c r="AS661" s="38"/>
      <c r="AT661" s="38"/>
      <c r="AU661" s="38"/>
      <c r="AV661" s="38"/>
      <c r="AW661" s="38"/>
      <c r="AX661" s="38"/>
      <c r="AY661" s="38"/>
      <c r="AZ661" s="38"/>
      <c r="BA661" s="38"/>
      <c r="BB661" s="38"/>
      <c r="BC661" s="38"/>
      <c r="BD661" s="38"/>
      <c r="BE661" s="38"/>
      <c r="BF661" s="38"/>
    </row>
    <row r="662" spans="10:58" s="173" customFormat="1" ht="12.75">
      <c r="J662" s="740"/>
      <c r="Q662" s="685"/>
      <c r="X662" s="406"/>
      <c r="Y662" s="685"/>
      <c r="AM662" s="38"/>
      <c r="AN662" s="38"/>
      <c r="AO662" s="38"/>
      <c r="AP662" s="38"/>
      <c r="AQ662" s="38"/>
      <c r="AR662" s="38"/>
      <c r="AS662" s="38"/>
      <c r="AT662" s="38"/>
      <c r="AU662" s="38"/>
      <c r="AV662" s="38"/>
      <c r="AW662" s="38"/>
      <c r="AX662" s="38"/>
      <c r="AY662" s="38"/>
      <c r="AZ662" s="38"/>
      <c r="BA662" s="38"/>
      <c r="BB662" s="38"/>
      <c r="BC662" s="38"/>
      <c r="BD662" s="38"/>
      <c r="BE662" s="38"/>
      <c r="BF662" s="38"/>
    </row>
    <row r="663" spans="10:58" s="173" customFormat="1" ht="12.75">
      <c r="J663" s="740"/>
      <c r="Q663" s="685"/>
      <c r="X663" s="406"/>
      <c r="Y663" s="685"/>
      <c r="AM663" s="38"/>
      <c r="AN663" s="38"/>
      <c r="AO663" s="38"/>
      <c r="AP663" s="38"/>
      <c r="AQ663" s="38"/>
      <c r="AR663" s="38"/>
      <c r="AS663" s="38"/>
      <c r="AT663" s="38"/>
      <c r="AU663" s="38"/>
      <c r="AV663" s="38"/>
      <c r="AW663" s="38"/>
      <c r="AX663" s="38"/>
      <c r="AY663" s="38"/>
      <c r="AZ663" s="38"/>
      <c r="BA663" s="38"/>
      <c r="BB663" s="38"/>
      <c r="BC663" s="38"/>
      <c r="BD663" s="38"/>
      <c r="BE663" s="38"/>
      <c r="BF663" s="38"/>
    </row>
    <row r="664" spans="10:58" s="173" customFormat="1" ht="12.75">
      <c r="J664" s="740"/>
      <c r="Q664" s="685"/>
      <c r="X664" s="406"/>
      <c r="Y664" s="685"/>
      <c r="AM664" s="38"/>
      <c r="AN664" s="38"/>
      <c r="AO664" s="38"/>
      <c r="AP664" s="38"/>
      <c r="AQ664" s="38"/>
      <c r="AR664" s="38"/>
      <c r="AS664" s="38"/>
      <c r="AT664" s="38"/>
      <c r="AU664" s="38"/>
      <c r="AV664" s="38"/>
      <c r="AW664" s="38"/>
      <c r="AX664" s="38"/>
      <c r="AY664" s="38"/>
      <c r="AZ664" s="38"/>
      <c r="BA664" s="38"/>
      <c r="BB664" s="38"/>
      <c r="BC664" s="38"/>
      <c r="BD664" s="38"/>
      <c r="BE664" s="38"/>
      <c r="BF664" s="38"/>
    </row>
    <row r="665" spans="10:58" s="173" customFormat="1" ht="12.75">
      <c r="J665" s="740"/>
      <c r="Q665" s="685"/>
      <c r="X665" s="406"/>
      <c r="Y665" s="685"/>
      <c r="AM665" s="38"/>
      <c r="AN665" s="38"/>
      <c r="AO665" s="38"/>
      <c r="AP665" s="38"/>
      <c r="AQ665" s="38"/>
      <c r="AR665" s="38"/>
      <c r="AS665" s="38"/>
      <c r="AT665" s="38"/>
      <c r="AU665" s="38"/>
      <c r="AV665" s="38"/>
      <c r="AW665" s="38"/>
      <c r="AX665" s="38"/>
      <c r="AY665" s="38"/>
      <c r="AZ665" s="38"/>
      <c r="BA665" s="38"/>
      <c r="BB665" s="38"/>
      <c r="BC665" s="38"/>
      <c r="BD665" s="38"/>
      <c r="BE665" s="38"/>
      <c r="BF665" s="38"/>
    </row>
    <row r="666" spans="10:58" s="173" customFormat="1" ht="12.75">
      <c r="J666" s="740"/>
      <c r="Q666" s="685"/>
      <c r="X666" s="406"/>
      <c r="Y666" s="685"/>
      <c r="AM666" s="38"/>
      <c r="AN666" s="38"/>
      <c r="AO666" s="38"/>
      <c r="AP666" s="38"/>
      <c r="AQ666" s="38"/>
      <c r="AR666" s="38"/>
      <c r="AS666" s="38"/>
      <c r="AT666" s="38"/>
      <c r="AU666" s="38"/>
      <c r="AV666" s="38"/>
      <c r="AW666" s="38"/>
      <c r="AX666" s="38"/>
      <c r="AY666" s="38"/>
      <c r="AZ666" s="38"/>
      <c r="BA666" s="38"/>
      <c r="BB666" s="38"/>
      <c r="BC666" s="38"/>
      <c r="BD666" s="38"/>
      <c r="BE666" s="38"/>
      <c r="BF666" s="38"/>
    </row>
    <row r="667" spans="10:58" s="173" customFormat="1" ht="12.75">
      <c r="J667" s="740"/>
      <c r="Q667" s="685"/>
      <c r="X667" s="406"/>
      <c r="Y667" s="685"/>
      <c r="AM667" s="38"/>
      <c r="AN667" s="38"/>
      <c r="AO667" s="38"/>
      <c r="AP667" s="38"/>
      <c r="AQ667" s="38"/>
      <c r="AR667" s="38"/>
      <c r="AS667" s="38"/>
      <c r="AT667" s="38"/>
      <c r="AU667" s="38"/>
      <c r="AV667" s="38"/>
      <c r="AW667" s="38"/>
      <c r="AX667" s="38"/>
      <c r="AY667" s="38"/>
      <c r="AZ667" s="38"/>
      <c r="BA667" s="38"/>
      <c r="BB667" s="38"/>
      <c r="BC667" s="38"/>
      <c r="BD667" s="38"/>
      <c r="BE667" s="38"/>
      <c r="BF667" s="38"/>
    </row>
    <row r="668" spans="10:58" s="173" customFormat="1" ht="12.75">
      <c r="J668" s="740"/>
      <c r="Q668" s="685"/>
      <c r="X668" s="406"/>
      <c r="Y668" s="685"/>
      <c r="AM668" s="38"/>
      <c r="AN668" s="38"/>
      <c r="AO668" s="38"/>
      <c r="AP668" s="38"/>
      <c r="AQ668" s="38"/>
      <c r="AR668" s="38"/>
      <c r="AS668" s="38"/>
      <c r="AT668" s="38"/>
      <c r="AU668" s="38"/>
      <c r="AV668" s="38"/>
      <c r="AW668" s="38"/>
      <c r="AX668" s="38"/>
      <c r="AY668" s="38"/>
      <c r="AZ668" s="38"/>
      <c r="BA668" s="38"/>
      <c r="BB668" s="38"/>
      <c r="BC668" s="38"/>
      <c r="BD668" s="38"/>
      <c r="BE668" s="38"/>
      <c r="BF668" s="38"/>
    </row>
    <row r="669" spans="10:58" s="173" customFormat="1" ht="12.75">
      <c r="J669" s="740"/>
      <c r="Q669" s="685"/>
      <c r="X669" s="406"/>
      <c r="Y669" s="685"/>
      <c r="AM669" s="38"/>
      <c r="AN669" s="38"/>
      <c r="AO669" s="38"/>
      <c r="AP669" s="38"/>
      <c r="AQ669" s="38"/>
      <c r="AR669" s="38"/>
      <c r="AS669" s="38"/>
      <c r="AT669" s="38"/>
      <c r="AU669" s="38"/>
      <c r="AV669" s="38"/>
      <c r="AW669" s="38"/>
      <c r="AX669" s="38"/>
      <c r="AY669" s="38"/>
      <c r="AZ669" s="38"/>
      <c r="BA669" s="38"/>
      <c r="BB669" s="38"/>
      <c r="BC669" s="38"/>
      <c r="BD669" s="38"/>
      <c r="BE669" s="38"/>
      <c r="BF669" s="38"/>
    </row>
    <row r="670" spans="10:58" s="173" customFormat="1" ht="12.75">
      <c r="J670" s="740"/>
      <c r="Q670" s="685"/>
      <c r="X670" s="406"/>
      <c r="Y670" s="685"/>
      <c r="AM670" s="38"/>
      <c r="AN670" s="38"/>
      <c r="AO670" s="38"/>
      <c r="AP670" s="38"/>
      <c r="AQ670" s="38"/>
      <c r="AR670" s="38"/>
      <c r="AS670" s="38"/>
      <c r="AT670" s="38"/>
      <c r="AU670" s="38"/>
      <c r="AV670" s="38"/>
      <c r="AW670" s="38"/>
      <c r="AX670" s="38"/>
      <c r="AY670" s="38"/>
      <c r="AZ670" s="38"/>
      <c r="BA670" s="38"/>
      <c r="BB670" s="38"/>
      <c r="BC670" s="38"/>
      <c r="BD670" s="38"/>
      <c r="BE670" s="38"/>
      <c r="BF670" s="38"/>
    </row>
    <row r="671" spans="10:58" s="173" customFormat="1" ht="12.75">
      <c r="J671" s="740"/>
      <c r="Q671" s="685"/>
      <c r="X671" s="406"/>
      <c r="Y671" s="685"/>
      <c r="AM671" s="38"/>
      <c r="AN671" s="38"/>
      <c r="AO671" s="38"/>
      <c r="AP671" s="38"/>
      <c r="AQ671" s="38"/>
      <c r="AR671" s="38"/>
      <c r="AS671" s="38"/>
      <c r="AT671" s="38"/>
      <c r="AU671" s="38"/>
      <c r="AV671" s="38"/>
      <c r="AW671" s="38"/>
      <c r="AX671" s="38"/>
      <c r="AY671" s="38"/>
      <c r="AZ671" s="38"/>
      <c r="BA671" s="38"/>
      <c r="BB671" s="38"/>
      <c r="BC671" s="38"/>
      <c r="BD671" s="38"/>
      <c r="BE671" s="38"/>
      <c r="BF671" s="38"/>
    </row>
    <row r="672" spans="10:58" s="173" customFormat="1" ht="12.75">
      <c r="J672" s="740"/>
      <c r="Q672" s="685"/>
      <c r="X672" s="406"/>
      <c r="Y672" s="685"/>
      <c r="AM672" s="38"/>
      <c r="AN672" s="38"/>
      <c r="AO672" s="38"/>
      <c r="AP672" s="38"/>
      <c r="AQ672" s="38"/>
      <c r="AR672" s="38"/>
      <c r="AS672" s="38"/>
      <c r="AT672" s="38"/>
      <c r="AU672" s="38"/>
      <c r="AV672" s="38"/>
      <c r="AW672" s="38"/>
      <c r="AX672" s="38"/>
      <c r="AY672" s="38"/>
      <c r="AZ672" s="38"/>
      <c r="BA672" s="38"/>
      <c r="BB672" s="38"/>
      <c r="BC672" s="38"/>
      <c r="BD672" s="38"/>
      <c r="BE672" s="38"/>
      <c r="BF672" s="38"/>
    </row>
    <row r="673" spans="10:58" s="173" customFormat="1" ht="12.75">
      <c r="J673" s="740"/>
      <c r="Q673" s="685"/>
      <c r="X673" s="406"/>
      <c r="Y673" s="685"/>
      <c r="AM673" s="38"/>
      <c r="AN673" s="38"/>
      <c r="AO673" s="38"/>
      <c r="AP673" s="38"/>
      <c r="AQ673" s="38"/>
      <c r="AR673" s="38"/>
      <c r="AS673" s="38"/>
      <c r="AT673" s="38"/>
      <c r="AU673" s="38"/>
      <c r="AV673" s="38"/>
      <c r="AW673" s="38"/>
      <c r="AX673" s="38"/>
      <c r="AY673" s="38"/>
      <c r="AZ673" s="38"/>
      <c r="BA673" s="38"/>
      <c r="BB673" s="38"/>
      <c r="BC673" s="38"/>
      <c r="BD673" s="38"/>
      <c r="BE673" s="38"/>
      <c r="BF673" s="38"/>
    </row>
    <row r="674" spans="10:58" s="173" customFormat="1" ht="12.75">
      <c r="J674" s="740"/>
      <c r="Q674" s="685"/>
      <c r="X674" s="406"/>
      <c r="Y674" s="685"/>
      <c r="AM674" s="38"/>
      <c r="AN674" s="38"/>
      <c r="AO674" s="38"/>
      <c r="AP674" s="38"/>
      <c r="AQ674" s="38"/>
      <c r="AR674" s="38"/>
      <c r="AS674" s="38"/>
      <c r="AT674" s="38"/>
      <c r="AU674" s="38"/>
      <c r="AV674" s="38"/>
      <c r="AW674" s="38"/>
      <c r="AX674" s="38"/>
      <c r="AY674" s="38"/>
      <c r="AZ674" s="38"/>
      <c r="BA674" s="38"/>
      <c r="BB674" s="38"/>
      <c r="BC674" s="38"/>
      <c r="BD674" s="38"/>
      <c r="BE674" s="38"/>
      <c r="BF674" s="38"/>
    </row>
    <row r="675" spans="10:58" s="173" customFormat="1" ht="12.75">
      <c r="J675" s="740"/>
      <c r="Q675" s="685"/>
      <c r="X675" s="406"/>
      <c r="Y675" s="685"/>
      <c r="AM675" s="38"/>
      <c r="AN675" s="38"/>
      <c r="AO675" s="38"/>
      <c r="AP675" s="38"/>
      <c r="AQ675" s="38"/>
      <c r="AR675" s="38"/>
      <c r="AS675" s="38"/>
      <c r="AT675" s="38"/>
      <c r="AU675" s="38"/>
      <c r="AV675" s="38"/>
      <c r="AW675" s="38"/>
      <c r="AX675" s="38"/>
      <c r="AY675" s="38"/>
      <c r="AZ675" s="38"/>
      <c r="BA675" s="38"/>
      <c r="BB675" s="38"/>
      <c r="BC675" s="38"/>
      <c r="BD675" s="38"/>
      <c r="BE675" s="38"/>
      <c r="BF675" s="38"/>
    </row>
    <row r="676" spans="10:58" s="173" customFormat="1" ht="12.75">
      <c r="J676" s="740"/>
      <c r="Q676" s="685"/>
      <c r="X676" s="406"/>
      <c r="Y676" s="685"/>
      <c r="AM676" s="38"/>
      <c r="AN676" s="38"/>
      <c r="AO676" s="38"/>
      <c r="AP676" s="38"/>
      <c r="AQ676" s="38"/>
      <c r="AR676" s="38"/>
      <c r="AS676" s="38"/>
      <c r="AT676" s="38"/>
      <c r="AU676" s="38"/>
      <c r="AV676" s="38"/>
      <c r="AW676" s="38"/>
      <c r="AX676" s="38"/>
      <c r="AY676" s="38"/>
      <c r="AZ676" s="38"/>
      <c r="BA676" s="38"/>
      <c r="BB676" s="38"/>
      <c r="BC676" s="38"/>
      <c r="BD676" s="38"/>
      <c r="BE676" s="38"/>
      <c r="BF676" s="38"/>
    </row>
    <row r="677" spans="10:58" s="173" customFormat="1" ht="12.75">
      <c r="J677" s="740"/>
      <c r="Q677" s="685"/>
      <c r="X677" s="406"/>
      <c r="Y677" s="685"/>
      <c r="AM677" s="38"/>
      <c r="AN677" s="38"/>
      <c r="AO677" s="38"/>
      <c r="AP677" s="38"/>
      <c r="AQ677" s="38"/>
      <c r="AR677" s="38"/>
      <c r="AS677" s="38"/>
      <c r="AT677" s="38"/>
      <c r="AU677" s="38"/>
      <c r="AV677" s="38"/>
      <c r="AW677" s="38"/>
      <c r="AX677" s="38"/>
      <c r="AY677" s="38"/>
      <c r="AZ677" s="38"/>
      <c r="BA677" s="38"/>
      <c r="BB677" s="38"/>
      <c r="BC677" s="38"/>
      <c r="BD677" s="38"/>
      <c r="BE677" s="38"/>
      <c r="BF677" s="38"/>
    </row>
    <row r="678" spans="10:58" s="173" customFormat="1" ht="12.75">
      <c r="J678" s="740"/>
      <c r="Q678" s="685"/>
      <c r="X678" s="406"/>
      <c r="Y678" s="685"/>
      <c r="AM678" s="38"/>
      <c r="AN678" s="38"/>
      <c r="AO678" s="38"/>
      <c r="AP678" s="38"/>
      <c r="AQ678" s="38"/>
      <c r="AR678" s="38"/>
      <c r="AS678" s="38"/>
      <c r="AT678" s="38"/>
      <c r="AU678" s="38"/>
      <c r="AV678" s="38"/>
      <c r="AW678" s="38"/>
      <c r="AX678" s="38"/>
      <c r="AY678" s="38"/>
      <c r="AZ678" s="38"/>
      <c r="BA678" s="38"/>
      <c r="BB678" s="38"/>
      <c r="BC678" s="38"/>
      <c r="BD678" s="38"/>
      <c r="BE678" s="38"/>
      <c r="BF678" s="38"/>
    </row>
    <row r="679" spans="10:58" s="173" customFormat="1" ht="12.75">
      <c r="J679" s="740"/>
      <c r="Q679" s="685"/>
      <c r="X679" s="406"/>
      <c r="Y679" s="685"/>
      <c r="AM679" s="38"/>
      <c r="AN679" s="38"/>
      <c r="AO679" s="38"/>
      <c r="AP679" s="38"/>
      <c r="AQ679" s="38"/>
      <c r="AR679" s="38"/>
      <c r="AS679" s="38"/>
      <c r="AT679" s="38"/>
      <c r="AU679" s="38"/>
      <c r="AV679" s="38"/>
      <c r="AW679" s="38"/>
      <c r="AX679" s="38"/>
      <c r="AY679" s="38"/>
      <c r="AZ679" s="38"/>
      <c r="BA679" s="38"/>
      <c r="BB679" s="38"/>
      <c r="BC679" s="38"/>
      <c r="BD679" s="38"/>
      <c r="BE679" s="38"/>
      <c r="BF679" s="38"/>
    </row>
    <row r="680" spans="10:58" s="173" customFormat="1" ht="12.75">
      <c r="J680" s="740"/>
      <c r="Q680" s="685"/>
      <c r="X680" s="406"/>
      <c r="Y680" s="685"/>
      <c r="AM680" s="38"/>
      <c r="AN680" s="38"/>
      <c r="AO680" s="38"/>
      <c r="AP680" s="38"/>
      <c r="AQ680" s="38"/>
      <c r="AR680" s="38"/>
      <c r="AS680" s="38"/>
      <c r="AT680" s="38"/>
      <c r="AU680" s="38"/>
      <c r="AV680" s="38"/>
      <c r="AW680" s="38"/>
      <c r="AX680" s="38"/>
      <c r="AY680" s="38"/>
      <c r="AZ680" s="38"/>
      <c r="BA680" s="38"/>
      <c r="BB680" s="38"/>
      <c r="BC680" s="38"/>
      <c r="BD680" s="38"/>
      <c r="BE680" s="38"/>
      <c r="BF680" s="38"/>
    </row>
    <row r="681" spans="10:58" s="173" customFormat="1" ht="12.75">
      <c r="J681" s="740"/>
      <c r="Q681" s="685"/>
      <c r="X681" s="406"/>
      <c r="Y681" s="685"/>
      <c r="AM681" s="38"/>
      <c r="AN681" s="38"/>
      <c r="AO681" s="38"/>
      <c r="AP681" s="38"/>
      <c r="AQ681" s="38"/>
      <c r="AR681" s="38"/>
      <c r="AS681" s="38"/>
      <c r="AT681" s="38"/>
      <c r="AU681" s="38"/>
      <c r="AV681" s="38"/>
      <c r="AW681" s="38"/>
      <c r="AX681" s="38"/>
      <c r="AY681" s="38"/>
      <c r="AZ681" s="38"/>
      <c r="BA681" s="38"/>
      <c r="BB681" s="38"/>
      <c r="BC681" s="38"/>
      <c r="BD681" s="38"/>
      <c r="BE681" s="38"/>
      <c r="BF681" s="38"/>
    </row>
    <row r="682" spans="10:58" s="173" customFormat="1" ht="12.75">
      <c r="J682" s="740"/>
      <c r="Q682" s="685"/>
      <c r="X682" s="406"/>
      <c r="Y682" s="685"/>
      <c r="AM682" s="38"/>
      <c r="AN682" s="38"/>
      <c r="AO682" s="38"/>
      <c r="AP682" s="38"/>
      <c r="AQ682" s="38"/>
      <c r="AR682" s="38"/>
      <c r="AS682" s="38"/>
      <c r="AT682" s="38"/>
      <c r="AU682" s="38"/>
      <c r="AV682" s="38"/>
      <c r="AW682" s="38"/>
      <c r="AX682" s="38"/>
      <c r="AY682" s="38"/>
      <c r="AZ682" s="38"/>
      <c r="BA682" s="38"/>
      <c r="BB682" s="38"/>
      <c r="BC682" s="38"/>
      <c r="BD682" s="38"/>
      <c r="BE682" s="38"/>
      <c r="BF682" s="38"/>
    </row>
    <row r="683" spans="10:58" s="173" customFormat="1" ht="12.75">
      <c r="J683" s="740"/>
      <c r="Q683" s="685"/>
      <c r="X683" s="406"/>
      <c r="Y683" s="685"/>
      <c r="AM683" s="38"/>
      <c r="AN683" s="38"/>
      <c r="AO683" s="38"/>
      <c r="AP683" s="38"/>
      <c r="AQ683" s="38"/>
      <c r="AR683" s="38"/>
      <c r="AS683" s="38"/>
      <c r="AT683" s="38"/>
      <c r="AU683" s="38"/>
      <c r="AV683" s="38"/>
      <c r="AW683" s="38"/>
      <c r="AX683" s="38"/>
      <c r="AY683" s="38"/>
      <c r="AZ683" s="38"/>
      <c r="BA683" s="38"/>
      <c r="BB683" s="38"/>
      <c r="BC683" s="38"/>
      <c r="BD683" s="38"/>
      <c r="BE683" s="38"/>
      <c r="BF683" s="38"/>
    </row>
    <row r="684" spans="10:58" s="173" customFormat="1" ht="12.75">
      <c r="J684" s="740"/>
      <c r="Q684" s="685"/>
      <c r="X684" s="406"/>
      <c r="Y684" s="685"/>
      <c r="AM684" s="38"/>
      <c r="AN684" s="38"/>
      <c r="AO684" s="38"/>
      <c r="AP684" s="38"/>
      <c r="AQ684" s="38"/>
      <c r="AR684" s="38"/>
      <c r="AS684" s="38"/>
      <c r="AT684" s="38"/>
      <c r="AU684" s="38"/>
      <c r="AV684" s="38"/>
      <c r="AW684" s="38"/>
      <c r="AX684" s="38"/>
      <c r="AY684" s="38"/>
      <c r="AZ684" s="38"/>
      <c r="BA684" s="38"/>
      <c r="BB684" s="38"/>
      <c r="BC684" s="38"/>
      <c r="BD684" s="38"/>
      <c r="BE684" s="38"/>
      <c r="BF684" s="38"/>
    </row>
    <row r="685" spans="10:58" s="173" customFormat="1" ht="12.75">
      <c r="J685" s="740"/>
      <c r="Q685" s="685"/>
      <c r="X685" s="406"/>
      <c r="Y685" s="685"/>
      <c r="AM685" s="38"/>
      <c r="AN685" s="38"/>
      <c r="AO685" s="38"/>
      <c r="AP685" s="38"/>
      <c r="AQ685" s="38"/>
      <c r="AR685" s="38"/>
      <c r="AS685" s="38"/>
      <c r="AT685" s="38"/>
      <c r="AU685" s="38"/>
      <c r="AV685" s="38"/>
      <c r="AW685" s="38"/>
      <c r="AX685" s="38"/>
      <c r="AY685" s="38"/>
      <c r="AZ685" s="38"/>
      <c r="BA685" s="38"/>
      <c r="BB685" s="38"/>
      <c r="BC685" s="38"/>
      <c r="BD685" s="38"/>
      <c r="BE685" s="38"/>
      <c r="BF685" s="38"/>
    </row>
    <row r="686" spans="10:58" s="173" customFormat="1" ht="12.75">
      <c r="J686" s="740"/>
      <c r="Q686" s="685"/>
      <c r="X686" s="406"/>
      <c r="Y686" s="685"/>
      <c r="AM686" s="38"/>
      <c r="AN686" s="38"/>
      <c r="AO686" s="38"/>
      <c r="AP686" s="38"/>
      <c r="AQ686" s="38"/>
      <c r="AR686" s="38"/>
      <c r="AS686" s="38"/>
      <c r="AT686" s="38"/>
      <c r="AU686" s="38"/>
      <c r="AV686" s="38"/>
      <c r="AW686" s="38"/>
      <c r="AX686" s="38"/>
      <c r="AY686" s="38"/>
      <c r="AZ686" s="38"/>
      <c r="BA686" s="38"/>
      <c r="BB686" s="38"/>
      <c r="BC686" s="38"/>
      <c r="BD686" s="38"/>
      <c r="BE686" s="38"/>
      <c r="BF686" s="38"/>
    </row>
    <row r="687" spans="10:58" s="173" customFormat="1" ht="12.75">
      <c r="J687" s="740"/>
      <c r="Q687" s="685"/>
      <c r="X687" s="406"/>
      <c r="Y687" s="685"/>
      <c r="AM687" s="38"/>
      <c r="AN687" s="38"/>
      <c r="AO687" s="38"/>
      <c r="AP687" s="38"/>
      <c r="AQ687" s="38"/>
      <c r="AR687" s="38"/>
      <c r="AS687" s="38"/>
      <c r="AT687" s="38"/>
      <c r="AU687" s="38"/>
      <c r="AV687" s="38"/>
      <c r="AW687" s="38"/>
      <c r="AX687" s="38"/>
      <c r="AY687" s="38"/>
      <c r="AZ687" s="38"/>
      <c r="BA687" s="38"/>
      <c r="BB687" s="38"/>
      <c r="BC687" s="38"/>
      <c r="BD687" s="38"/>
      <c r="BE687" s="38"/>
      <c r="BF687" s="38"/>
    </row>
    <row r="688" spans="10:58" s="173" customFormat="1" ht="12.75">
      <c r="J688" s="740"/>
      <c r="Q688" s="685"/>
      <c r="X688" s="406"/>
      <c r="Y688" s="685"/>
      <c r="AM688" s="38"/>
      <c r="AN688" s="38"/>
      <c r="AO688" s="38"/>
      <c r="AP688" s="38"/>
      <c r="AQ688" s="38"/>
      <c r="AR688" s="38"/>
      <c r="AS688" s="38"/>
      <c r="AT688" s="38"/>
      <c r="AU688" s="38"/>
      <c r="AV688" s="38"/>
      <c r="AW688" s="38"/>
      <c r="AX688" s="38"/>
      <c r="AY688" s="38"/>
      <c r="AZ688" s="38"/>
      <c r="BA688" s="38"/>
      <c r="BB688" s="38"/>
      <c r="BC688" s="38"/>
      <c r="BD688" s="38"/>
      <c r="BE688" s="38"/>
      <c r="BF688" s="38"/>
    </row>
    <row r="689" spans="10:58" s="173" customFormat="1" ht="12.75">
      <c r="J689" s="740"/>
      <c r="Q689" s="685"/>
      <c r="X689" s="406"/>
      <c r="Y689" s="685"/>
      <c r="AM689" s="38"/>
      <c r="AN689" s="38"/>
      <c r="AO689" s="38"/>
      <c r="AP689" s="38"/>
      <c r="AQ689" s="38"/>
      <c r="AR689" s="38"/>
      <c r="AS689" s="38"/>
      <c r="AT689" s="38"/>
      <c r="AU689" s="38"/>
      <c r="AV689" s="38"/>
      <c r="AW689" s="38"/>
      <c r="AX689" s="38"/>
      <c r="AY689" s="38"/>
      <c r="AZ689" s="38"/>
      <c r="BA689" s="38"/>
      <c r="BB689" s="38"/>
      <c r="BC689" s="38"/>
      <c r="BD689" s="38"/>
      <c r="BE689" s="38"/>
      <c r="BF689" s="38"/>
    </row>
    <row r="690" spans="10:58" s="173" customFormat="1" ht="12.75">
      <c r="J690" s="740"/>
      <c r="Q690" s="685"/>
      <c r="X690" s="406"/>
      <c r="Y690" s="685"/>
      <c r="AM690" s="38"/>
      <c r="AN690" s="38"/>
      <c r="AO690" s="38"/>
      <c r="AP690" s="38"/>
      <c r="AQ690" s="38"/>
      <c r="AR690" s="38"/>
      <c r="AS690" s="38"/>
      <c r="AT690" s="38"/>
      <c r="AU690" s="38"/>
      <c r="AV690" s="38"/>
      <c r="AW690" s="38"/>
      <c r="AX690" s="38"/>
      <c r="AY690" s="38"/>
      <c r="AZ690" s="38"/>
      <c r="BA690" s="38"/>
      <c r="BB690" s="38"/>
      <c r="BC690" s="38"/>
      <c r="BD690" s="38"/>
      <c r="BE690" s="38"/>
      <c r="BF690" s="38"/>
    </row>
    <row r="691" spans="10:58" s="173" customFormat="1" ht="12.75">
      <c r="J691" s="740"/>
      <c r="Q691" s="685"/>
      <c r="X691" s="406"/>
      <c r="Y691" s="685"/>
      <c r="AM691" s="38"/>
      <c r="AN691" s="38"/>
      <c r="AO691" s="38"/>
      <c r="AP691" s="38"/>
      <c r="AQ691" s="38"/>
      <c r="AR691" s="38"/>
      <c r="AS691" s="38"/>
      <c r="AT691" s="38"/>
      <c r="AU691" s="38"/>
      <c r="AV691" s="38"/>
      <c r="AW691" s="38"/>
      <c r="AX691" s="38"/>
      <c r="AY691" s="38"/>
      <c r="AZ691" s="38"/>
      <c r="BA691" s="38"/>
      <c r="BB691" s="38"/>
      <c r="BC691" s="38"/>
      <c r="BD691" s="38"/>
      <c r="BE691" s="38"/>
      <c r="BF691" s="38"/>
    </row>
    <row r="692" spans="10:58" s="173" customFormat="1" ht="12.75">
      <c r="J692" s="740"/>
      <c r="Q692" s="685"/>
      <c r="X692" s="406"/>
      <c r="Y692" s="685"/>
      <c r="AM692" s="38"/>
      <c r="AN692" s="38"/>
      <c r="AO692" s="38"/>
      <c r="AP692" s="38"/>
      <c r="AQ692" s="38"/>
      <c r="AR692" s="38"/>
      <c r="AS692" s="38"/>
      <c r="AT692" s="38"/>
      <c r="AU692" s="38"/>
      <c r="AV692" s="38"/>
      <c r="AW692" s="38"/>
      <c r="AX692" s="38"/>
      <c r="AY692" s="38"/>
      <c r="AZ692" s="38"/>
      <c r="BA692" s="38"/>
      <c r="BB692" s="38"/>
      <c r="BC692" s="38"/>
      <c r="BD692" s="38"/>
      <c r="BE692" s="38"/>
      <c r="BF692" s="38"/>
    </row>
    <row r="693" spans="10:58" s="173" customFormat="1" ht="12.75">
      <c r="J693" s="740"/>
      <c r="Q693" s="685"/>
      <c r="X693" s="406"/>
      <c r="Y693" s="685"/>
      <c r="AM693" s="38"/>
      <c r="AN693" s="38"/>
      <c r="AO693" s="38"/>
      <c r="AP693" s="38"/>
      <c r="AQ693" s="38"/>
      <c r="AR693" s="38"/>
      <c r="AS693" s="38"/>
      <c r="AT693" s="38"/>
      <c r="AU693" s="38"/>
      <c r="AV693" s="38"/>
      <c r="AW693" s="38"/>
      <c r="AX693" s="38"/>
      <c r="AY693" s="38"/>
      <c r="AZ693" s="38"/>
      <c r="BA693" s="38"/>
      <c r="BB693" s="38"/>
      <c r="BC693" s="38"/>
      <c r="BD693" s="38"/>
      <c r="BE693" s="38"/>
      <c r="BF693" s="38"/>
    </row>
    <row r="694" spans="10:58" s="173" customFormat="1" ht="12.75">
      <c r="J694" s="740"/>
      <c r="Q694" s="685"/>
      <c r="X694" s="406"/>
      <c r="Y694" s="685"/>
      <c r="AM694" s="38"/>
      <c r="AN694" s="38"/>
      <c r="AO694" s="38"/>
      <c r="AP694" s="38"/>
      <c r="AQ694" s="38"/>
      <c r="AR694" s="38"/>
      <c r="AS694" s="38"/>
      <c r="AT694" s="38"/>
      <c r="AU694" s="38"/>
      <c r="AV694" s="38"/>
      <c r="AW694" s="38"/>
      <c r="AX694" s="38"/>
      <c r="AY694" s="38"/>
      <c r="AZ694" s="38"/>
      <c r="BA694" s="38"/>
      <c r="BB694" s="38"/>
      <c r="BC694" s="38"/>
      <c r="BD694" s="38"/>
      <c r="BE694" s="38"/>
      <c r="BF694" s="38"/>
    </row>
    <row r="695" spans="10:58" s="173" customFormat="1" ht="12.75">
      <c r="J695" s="740"/>
      <c r="Q695" s="685"/>
      <c r="X695" s="406"/>
      <c r="Y695" s="685"/>
      <c r="AM695" s="38"/>
      <c r="AN695" s="38"/>
      <c r="AO695" s="38"/>
      <c r="AP695" s="38"/>
      <c r="AQ695" s="38"/>
      <c r="AR695" s="38"/>
      <c r="AS695" s="38"/>
      <c r="AT695" s="38"/>
      <c r="AU695" s="38"/>
      <c r="AV695" s="38"/>
      <c r="AW695" s="38"/>
      <c r="AX695" s="38"/>
      <c r="AY695" s="38"/>
      <c r="AZ695" s="38"/>
      <c r="BA695" s="38"/>
      <c r="BB695" s="38"/>
      <c r="BC695" s="38"/>
      <c r="BD695" s="38"/>
      <c r="BE695" s="38"/>
      <c r="BF695" s="38"/>
    </row>
    <row r="696" spans="10:58" s="173" customFormat="1" ht="12.75">
      <c r="J696" s="740"/>
      <c r="Q696" s="685"/>
      <c r="X696" s="406"/>
      <c r="Y696" s="685"/>
      <c r="AM696" s="38"/>
      <c r="AN696" s="38"/>
      <c r="AO696" s="38"/>
      <c r="AP696" s="38"/>
      <c r="AQ696" s="38"/>
      <c r="AR696" s="38"/>
      <c r="AS696" s="38"/>
      <c r="AT696" s="38"/>
      <c r="AU696" s="38"/>
      <c r="AV696" s="38"/>
      <c r="AW696" s="38"/>
      <c r="AX696" s="38"/>
      <c r="AY696" s="38"/>
      <c r="AZ696" s="38"/>
      <c r="BA696" s="38"/>
      <c r="BB696" s="38"/>
      <c r="BC696" s="38"/>
      <c r="BD696" s="38"/>
      <c r="BE696" s="38"/>
      <c r="BF696" s="38"/>
    </row>
    <row r="697" spans="10:58" s="173" customFormat="1" ht="12.75">
      <c r="J697" s="740"/>
      <c r="Q697" s="685"/>
      <c r="X697" s="406"/>
      <c r="Y697" s="685"/>
      <c r="AM697" s="38"/>
      <c r="AN697" s="38"/>
      <c r="AO697" s="38"/>
      <c r="AP697" s="38"/>
      <c r="AQ697" s="38"/>
      <c r="AR697" s="38"/>
      <c r="AS697" s="38"/>
      <c r="AT697" s="38"/>
      <c r="AU697" s="38"/>
      <c r="AV697" s="38"/>
      <c r="AW697" s="38"/>
      <c r="AX697" s="38"/>
      <c r="AY697" s="38"/>
      <c r="AZ697" s="38"/>
      <c r="BA697" s="38"/>
      <c r="BB697" s="38"/>
      <c r="BC697" s="38"/>
      <c r="BD697" s="38"/>
      <c r="BE697" s="38"/>
      <c r="BF697" s="38"/>
    </row>
    <row r="698" spans="10:58" s="173" customFormat="1" ht="12.75">
      <c r="J698" s="740"/>
      <c r="Q698" s="685"/>
      <c r="X698" s="406"/>
      <c r="Y698" s="685"/>
      <c r="AM698" s="38"/>
      <c r="AN698" s="38"/>
      <c r="AO698" s="38"/>
      <c r="AP698" s="38"/>
      <c r="AQ698" s="38"/>
      <c r="AR698" s="38"/>
      <c r="AS698" s="38"/>
      <c r="AT698" s="38"/>
      <c r="AU698" s="38"/>
      <c r="AV698" s="38"/>
      <c r="AW698" s="38"/>
      <c r="AX698" s="38"/>
      <c r="AY698" s="38"/>
      <c r="AZ698" s="38"/>
      <c r="BA698" s="38"/>
      <c r="BB698" s="38"/>
      <c r="BC698" s="38"/>
      <c r="BD698" s="38"/>
      <c r="BE698" s="38"/>
      <c r="BF698" s="38"/>
    </row>
    <row r="699" spans="10:58" s="173" customFormat="1" ht="12.75">
      <c r="J699" s="740"/>
      <c r="Q699" s="685"/>
      <c r="X699" s="406"/>
      <c r="Y699" s="685"/>
      <c r="AM699" s="38"/>
      <c r="AN699" s="38"/>
      <c r="AO699" s="38"/>
      <c r="AP699" s="38"/>
      <c r="AQ699" s="38"/>
      <c r="AR699" s="38"/>
      <c r="AS699" s="38"/>
      <c r="AT699" s="38"/>
      <c r="AU699" s="38"/>
      <c r="AV699" s="38"/>
      <c r="AW699" s="38"/>
      <c r="AX699" s="38"/>
      <c r="AY699" s="38"/>
      <c r="AZ699" s="38"/>
      <c r="BA699" s="38"/>
      <c r="BB699" s="38"/>
      <c r="BC699" s="38"/>
      <c r="BD699" s="38"/>
      <c r="BE699" s="38"/>
      <c r="BF699" s="38"/>
    </row>
    <row r="700" spans="10:58" s="173" customFormat="1" ht="12.75">
      <c r="J700" s="740"/>
      <c r="Q700" s="685"/>
      <c r="X700" s="406"/>
      <c r="Y700" s="685"/>
      <c r="AM700" s="38"/>
      <c r="AN700" s="38"/>
      <c r="AO700" s="38"/>
      <c r="AP700" s="38"/>
      <c r="AQ700" s="38"/>
      <c r="AR700" s="38"/>
      <c r="AS700" s="38"/>
      <c r="AT700" s="38"/>
      <c r="AU700" s="38"/>
      <c r="AV700" s="38"/>
      <c r="AW700" s="38"/>
      <c r="AX700" s="38"/>
      <c r="AY700" s="38"/>
      <c r="AZ700" s="38"/>
      <c r="BA700" s="38"/>
      <c r="BB700" s="38"/>
      <c r="BC700" s="38"/>
      <c r="BD700" s="38"/>
      <c r="BE700" s="38"/>
      <c r="BF700" s="38"/>
    </row>
    <row r="701" spans="10:58" s="173" customFormat="1" ht="12.75">
      <c r="J701" s="740"/>
      <c r="Q701" s="685"/>
      <c r="X701" s="406"/>
      <c r="Y701" s="685"/>
      <c r="AM701" s="38"/>
      <c r="AN701" s="38"/>
      <c r="AO701" s="38"/>
      <c r="AP701" s="38"/>
      <c r="AQ701" s="38"/>
      <c r="AR701" s="38"/>
      <c r="AS701" s="38"/>
      <c r="AT701" s="38"/>
      <c r="AU701" s="38"/>
      <c r="AV701" s="38"/>
      <c r="AW701" s="38"/>
      <c r="AX701" s="38"/>
      <c r="AY701" s="38"/>
      <c r="AZ701" s="38"/>
      <c r="BA701" s="38"/>
      <c r="BB701" s="38"/>
      <c r="BC701" s="38"/>
      <c r="BD701" s="38"/>
      <c r="BE701" s="38"/>
      <c r="BF701" s="38"/>
    </row>
    <row r="702" spans="10:58" s="173" customFormat="1" ht="12.75">
      <c r="J702" s="740"/>
      <c r="Q702" s="685"/>
      <c r="X702" s="406"/>
      <c r="Y702" s="685"/>
      <c r="AM702" s="38"/>
      <c r="AN702" s="38"/>
      <c r="AO702" s="38"/>
      <c r="AP702" s="38"/>
      <c r="AQ702" s="38"/>
      <c r="AR702" s="38"/>
      <c r="AS702" s="38"/>
      <c r="AT702" s="38"/>
      <c r="AU702" s="38"/>
      <c r="AV702" s="38"/>
      <c r="AW702" s="38"/>
      <c r="AX702" s="38"/>
      <c r="AY702" s="38"/>
      <c r="AZ702" s="38"/>
      <c r="BA702" s="38"/>
      <c r="BB702" s="38"/>
      <c r="BC702" s="38"/>
      <c r="BD702" s="38"/>
      <c r="BE702" s="38"/>
      <c r="BF702" s="38"/>
    </row>
    <row r="703" spans="10:58" s="173" customFormat="1" ht="12.75">
      <c r="J703" s="740"/>
      <c r="Q703" s="685"/>
      <c r="X703" s="406"/>
      <c r="Y703" s="685"/>
      <c r="AM703" s="38"/>
      <c r="AN703" s="38"/>
      <c r="AO703" s="38"/>
      <c r="AP703" s="38"/>
      <c r="AQ703" s="38"/>
      <c r="AR703" s="38"/>
      <c r="AS703" s="38"/>
      <c r="AT703" s="38"/>
      <c r="AU703" s="38"/>
      <c r="AV703" s="38"/>
      <c r="AW703" s="38"/>
      <c r="AX703" s="38"/>
      <c r="AY703" s="38"/>
      <c r="AZ703" s="38"/>
      <c r="BA703" s="38"/>
      <c r="BB703" s="38"/>
      <c r="BC703" s="38"/>
      <c r="BD703" s="38"/>
      <c r="BE703" s="38"/>
      <c r="BF703" s="38"/>
    </row>
    <row r="704" spans="10:58" s="173" customFormat="1" ht="12.75">
      <c r="J704" s="740"/>
      <c r="Q704" s="685"/>
      <c r="X704" s="406"/>
      <c r="Y704" s="685"/>
      <c r="AM704" s="38"/>
      <c r="AN704" s="38"/>
      <c r="AO704" s="38"/>
      <c r="AP704" s="38"/>
      <c r="AQ704" s="38"/>
      <c r="AR704" s="38"/>
      <c r="AS704" s="38"/>
      <c r="AT704" s="38"/>
      <c r="AU704" s="38"/>
      <c r="AV704" s="38"/>
      <c r="AW704" s="38"/>
      <c r="AX704" s="38"/>
      <c r="AY704" s="38"/>
      <c r="AZ704" s="38"/>
      <c r="BA704" s="38"/>
      <c r="BB704" s="38"/>
      <c r="BC704" s="38"/>
      <c r="BD704" s="38"/>
      <c r="BE704" s="38"/>
      <c r="BF704" s="38"/>
    </row>
    <row r="705" spans="10:58" s="173" customFormat="1" ht="12.75">
      <c r="J705" s="740"/>
      <c r="Q705" s="685"/>
      <c r="X705" s="406"/>
      <c r="Y705" s="685"/>
      <c r="AM705" s="38"/>
      <c r="AN705" s="38"/>
      <c r="AO705" s="38"/>
      <c r="AP705" s="38"/>
      <c r="AQ705" s="38"/>
      <c r="AR705" s="38"/>
      <c r="AS705" s="38"/>
      <c r="AT705" s="38"/>
      <c r="AU705" s="38"/>
      <c r="AV705" s="38"/>
      <c r="AW705" s="38"/>
      <c r="AX705" s="38"/>
      <c r="AY705" s="38"/>
      <c r="AZ705" s="38"/>
      <c r="BA705" s="38"/>
      <c r="BB705" s="38"/>
      <c r="BC705" s="38"/>
      <c r="BD705" s="38"/>
      <c r="BE705" s="38"/>
      <c r="BF705" s="38"/>
    </row>
    <row r="706" spans="10:58" s="173" customFormat="1" ht="12.75">
      <c r="J706" s="740"/>
      <c r="Q706" s="685"/>
      <c r="X706" s="406"/>
      <c r="Y706" s="685"/>
      <c r="AM706" s="38"/>
      <c r="AN706" s="38"/>
      <c r="AO706" s="38"/>
      <c r="AP706" s="38"/>
      <c r="AQ706" s="38"/>
      <c r="AR706" s="38"/>
      <c r="AS706" s="38"/>
      <c r="AT706" s="38"/>
      <c r="AU706" s="38"/>
      <c r="AV706" s="38"/>
      <c r="AW706" s="38"/>
      <c r="AX706" s="38"/>
      <c r="AY706" s="38"/>
      <c r="AZ706" s="38"/>
      <c r="BA706" s="38"/>
      <c r="BB706" s="38"/>
      <c r="BC706" s="38"/>
      <c r="BD706" s="38"/>
      <c r="BE706" s="38"/>
      <c r="BF706" s="38"/>
    </row>
    <row r="707" spans="10:58" s="173" customFormat="1" ht="12.75">
      <c r="J707" s="740"/>
      <c r="Q707" s="685"/>
      <c r="X707" s="406"/>
      <c r="Y707" s="685"/>
      <c r="AM707" s="38"/>
      <c r="AN707" s="38"/>
      <c r="AO707" s="38"/>
      <c r="AP707" s="38"/>
      <c r="AQ707" s="38"/>
      <c r="AR707" s="38"/>
      <c r="AS707" s="38"/>
      <c r="AT707" s="38"/>
      <c r="AU707" s="38"/>
      <c r="AV707" s="38"/>
      <c r="AW707" s="38"/>
      <c r="AX707" s="38"/>
      <c r="AY707" s="38"/>
      <c r="AZ707" s="38"/>
      <c r="BA707" s="38"/>
      <c r="BB707" s="38"/>
      <c r="BC707" s="38"/>
      <c r="BD707" s="38"/>
      <c r="BE707" s="38"/>
      <c r="BF707" s="38"/>
    </row>
    <row r="708" spans="10:58" s="173" customFormat="1" ht="12.75">
      <c r="J708" s="740"/>
      <c r="Q708" s="685"/>
      <c r="X708" s="406"/>
      <c r="Y708" s="685"/>
      <c r="AM708" s="38"/>
      <c r="AN708" s="38"/>
      <c r="AO708" s="38"/>
      <c r="AP708" s="38"/>
      <c r="AQ708" s="38"/>
      <c r="AR708" s="38"/>
      <c r="AS708" s="38"/>
      <c r="AT708" s="38"/>
      <c r="AU708" s="38"/>
      <c r="AV708" s="38"/>
      <c r="AW708" s="38"/>
      <c r="AX708" s="38"/>
      <c r="AY708" s="38"/>
      <c r="AZ708" s="38"/>
      <c r="BA708" s="38"/>
      <c r="BB708" s="38"/>
      <c r="BC708" s="38"/>
      <c r="BD708" s="38"/>
      <c r="BE708" s="38"/>
      <c r="BF708" s="38"/>
    </row>
    <row r="709" spans="10:58" s="173" customFormat="1" ht="12.75">
      <c r="J709" s="740"/>
      <c r="Q709" s="685"/>
      <c r="X709" s="406"/>
      <c r="Y709" s="685"/>
      <c r="AM709" s="38"/>
      <c r="AN709" s="38"/>
      <c r="AO709" s="38"/>
      <c r="AP709" s="38"/>
      <c r="AQ709" s="38"/>
      <c r="AR709" s="38"/>
      <c r="AS709" s="38"/>
      <c r="AT709" s="38"/>
      <c r="AU709" s="38"/>
      <c r="AV709" s="38"/>
      <c r="AW709" s="38"/>
      <c r="AX709" s="38"/>
      <c r="AY709" s="38"/>
      <c r="AZ709" s="38"/>
      <c r="BA709" s="38"/>
      <c r="BB709" s="38"/>
      <c r="BC709" s="38"/>
      <c r="BD709" s="38"/>
      <c r="BE709" s="38"/>
      <c r="BF709" s="38"/>
    </row>
    <row r="710" spans="10:58" s="173" customFormat="1" ht="12.75">
      <c r="J710" s="740"/>
      <c r="Q710" s="685"/>
      <c r="X710" s="406"/>
      <c r="Y710" s="685"/>
      <c r="AM710" s="38"/>
      <c r="AN710" s="38"/>
      <c r="AO710" s="38"/>
      <c r="AP710" s="38"/>
      <c r="AQ710" s="38"/>
      <c r="AR710" s="38"/>
      <c r="AS710" s="38"/>
      <c r="AT710" s="38"/>
      <c r="AU710" s="38"/>
      <c r="AV710" s="38"/>
      <c r="AW710" s="38"/>
      <c r="AX710" s="38"/>
      <c r="AY710" s="38"/>
      <c r="AZ710" s="38"/>
      <c r="BA710" s="38"/>
      <c r="BB710" s="38"/>
      <c r="BC710" s="38"/>
      <c r="BD710" s="38"/>
      <c r="BE710" s="38"/>
      <c r="BF710" s="38"/>
    </row>
    <row r="711" spans="10:58" s="173" customFormat="1" ht="12.75">
      <c r="J711" s="740"/>
      <c r="Q711" s="685"/>
      <c r="X711" s="406"/>
      <c r="Y711" s="685"/>
      <c r="AM711" s="38"/>
      <c r="AN711" s="38"/>
      <c r="AO711" s="38"/>
      <c r="AP711" s="38"/>
      <c r="AQ711" s="38"/>
      <c r="AR711" s="38"/>
      <c r="AS711" s="38"/>
      <c r="AT711" s="38"/>
      <c r="AU711" s="38"/>
      <c r="AV711" s="38"/>
      <c r="AW711" s="38"/>
      <c r="AX711" s="38"/>
      <c r="AY711" s="38"/>
      <c r="AZ711" s="38"/>
      <c r="BA711" s="38"/>
      <c r="BB711" s="38"/>
      <c r="BC711" s="38"/>
      <c r="BD711" s="38"/>
      <c r="BE711" s="38"/>
      <c r="BF711" s="38"/>
    </row>
    <row r="712" spans="10:58" s="173" customFormat="1" ht="12.75">
      <c r="J712" s="740"/>
      <c r="Q712" s="685"/>
      <c r="X712" s="406"/>
      <c r="Y712" s="685"/>
      <c r="AM712" s="38"/>
      <c r="AN712" s="38"/>
      <c r="AO712" s="38"/>
      <c r="AP712" s="38"/>
      <c r="AQ712" s="38"/>
      <c r="AR712" s="38"/>
      <c r="AS712" s="38"/>
      <c r="AT712" s="38"/>
      <c r="AU712" s="38"/>
      <c r="AV712" s="38"/>
      <c r="AW712" s="38"/>
      <c r="AX712" s="38"/>
      <c r="AY712" s="38"/>
      <c r="AZ712" s="38"/>
      <c r="BA712" s="38"/>
      <c r="BB712" s="38"/>
      <c r="BC712" s="38"/>
      <c r="BD712" s="38"/>
      <c r="BE712" s="38"/>
      <c r="BF712" s="38"/>
    </row>
    <row r="713" spans="10:58" s="173" customFormat="1" ht="12.75">
      <c r="J713" s="740"/>
      <c r="Q713" s="685"/>
      <c r="X713" s="406"/>
      <c r="Y713" s="685"/>
      <c r="AM713" s="38"/>
      <c r="AN713" s="38"/>
      <c r="AO713" s="38"/>
      <c r="AP713" s="38"/>
      <c r="AQ713" s="38"/>
      <c r="AR713" s="38"/>
      <c r="AS713" s="38"/>
      <c r="AT713" s="38"/>
      <c r="AU713" s="38"/>
      <c r="AV713" s="38"/>
      <c r="AW713" s="38"/>
      <c r="AX713" s="38"/>
      <c r="AY713" s="38"/>
      <c r="AZ713" s="38"/>
      <c r="BA713" s="38"/>
      <c r="BB713" s="38"/>
      <c r="BC713" s="38"/>
      <c r="BD713" s="38"/>
      <c r="BE713" s="38"/>
      <c r="BF713" s="38"/>
    </row>
    <row r="714" spans="10:58" s="173" customFormat="1" ht="12.75">
      <c r="J714" s="740"/>
      <c r="Q714" s="685"/>
      <c r="X714" s="406"/>
      <c r="Y714" s="685"/>
      <c r="AM714" s="38"/>
      <c r="AN714" s="38"/>
      <c r="AO714" s="38"/>
      <c r="AP714" s="38"/>
      <c r="AQ714" s="38"/>
      <c r="AR714" s="38"/>
      <c r="AS714" s="38"/>
      <c r="AT714" s="38"/>
      <c r="AU714" s="38"/>
      <c r="AV714" s="38"/>
      <c r="AW714" s="38"/>
      <c r="AX714" s="38"/>
      <c r="AY714" s="38"/>
      <c r="AZ714" s="38"/>
      <c r="BA714" s="38"/>
      <c r="BB714" s="38"/>
      <c r="BC714" s="38"/>
      <c r="BD714" s="38"/>
      <c r="BE714" s="38"/>
      <c r="BF714" s="38"/>
    </row>
    <row r="715" spans="10:58" s="173" customFormat="1" ht="12.75">
      <c r="J715" s="740"/>
      <c r="Q715" s="685"/>
      <c r="X715" s="406"/>
      <c r="Y715" s="685"/>
      <c r="AM715" s="38"/>
      <c r="AN715" s="38"/>
      <c r="AO715" s="38"/>
      <c r="AP715" s="38"/>
      <c r="AQ715" s="38"/>
      <c r="AR715" s="38"/>
      <c r="AS715" s="38"/>
      <c r="AT715" s="38"/>
      <c r="AU715" s="38"/>
      <c r="AV715" s="38"/>
      <c r="AW715" s="38"/>
      <c r="AX715" s="38"/>
      <c r="AY715" s="38"/>
      <c r="AZ715" s="38"/>
      <c r="BA715" s="38"/>
      <c r="BB715" s="38"/>
      <c r="BC715" s="38"/>
      <c r="BD715" s="38"/>
      <c r="BE715" s="38"/>
      <c r="BF715" s="38"/>
    </row>
    <row r="716" spans="10:58" s="173" customFormat="1" ht="12.75">
      <c r="J716" s="740"/>
      <c r="Q716" s="685"/>
      <c r="X716" s="406"/>
      <c r="Y716" s="685"/>
      <c r="AM716" s="38"/>
      <c r="AN716" s="38"/>
      <c r="AO716" s="38"/>
      <c r="AP716" s="38"/>
      <c r="AQ716" s="38"/>
      <c r="AR716" s="38"/>
      <c r="AS716" s="38"/>
      <c r="AT716" s="38"/>
      <c r="AU716" s="38"/>
      <c r="AV716" s="38"/>
      <c r="AW716" s="38"/>
      <c r="AX716" s="38"/>
      <c r="AY716" s="38"/>
      <c r="AZ716" s="38"/>
      <c r="BA716" s="38"/>
      <c r="BB716" s="38"/>
      <c r="BC716" s="38"/>
      <c r="BD716" s="38"/>
      <c r="BE716" s="38"/>
      <c r="BF716" s="38"/>
    </row>
    <row r="717" spans="10:58" s="173" customFormat="1" ht="12.75">
      <c r="J717" s="740"/>
      <c r="Q717" s="685"/>
      <c r="X717" s="406"/>
      <c r="Y717" s="685"/>
      <c r="AM717" s="38"/>
      <c r="AN717" s="38"/>
      <c r="AO717" s="38"/>
      <c r="AP717" s="38"/>
      <c r="AQ717" s="38"/>
      <c r="AR717" s="38"/>
      <c r="AS717" s="38"/>
      <c r="AT717" s="38"/>
      <c r="AU717" s="38"/>
      <c r="AV717" s="38"/>
      <c r="AW717" s="38"/>
      <c r="AX717" s="38"/>
      <c r="AY717" s="38"/>
      <c r="AZ717" s="38"/>
      <c r="BA717" s="38"/>
      <c r="BB717" s="38"/>
      <c r="BC717" s="38"/>
      <c r="BD717" s="38"/>
      <c r="BE717" s="38"/>
      <c r="BF717" s="38"/>
    </row>
    <row r="718" spans="10:58" s="173" customFormat="1" ht="12.75">
      <c r="J718" s="740"/>
      <c r="Q718" s="685"/>
      <c r="X718" s="406"/>
      <c r="Y718" s="685"/>
      <c r="AM718" s="38"/>
      <c r="AN718" s="38"/>
      <c r="AO718" s="38"/>
      <c r="AP718" s="38"/>
      <c r="AQ718" s="38"/>
      <c r="AR718" s="38"/>
      <c r="AS718" s="38"/>
      <c r="AT718" s="38"/>
      <c r="AU718" s="38"/>
      <c r="AV718" s="38"/>
      <c r="AW718" s="38"/>
      <c r="AX718" s="38"/>
      <c r="AY718" s="38"/>
      <c r="AZ718" s="38"/>
      <c r="BA718" s="38"/>
      <c r="BB718" s="38"/>
      <c r="BC718" s="38"/>
      <c r="BD718" s="38"/>
      <c r="BE718" s="38"/>
      <c r="BF718" s="38"/>
    </row>
    <row r="719" spans="10:58" s="173" customFormat="1" ht="12.75">
      <c r="J719" s="740"/>
      <c r="Q719" s="685"/>
      <c r="X719" s="406"/>
      <c r="Y719" s="685"/>
      <c r="AM719" s="38"/>
      <c r="AN719" s="38"/>
      <c r="AO719" s="38"/>
      <c r="AP719" s="38"/>
      <c r="AQ719" s="38"/>
      <c r="AR719" s="38"/>
      <c r="AS719" s="38"/>
      <c r="AT719" s="38"/>
      <c r="AU719" s="38"/>
      <c r="AV719" s="38"/>
      <c r="AW719" s="38"/>
      <c r="AX719" s="38"/>
      <c r="AY719" s="38"/>
      <c r="AZ719" s="38"/>
      <c r="BA719" s="38"/>
      <c r="BB719" s="38"/>
      <c r="BC719" s="38"/>
      <c r="BD719" s="38"/>
      <c r="BE719" s="38"/>
      <c r="BF719" s="38"/>
    </row>
    <row r="720" spans="10:58" s="173" customFormat="1" ht="12.75">
      <c r="J720" s="740"/>
      <c r="Q720" s="685"/>
      <c r="X720" s="406"/>
      <c r="Y720" s="685"/>
      <c r="AM720" s="38"/>
      <c r="AN720" s="38"/>
      <c r="AO720" s="38"/>
      <c r="AP720" s="38"/>
      <c r="AQ720" s="38"/>
      <c r="AR720" s="38"/>
      <c r="AS720" s="38"/>
      <c r="AT720" s="38"/>
      <c r="AU720" s="38"/>
      <c r="AV720" s="38"/>
      <c r="AW720" s="38"/>
      <c r="AX720" s="38"/>
      <c r="AY720" s="38"/>
      <c r="AZ720" s="38"/>
      <c r="BA720" s="38"/>
      <c r="BB720" s="38"/>
      <c r="BC720" s="38"/>
      <c r="BD720" s="38"/>
      <c r="BE720" s="38"/>
      <c r="BF720" s="38"/>
    </row>
    <row r="721" spans="10:58" s="173" customFormat="1" ht="12.75">
      <c r="J721" s="740"/>
      <c r="Q721" s="685"/>
      <c r="X721" s="406"/>
      <c r="Y721" s="685"/>
      <c r="AM721" s="38"/>
      <c r="AN721" s="38"/>
      <c r="AO721" s="38"/>
      <c r="AP721" s="38"/>
      <c r="AQ721" s="38"/>
      <c r="AR721" s="38"/>
      <c r="AS721" s="38"/>
      <c r="AT721" s="38"/>
      <c r="AU721" s="38"/>
      <c r="AV721" s="38"/>
      <c r="AW721" s="38"/>
      <c r="AX721" s="38"/>
      <c r="AY721" s="38"/>
      <c r="AZ721" s="38"/>
      <c r="BA721" s="38"/>
      <c r="BB721" s="38"/>
      <c r="BC721" s="38"/>
      <c r="BD721" s="38"/>
      <c r="BE721" s="38"/>
      <c r="BF721" s="38"/>
    </row>
    <row r="722" spans="10:58" s="173" customFormat="1" ht="12.75">
      <c r="J722" s="740"/>
      <c r="Q722" s="685"/>
      <c r="X722" s="406"/>
      <c r="Y722" s="685"/>
      <c r="AM722" s="38"/>
      <c r="AN722" s="38"/>
      <c r="AO722" s="38"/>
      <c r="AP722" s="38"/>
      <c r="AQ722" s="38"/>
      <c r="AR722" s="38"/>
      <c r="AS722" s="38"/>
      <c r="AT722" s="38"/>
      <c r="AU722" s="38"/>
      <c r="AV722" s="38"/>
      <c r="AW722" s="38"/>
      <c r="AX722" s="38"/>
      <c r="AY722" s="38"/>
      <c r="AZ722" s="38"/>
      <c r="BA722" s="38"/>
      <c r="BB722" s="38"/>
      <c r="BC722" s="38"/>
      <c r="BD722" s="38"/>
      <c r="BE722" s="38"/>
      <c r="BF722" s="38"/>
    </row>
    <row r="723" spans="10:58" s="173" customFormat="1" ht="12.75">
      <c r="J723" s="740"/>
      <c r="Q723" s="685"/>
      <c r="X723" s="406"/>
      <c r="Y723" s="685"/>
      <c r="AM723" s="38"/>
      <c r="AN723" s="38"/>
      <c r="AO723" s="38"/>
      <c r="AP723" s="38"/>
      <c r="AQ723" s="38"/>
      <c r="AR723" s="38"/>
      <c r="AS723" s="38"/>
      <c r="AT723" s="38"/>
      <c r="AU723" s="38"/>
      <c r="AV723" s="38"/>
      <c r="AW723" s="38"/>
      <c r="AX723" s="38"/>
      <c r="AY723" s="38"/>
      <c r="AZ723" s="38"/>
      <c r="BA723" s="38"/>
      <c r="BB723" s="38"/>
      <c r="BC723" s="38"/>
      <c r="BD723" s="38"/>
      <c r="BE723" s="38"/>
      <c r="BF723" s="38"/>
    </row>
    <row r="724" spans="10:58" s="173" customFormat="1" ht="12.75">
      <c r="J724" s="740"/>
      <c r="Q724" s="685"/>
      <c r="X724" s="406"/>
      <c r="Y724" s="685"/>
      <c r="AM724" s="38"/>
      <c r="AN724" s="38"/>
      <c r="AO724" s="38"/>
      <c r="AP724" s="38"/>
      <c r="AQ724" s="38"/>
      <c r="AR724" s="38"/>
      <c r="AS724" s="38"/>
      <c r="AT724" s="38"/>
      <c r="AU724" s="38"/>
      <c r="AV724" s="38"/>
      <c r="AW724" s="38"/>
      <c r="AX724" s="38"/>
      <c r="AY724" s="38"/>
      <c r="AZ724" s="38"/>
      <c r="BA724" s="38"/>
      <c r="BB724" s="38"/>
      <c r="BC724" s="38"/>
      <c r="BD724" s="38"/>
      <c r="BE724" s="38"/>
      <c r="BF724" s="38"/>
    </row>
    <row r="725" spans="10:58" s="173" customFormat="1" ht="12.75">
      <c r="J725" s="740"/>
      <c r="Q725" s="685"/>
      <c r="X725" s="406"/>
      <c r="Y725" s="685"/>
      <c r="AM725" s="38"/>
      <c r="AN725" s="38"/>
      <c r="AO725" s="38"/>
      <c r="AP725" s="38"/>
      <c r="AQ725" s="38"/>
      <c r="AR725" s="38"/>
      <c r="AS725" s="38"/>
      <c r="AT725" s="38"/>
      <c r="AU725" s="38"/>
      <c r="AV725" s="38"/>
      <c r="AW725" s="38"/>
      <c r="AX725" s="38"/>
      <c r="AY725" s="38"/>
      <c r="AZ725" s="38"/>
      <c r="BA725" s="38"/>
      <c r="BB725" s="38"/>
      <c r="BC725" s="38"/>
      <c r="BD725" s="38"/>
      <c r="BE725" s="38"/>
      <c r="BF725" s="38"/>
    </row>
    <row r="726" spans="10:58" s="173" customFormat="1" ht="12.75">
      <c r="J726" s="740"/>
      <c r="Q726" s="685"/>
      <c r="X726" s="406"/>
      <c r="Y726" s="685"/>
      <c r="AM726" s="38"/>
      <c r="AN726" s="38"/>
      <c r="AO726" s="38"/>
      <c r="AP726" s="38"/>
      <c r="AQ726" s="38"/>
      <c r="AR726" s="38"/>
      <c r="AS726" s="38"/>
      <c r="AT726" s="38"/>
      <c r="AU726" s="38"/>
      <c r="AV726" s="38"/>
      <c r="AW726" s="38"/>
      <c r="AX726" s="38"/>
      <c r="AY726" s="38"/>
      <c r="AZ726" s="38"/>
      <c r="BA726" s="38"/>
      <c r="BB726" s="38"/>
      <c r="BC726" s="38"/>
      <c r="BD726" s="38"/>
      <c r="BE726" s="38"/>
      <c r="BF726" s="38"/>
    </row>
    <row r="727" spans="10:58" s="173" customFormat="1" ht="12.75">
      <c r="J727" s="740"/>
      <c r="Q727" s="685"/>
      <c r="X727" s="406"/>
      <c r="Y727" s="685"/>
      <c r="AM727" s="38"/>
      <c r="AN727" s="38"/>
      <c r="AO727" s="38"/>
      <c r="AP727" s="38"/>
      <c r="AQ727" s="38"/>
      <c r="AR727" s="38"/>
      <c r="AS727" s="38"/>
      <c r="AT727" s="38"/>
      <c r="AU727" s="38"/>
      <c r="AV727" s="38"/>
      <c r="AW727" s="38"/>
      <c r="AX727" s="38"/>
      <c r="AY727" s="38"/>
      <c r="AZ727" s="38"/>
      <c r="BA727" s="38"/>
      <c r="BB727" s="38"/>
      <c r="BC727" s="38"/>
      <c r="BD727" s="38"/>
      <c r="BE727" s="38"/>
      <c r="BF727" s="38"/>
    </row>
    <row r="728" spans="10:58" s="173" customFormat="1" ht="12.75">
      <c r="J728" s="740"/>
      <c r="Q728" s="685"/>
      <c r="X728" s="406"/>
      <c r="Y728" s="685"/>
      <c r="AM728" s="38"/>
      <c r="AN728" s="38"/>
      <c r="AO728" s="38"/>
      <c r="AP728" s="38"/>
      <c r="AQ728" s="38"/>
      <c r="AR728" s="38"/>
      <c r="AS728" s="38"/>
      <c r="AT728" s="38"/>
      <c r="AU728" s="38"/>
      <c r="AV728" s="38"/>
      <c r="AW728" s="38"/>
      <c r="AX728" s="38"/>
      <c r="AY728" s="38"/>
      <c r="AZ728" s="38"/>
      <c r="BA728" s="38"/>
      <c r="BB728" s="38"/>
      <c r="BC728" s="38"/>
      <c r="BD728" s="38"/>
      <c r="BE728" s="38"/>
      <c r="BF728" s="38"/>
    </row>
    <row r="729" spans="10:58" s="173" customFormat="1" ht="12.75">
      <c r="J729" s="740"/>
      <c r="Q729" s="685"/>
      <c r="X729" s="406"/>
      <c r="Y729" s="685"/>
      <c r="AM729" s="38"/>
      <c r="AN729" s="38"/>
      <c r="AO729" s="38"/>
      <c r="AP729" s="38"/>
      <c r="AQ729" s="38"/>
      <c r="AR729" s="38"/>
      <c r="AS729" s="38"/>
      <c r="AT729" s="38"/>
      <c r="AU729" s="38"/>
      <c r="AV729" s="38"/>
      <c r="AW729" s="38"/>
      <c r="AX729" s="38"/>
      <c r="AY729" s="38"/>
      <c r="AZ729" s="38"/>
      <c r="BA729" s="38"/>
      <c r="BB729" s="38"/>
      <c r="BC729" s="38"/>
      <c r="BD729" s="38"/>
      <c r="BE729" s="38"/>
      <c r="BF729" s="38"/>
    </row>
    <row r="730" spans="10:58" s="173" customFormat="1" ht="12.75">
      <c r="J730" s="740"/>
      <c r="Q730" s="685"/>
      <c r="X730" s="406"/>
      <c r="Y730" s="685"/>
      <c r="AM730" s="38"/>
      <c r="AN730" s="38"/>
      <c r="AO730" s="38"/>
      <c r="AP730" s="38"/>
      <c r="AQ730" s="38"/>
      <c r="AR730" s="38"/>
      <c r="AS730" s="38"/>
      <c r="AT730" s="38"/>
      <c r="AU730" s="38"/>
      <c r="AV730" s="38"/>
      <c r="AW730" s="38"/>
      <c r="AX730" s="38"/>
      <c r="AY730" s="38"/>
      <c r="AZ730" s="38"/>
      <c r="BA730" s="38"/>
      <c r="BB730" s="38"/>
      <c r="BC730" s="38"/>
      <c r="BD730" s="38"/>
      <c r="BE730" s="38"/>
      <c r="BF730" s="38"/>
    </row>
    <row r="731" spans="10:58" s="173" customFormat="1" ht="12.75">
      <c r="J731" s="740"/>
      <c r="Q731" s="685"/>
      <c r="X731" s="406"/>
      <c r="Y731" s="685"/>
      <c r="AM731" s="38"/>
      <c r="AN731" s="38"/>
      <c r="AO731" s="38"/>
      <c r="AP731" s="38"/>
      <c r="AQ731" s="38"/>
      <c r="AR731" s="38"/>
      <c r="AS731" s="38"/>
      <c r="AT731" s="38"/>
      <c r="AU731" s="38"/>
      <c r="AV731" s="38"/>
      <c r="AW731" s="38"/>
      <c r="AX731" s="38"/>
      <c r="AY731" s="38"/>
      <c r="AZ731" s="38"/>
      <c r="BA731" s="38"/>
      <c r="BB731" s="38"/>
      <c r="BC731" s="38"/>
      <c r="BD731" s="38"/>
      <c r="BE731" s="38"/>
      <c r="BF731" s="38"/>
    </row>
    <row r="732" spans="10:58" s="173" customFormat="1" ht="12.75">
      <c r="J732" s="740"/>
      <c r="Q732" s="685"/>
      <c r="X732" s="406"/>
      <c r="Y732" s="685"/>
      <c r="AM732" s="38"/>
      <c r="AN732" s="38"/>
      <c r="AO732" s="38"/>
      <c r="AP732" s="38"/>
      <c r="AQ732" s="38"/>
      <c r="AR732" s="38"/>
      <c r="AS732" s="38"/>
      <c r="AT732" s="38"/>
      <c r="AU732" s="38"/>
      <c r="AV732" s="38"/>
      <c r="AW732" s="38"/>
      <c r="AX732" s="38"/>
      <c r="AY732" s="38"/>
      <c r="AZ732" s="38"/>
      <c r="BA732" s="38"/>
      <c r="BB732" s="38"/>
      <c r="BC732" s="38"/>
      <c r="BD732" s="38"/>
      <c r="BE732" s="38"/>
      <c r="BF732" s="38"/>
    </row>
    <row r="733" spans="10:58" s="173" customFormat="1" ht="12.75">
      <c r="J733" s="740"/>
      <c r="Q733" s="685"/>
      <c r="X733" s="406"/>
      <c r="Y733" s="685"/>
      <c r="AM733" s="38"/>
      <c r="AN733" s="38"/>
      <c r="AO733" s="38"/>
      <c r="AP733" s="38"/>
      <c r="AQ733" s="38"/>
      <c r="AR733" s="38"/>
      <c r="AS733" s="38"/>
      <c r="AT733" s="38"/>
      <c r="AU733" s="38"/>
      <c r="AV733" s="38"/>
      <c r="AW733" s="38"/>
      <c r="AX733" s="38"/>
      <c r="AY733" s="38"/>
      <c r="AZ733" s="38"/>
      <c r="BA733" s="38"/>
      <c r="BB733" s="38"/>
      <c r="BC733" s="38"/>
      <c r="BD733" s="38"/>
      <c r="BE733" s="38"/>
      <c r="BF733" s="38"/>
    </row>
    <row r="734" spans="10:58" s="173" customFormat="1" ht="12.75">
      <c r="J734" s="740"/>
      <c r="Q734" s="685"/>
      <c r="X734" s="406"/>
      <c r="Y734" s="685"/>
      <c r="AM734" s="38"/>
      <c r="AN734" s="38"/>
      <c r="AO734" s="38"/>
      <c r="AP734" s="38"/>
      <c r="AQ734" s="38"/>
      <c r="AR734" s="38"/>
      <c r="AS734" s="38"/>
      <c r="AT734" s="38"/>
      <c r="AU734" s="38"/>
      <c r="AV734" s="38"/>
      <c r="AW734" s="38"/>
      <c r="AX734" s="38"/>
      <c r="AY734" s="38"/>
      <c r="AZ734" s="38"/>
      <c r="BA734" s="38"/>
      <c r="BB734" s="38"/>
      <c r="BC734" s="38"/>
      <c r="BD734" s="38"/>
      <c r="BE734" s="38"/>
      <c r="BF734" s="38"/>
    </row>
    <row r="735" spans="10:58" s="173" customFormat="1" ht="12.75">
      <c r="J735" s="740"/>
      <c r="Q735" s="685"/>
      <c r="X735" s="406"/>
      <c r="Y735" s="685"/>
      <c r="AM735" s="38"/>
      <c r="AN735" s="38"/>
      <c r="AO735" s="38"/>
      <c r="AP735" s="38"/>
      <c r="AQ735" s="38"/>
      <c r="AR735" s="38"/>
      <c r="AS735" s="38"/>
      <c r="AT735" s="38"/>
      <c r="AU735" s="38"/>
      <c r="AV735" s="38"/>
      <c r="AW735" s="38"/>
      <c r="AX735" s="38"/>
      <c r="AY735" s="38"/>
      <c r="AZ735" s="38"/>
      <c r="BA735" s="38"/>
      <c r="BB735" s="38"/>
      <c r="BC735" s="38"/>
      <c r="BD735" s="38"/>
      <c r="BE735" s="38"/>
      <c r="BF735" s="38"/>
    </row>
    <row r="736" spans="10:58" s="173" customFormat="1" ht="12.75">
      <c r="J736" s="740"/>
      <c r="Q736" s="685"/>
      <c r="X736" s="406"/>
      <c r="Y736" s="685"/>
      <c r="AM736" s="38"/>
      <c r="AN736" s="38"/>
      <c r="AO736" s="38"/>
      <c r="AP736" s="38"/>
      <c r="AQ736" s="38"/>
      <c r="AR736" s="38"/>
      <c r="AS736" s="38"/>
      <c r="AT736" s="38"/>
      <c r="AU736" s="38"/>
      <c r="AV736" s="38"/>
      <c r="AW736" s="38"/>
      <c r="AX736" s="38"/>
      <c r="AY736" s="38"/>
      <c r="AZ736" s="38"/>
      <c r="BA736" s="38"/>
      <c r="BB736" s="38"/>
      <c r="BC736" s="38"/>
      <c r="BD736" s="38"/>
      <c r="BE736" s="38"/>
      <c r="BF736" s="38"/>
    </row>
    <row r="737" spans="10:58" s="173" customFormat="1" ht="12.75">
      <c r="J737" s="740"/>
      <c r="Q737" s="685"/>
      <c r="X737" s="406"/>
      <c r="Y737" s="685"/>
      <c r="AM737" s="38"/>
      <c r="AN737" s="38"/>
      <c r="AO737" s="38"/>
      <c r="AP737" s="38"/>
      <c r="AQ737" s="38"/>
      <c r="AR737" s="38"/>
      <c r="AS737" s="38"/>
      <c r="AT737" s="38"/>
      <c r="AU737" s="38"/>
      <c r="AV737" s="38"/>
      <c r="AW737" s="38"/>
      <c r="AX737" s="38"/>
      <c r="AY737" s="38"/>
      <c r="AZ737" s="38"/>
      <c r="BA737" s="38"/>
      <c r="BB737" s="38"/>
      <c r="BC737" s="38"/>
      <c r="BD737" s="38"/>
      <c r="BE737" s="38"/>
      <c r="BF737" s="38"/>
    </row>
    <row r="738" spans="10:58" s="173" customFormat="1" ht="12.75">
      <c r="J738" s="740"/>
      <c r="Q738" s="685"/>
      <c r="X738" s="406"/>
      <c r="Y738" s="685"/>
      <c r="AM738" s="38"/>
      <c r="AN738" s="38"/>
      <c r="AO738" s="38"/>
      <c r="AP738" s="38"/>
      <c r="AQ738" s="38"/>
      <c r="AR738" s="38"/>
      <c r="AS738" s="38"/>
      <c r="AT738" s="38"/>
      <c r="AU738" s="38"/>
      <c r="AV738" s="38"/>
      <c r="AW738" s="38"/>
      <c r="AX738" s="38"/>
      <c r="AY738" s="38"/>
      <c r="AZ738" s="38"/>
      <c r="BA738" s="38"/>
      <c r="BB738" s="38"/>
      <c r="BC738" s="38"/>
      <c r="BD738" s="38"/>
      <c r="BE738" s="38"/>
      <c r="BF738" s="38"/>
    </row>
    <row r="739" spans="10:58" s="173" customFormat="1" ht="12.75">
      <c r="J739" s="740"/>
      <c r="Q739" s="685"/>
      <c r="X739" s="406"/>
      <c r="Y739" s="685"/>
      <c r="AM739" s="38"/>
      <c r="AN739" s="38"/>
      <c r="AO739" s="38"/>
      <c r="AP739" s="38"/>
      <c r="AQ739" s="38"/>
      <c r="AR739" s="38"/>
      <c r="AS739" s="38"/>
      <c r="AT739" s="38"/>
      <c r="AU739" s="38"/>
      <c r="AV739" s="38"/>
      <c r="AW739" s="38"/>
      <c r="AX739" s="38"/>
      <c r="AY739" s="38"/>
      <c r="AZ739" s="38"/>
      <c r="BA739" s="38"/>
      <c r="BB739" s="38"/>
      <c r="BC739" s="38"/>
      <c r="BD739" s="38"/>
      <c r="BE739" s="38"/>
      <c r="BF739" s="38"/>
    </row>
    <row r="740" spans="1:23" ht="12.75">
      <c r="A740" s="173"/>
      <c r="B740" s="173"/>
      <c r="C740" s="173"/>
      <c r="D740" s="173"/>
      <c r="E740" s="173"/>
      <c r="F740" s="173"/>
      <c r="G740" s="173"/>
      <c r="H740" s="173"/>
      <c r="I740" s="173"/>
      <c r="J740" s="740"/>
      <c r="K740" s="173"/>
      <c r="L740" s="173"/>
      <c r="M740" s="173"/>
      <c r="N740" s="173"/>
      <c r="O740" s="173"/>
      <c r="P740" s="173"/>
      <c r="Q740" s="685"/>
      <c r="R740" s="173"/>
      <c r="S740" s="173"/>
      <c r="T740" s="173"/>
      <c r="U740" s="173"/>
      <c r="V740" s="173"/>
      <c r="W740" s="173"/>
    </row>
    <row r="741" spans="4:22" ht="12.75">
      <c r="D741" s="173"/>
      <c r="E741" s="173"/>
      <c r="F741" s="173"/>
      <c r="G741" s="173"/>
      <c r="H741" s="173"/>
      <c r="I741" s="173"/>
      <c r="J741" s="740"/>
      <c r="K741" s="173"/>
      <c r="L741" s="173"/>
      <c r="M741" s="173"/>
      <c r="N741" s="173"/>
      <c r="O741" s="173"/>
      <c r="P741" s="173"/>
      <c r="Q741" s="685"/>
      <c r="R741" s="173"/>
      <c r="S741" s="173"/>
      <c r="T741" s="173"/>
      <c r="U741" s="173"/>
      <c r="V741" s="173"/>
    </row>
    <row r="742" spans="4:22" ht="12.75">
      <c r="D742" s="173"/>
      <c r="E742" s="173"/>
      <c r="F742" s="173"/>
      <c r="G742" s="173"/>
      <c r="H742" s="173"/>
      <c r="I742" s="173"/>
      <c r="J742" s="740"/>
      <c r="K742" s="173"/>
      <c r="L742" s="173"/>
      <c r="M742" s="173"/>
      <c r="N742" s="173"/>
      <c r="O742" s="173"/>
      <c r="P742" s="173"/>
      <c r="Q742" s="685"/>
      <c r="R742" s="173"/>
      <c r="S742" s="173"/>
      <c r="T742" s="173"/>
      <c r="U742" s="173"/>
      <c r="V742" s="173"/>
    </row>
    <row r="743" spans="4:22" ht="12.75">
      <c r="D743" s="173"/>
      <c r="E743" s="173"/>
      <c r="F743" s="173"/>
      <c r="G743" s="173"/>
      <c r="H743" s="173"/>
      <c r="I743" s="173"/>
      <c r="J743" s="740"/>
      <c r="K743" s="173"/>
      <c r="L743" s="173"/>
      <c r="M743" s="173"/>
      <c r="N743" s="173"/>
      <c r="O743" s="173"/>
      <c r="P743" s="173"/>
      <c r="Q743" s="685"/>
      <c r="R743" s="173"/>
      <c r="S743" s="173"/>
      <c r="T743" s="173"/>
      <c r="U743" s="173"/>
      <c r="V743" s="173"/>
    </row>
    <row r="744" spans="4:22" ht="12.75">
      <c r="D744" s="173"/>
      <c r="E744" s="173"/>
      <c r="F744" s="173"/>
      <c r="G744" s="173"/>
      <c r="H744" s="173"/>
      <c r="I744" s="173"/>
      <c r="J744" s="740"/>
      <c r="K744" s="173"/>
      <c r="L744" s="173"/>
      <c r="M744" s="173"/>
      <c r="N744" s="173"/>
      <c r="O744" s="173"/>
      <c r="P744" s="173"/>
      <c r="Q744" s="685"/>
      <c r="R744" s="173"/>
      <c r="S744" s="173"/>
      <c r="T744" s="173"/>
      <c r="U744" s="173"/>
      <c r="V744" s="173"/>
    </row>
    <row r="745" spans="4:22" ht="12.75">
      <c r="D745" s="173"/>
      <c r="E745" s="173"/>
      <c r="F745" s="173"/>
      <c r="G745" s="173"/>
      <c r="H745" s="173"/>
      <c r="I745" s="173"/>
      <c r="J745" s="740"/>
      <c r="K745" s="173"/>
      <c r="L745" s="173"/>
      <c r="M745" s="173"/>
      <c r="N745" s="173"/>
      <c r="O745" s="173"/>
      <c r="P745" s="173"/>
      <c r="Q745" s="685"/>
      <c r="R745" s="173"/>
      <c r="S745" s="173"/>
      <c r="T745" s="173"/>
      <c r="U745" s="173"/>
      <c r="V745" s="173"/>
    </row>
    <row r="746" spans="4:22" ht="12.75">
      <c r="D746" s="173"/>
      <c r="E746" s="173"/>
      <c r="F746" s="173"/>
      <c r="G746" s="173"/>
      <c r="H746" s="173"/>
      <c r="I746" s="173"/>
      <c r="J746" s="740"/>
      <c r="K746" s="173"/>
      <c r="L746" s="173"/>
      <c r="M746" s="173"/>
      <c r="N746" s="173"/>
      <c r="O746" s="173"/>
      <c r="P746" s="173"/>
      <c r="Q746" s="685"/>
      <c r="R746" s="173"/>
      <c r="S746" s="173"/>
      <c r="T746" s="173"/>
      <c r="U746" s="173"/>
      <c r="V746" s="173"/>
    </row>
    <row r="747" spans="4:22" ht="12.75">
      <c r="D747" s="173"/>
      <c r="E747" s="173"/>
      <c r="F747" s="173"/>
      <c r="G747" s="173"/>
      <c r="H747" s="173"/>
      <c r="I747" s="173"/>
      <c r="J747" s="740"/>
      <c r="K747" s="173"/>
      <c r="L747" s="173"/>
      <c r="M747" s="173"/>
      <c r="N747" s="173"/>
      <c r="O747" s="173"/>
      <c r="P747" s="173"/>
      <c r="Q747" s="685"/>
      <c r="R747" s="173"/>
      <c r="S747" s="173"/>
      <c r="T747" s="173"/>
      <c r="U747" s="173"/>
      <c r="V747" s="173"/>
    </row>
    <row r="748" spans="4:22" ht="12.75">
      <c r="D748" s="173"/>
      <c r="E748" s="173"/>
      <c r="F748" s="173"/>
      <c r="G748" s="173"/>
      <c r="H748" s="173"/>
      <c r="I748" s="173"/>
      <c r="J748" s="740"/>
      <c r="K748" s="173"/>
      <c r="L748" s="173"/>
      <c r="M748" s="173"/>
      <c r="N748" s="173"/>
      <c r="O748" s="173"/>
      <c r="P748" s="173"/>
      <c r="Q748" s="685"/>
      <c r="R748" s="173"/>
      <c r="S748" s="173"/>
      <c r="T748" s="173"/>
      <c r="U748" s="173"/>
      <c r="V748" s="173"/>
    </row>
    <row r="749" spans="4:22" ht="12.75">
      <c r="D749" s="173"/>
      <c r="E749" s="173"/>
      <c r="F749" s="173"/>
      <c r="G749" s="173"/>
      <c r="H749" s="173"/>
      <c r="I749" s="173"/>
      <c r="J749" s="740"/>
      <c r="K749" s="173"/>
      <c r="L749" s="173"/>
      <c r="M749" s="173"/>
      <c r="N749" s="173"/>
      <c r="O749" s="173"/>
      <c r="P749" s="173"/>
      <c r="Q749" s="685"/>
      <c r="R749" s="173"/>
      <c r="S749" s="173"/>
      <c r="T749" s="173"/>
      <c r="U749" s="173"/>
      <c r="V749" s="173"/>
    </row>
    <row r="750" spans="4:22" ht="12.75">
      <c r="D750" s="173"/>
      <c r="E750" s="173"/>
      <c r="F750" s="173"/>
      <c r="G750" s="173"/>
      <c r="H750" s="173"/>
      <c r="I750" s="173"/>
      <c r="J750" s="740"/>
      <c r="K750" s="173"/>
      <c r="L750" s="173"/>
      <c r="M750" s="173"/>
      <c r="N750" s="173"/>
      <c r="O750" s="173"/>
      <c r="P750" s="173"/>
      <c r="Q750" s="685"/>
      <c r="R750" s="173"/>
      <c r="S750" s="173"/>
      <c r="T750" s="173"/>
      <c r="U750" s="173"/>
      <c r="V750" s="173"/>
    </row>
    <row r="751" spans="4:22" ht="12.75">
      <c r="D751" s="173"/>
      <c r="E751" s="173"/>
      <c r="F751" s="173"/>
      <c r="G751" s="173"/>
      <c r="H751" s="173"/>
      <c r="I751" s="173"/>
      <c r="J751" s="740"/>
      <c r="K751" s="173"/>
      <c r="L751" s="173"/>
      <c r="M751" s="173"/>
      <c r="N751" s="173"/>
      <c r="O751" s="173"/>
      <c r="P751" s="173"/>
      <c r="Q751" s="685"/>
      <c r="R751" s="173"/>
      <c r="S751" s="173"/>
      <c r="T751" s="173"/>
      <c r="U751" s="173"/>
      <c r="V751" s="173"/>
    </row>
    <row r="752" spans="4:22" ht="12.75">
      <c r="D752" s="173"/>
      <c r="E752" s="173"/>
      <c r="F752" s="173"/>
      <c r="G752" s="173"/>
      <c r="H752" s="173"/>
      <c r="I752" s="173"/>
      <c r="J752" s="740"/>
      <c r="K752" s="173"/>
      <c r="L752" s="173"/>
      <c r="M752" s="173"/>
      <c r="N752" s="173"/>
      <c r="O752" s="173"/>
      <c r="P752" s="173"/>
      <c r="Q752" s="685"/>
      <c r="R752" s="173"/>
      <c r="S752" s="173"/>
      <c r="T752" s="173"/>
      <c r="U752" s="173"/>
      <c r="V752" s="173"/>
    </row>
    <row r="753" spans="4:22" ht="12.75">
      <c r="D753" s="173"/>
      <c r="E753" s="173"/>
      <c r="F753" s="173"/>
      <c r="G753" s="173"/>
      <c r="H753" s="173"/>
      <c r="I753" s="173"/>
      <c r="J753" s="740"/>
      <c r="K753" s="173"/>
      <c r="L753" s="173"/>
      <c r="M753" s="173"/>
      <c r="N753" s="173"/>
      <c r="O753" s="173"/>
      <c r="P753" s="173"/>
      <c r="Q753" s="685"/>
      <c r="R753" s="173"/>
      <c r="S753" s="173"/>
      <c r="T753" s="173"/>
      <c r="U753" s="173"/>
      <c r="V753" s="173"/>
    </row>
    <row r="754" spans="4:22" ht="12.75">
      <c r="D754" s="173"/>
      <c r="E754" s="173"/>
      <c r="F754" s="173"/>
      <c r="G754" s="173"/>
      <c r="H754" s="173"/>
      <c r="I754" s="173"/>
      <c r="J754" s="740"/>
      <c r="K754" s="173"/>
      <c r="L754" s="173"/>
      <c r="M754" s="173"/>
      <c r="N754" s="173"/>
      <c r="O754" s="173"/>
      <c r="P754" s="173"/>
      <c r="Q754" s="685"/>
      <c r="R754" s="173"/>
      <c r="S754" s="173"/>
      <c r="T754" s="173"/>
      <c r="U754" s="173"/>
      <c r="V754" s="173"/>
    </row>
    <row r="755" spans="4:22" ht="12.75">
      <c r="D755" s="173"/>
      <c r="E755" s="173"/>
      <c r="F755" s="173"/>
      <c r="G755" s="173"/>
      <c r="H755" s="173"/>
      <c r="I755" s="173"/>
      <c r="J755" s="740"/>
      <c r="K755" s="173"/>
      <c r="L755" s="173"/>
      <c r="M755" s="173"/>
      <c r="N755" s="173"/>
      <c r="O755" s="173"/>
      <c r="P755" s="173"/>
      <c r="Q755" s="685"/>
      <c r="R755" s="173"/>
      <c r="S755" s="173"/>
      <c r="T755" s="173"/>
      <c r="U755" s="173"/>
      <c r="V755" s="173"/>
    </row>
    <row r="756" spans="4:22" ht="12.75">
      <c r="D756" s="173"/>
      <c r="E756" s="173"/>
      <c r="F756" s="173"/>
      <c r="G756" s="173"/>
      <c r="H756" s="173"/>
      <c r="I756" s="173"/>
      <c r="J756" s="740"/>
      <c r="K756" s="173"/>
      <c r="L756" s="173"/>
      <c r="M756" s="173"/>
      <c r="N756" s="173"/>
      <c r="O756" s="173"/>
      <c r="P756" s="173"/>
      <c r="Q756" s="685"/>
      <c r="R756" s="173"/>
      <c r="S756" s="173"/>
      <c r="T756" s="173"/>
      <c r="U756" s="173"/>
      <c r="V756" s="173"/>
    </row>
    <row r="757" spans="4:22" ht="12.75">
      <c r="D757" s="173"/>
      <c r="E757" s="173"/>
      <c r="F757" s="173"/>
      <c r="G757" s="173"/>
      <c r="H757" s="173"/>
      <c r="I757" s="173"/>
      <c r="J757" s="740"/>
      <c r="K757" s="173"/>
      <c r="L757" s="173"/>
      <c r="M757" s="173"/>
      <c r="N757" s="173"/>
      <c r="O757" s="173"/>
      <c r="P757" s="173"/>
      <c r="Q757" s="685"/>
      <c r="R757" s="173"/>
      <c r="S757" s="173"/>
      <c r="T757" s="173"/>
      <c r="U757" s="173"/>
      <c r="V757" s="173"/>
    </row>
    <row r="758" spans="4:22" ht="12.75">
      <c r="D758" s="173"/>
      <c r="E758" s="173"/>
      <c r="F758" s="173"/>
      <c r="G758" s="173"/>
      <c r="H758" s="173"/>
      <c r="I758" s="173"/>
      <c r="J758" s="740"/>
      <c r="K758" s="173"/>
      <c r="L758" s="173"/>
      <c r="M758" s="173"/>
      <c r="N758" s="173"/>
      <c r="O758" s="173"/>
      <c r="P758" s="173"/>
      <c r="Q758" s="685"/>
      <c r="R758" s="173"/>
      <c r="S758" s="173"/>
      <c r="T758" s="173"/>
      <c r="U758" s="173"/>
      <c r="V758" s="173"/>
    </row>
    <row r="759" spans="4:22" ht="12.75">
      <c r="D759" s="173"/>
      <c r="E759" s="173"/>
      <c r="F759" s="173"/>
      <c r="G759" s="173"/>
      <c r="H759" s="173"/>
      <c r="I759" s="173"/>
      <c r="J759" s="740"/>
      <c r="K759" s="173"/>
      <c r="L759" s="173"/>
      <c r="M759" s="173"/>
      <c r="N759" s="173"/>
      <c r="O759" s="173"/>
      <c r="P759" s="173"/>
      <c r="Q759" s="685"/>
      <c r="R759" s="173"/>
      <c r="S759" s="173"/>
      <c r="T759" s="173"/>
      <c r="U759" s="173"/>
      <c r="V759" s="173"/>
    </row>
    <row r="760" spans="4:22" ht="12.75">
      <c r="D760" s="173"/>
      <c r="E760" s="173"/>
      <c r="F760" s="173"/>
      <c r="G760" s="173"/>
      <c r="H760" s="173"/>
      <c r="I760" s="173"/>
      <c r="J760" s="740"/>
      <c r="K760" s="173"/>
      <c r="L760" s="173"/>
      <c r="M760" s="173"/>
      <c r="N760" s="173"/>
      <c r="O760" s="173"/>
      <c r="P760" s="173"/>
      <c r="Q760" s="685"/>
      <c r="R760" s="173"/>
      <c r="S760" s="173"/>
      <c r="T760" s="173"/>
      <c r="U760" s="173"/>
      <c r="V760" s="173"/>
    </row>
    <row r="761" spans="4:22" ht="12.75">
      <c r="D761" s="173"/>
      <c r="E761" s="173"/>
      <c r="F761" s="173"/>
      <c r="G761" s="173"/>
      <c r="H761" s="173"/>
      <c r="I761" s="173"/>
      <c r="J761" s="740"/>
      <c r="K761" s="173"/>
      <c r="L761" s="173"/>
      <c r="M761" s="173"/>
      <c r="N761" s="173"/>
      <c r="O761" s="173"/>
      <c r="P761" s="173"/>
      <c r="Q761" s="685"/>
      <c r="R761" s="173"/>
      <c r="S761" s="173"/>
      <c r="T761" s="173"/>
      <c r="U761" s="173"/>
      <c r="V761" s="173"/>
    </row>
    <row r="762" spans="4:22" ht="12.75">
      <c r="D762" s="173"/>
      <c r="E762" s="173"/>
      <c r="F762" s="173"/>
      <c r="G762" s="173"/>
      <c r="H762" s="173"/>
      <c r="I762" s="173"/>
      <c r="J762" s="740"/>
      <c r="K762" s="173"/>
      <c r="L762" s="173"/>
      <c r="M762" s="173"/>
      <c r="N762" s="173"/>
      <c r="O762" s="173"/>
      <c r="P762" s="173"/>
      <c r="Q762" s="685"/>
      <c r="R762" s="173"/>
      <c r="S762" s="173"/>
      <c r="T762" s="173"/>
      <c r="U762" s="173"/>
      <c r="V762" s="173"/>
    </row>
    <row r="763" spans="4:22" ht="12.75">
      <c r="D763" s="173"/>
      <c r="E763" s="173"/>
      <c r="F763" s="173"/>
      <c r="G763" s="173"/>
      <c r="H763" s="173"/>
      <c r="I763" s="173"/>
      <c r="J763" s="740"/>
      <c r="K763" s="173"/>
      <c r="L763" s="173"/>
      <c r="M763" s="173"/>
      <c r="N763" s="173"/>
      <c r="O763" s="173"/>
      <c r="P763" s="173"/>
      <c r="Q763" s="685"/>
      <c r="R763" s="173"/>
      <c r="S763" s="173"/>
      <c r="T763" s="173"/>
      <c r="U763" s="173"/>
      <c r="V763" s="173"/>
    </row>
    <row r="764" spans="4:22" ht="12.75">
      <c r="D764" s="173"/>
      <c r="E764" s="173"/>
      <c r="F764" s="173"/>
      <c r="G764" s="173"/>
      <c r="H764" s="173"/>
      <c r="I764" s="173"/>
      <c r="J764" s="740"/>
      <c r="K764" s="173"/>
      <c r="L764" s="173"/>
      <c r="M764" s="173"/>
      <c r="N764" s="173"/>
      <c r="O764" s="173"/>
      <c r="P764" s="173"/>
      <c r="Q764" s="685"/>
      <c r="R764" s="173"/>
      <c r="S764" s="173"/>
      <c r="T764" s="173"/>
      <c r="U764" s="173"/>
      <c r="V764" s="173"/>
    </row>
    <row r="765" spans="4:22" ht="12.75">
      <c r="D765" s="173"/>
      <c r="E765" s="173"/>
      <c r="F765" s="173"/>
      <c r="G765" s="173"/>
      <c r="H765" s="173"/>
      <c r="I765" s="173"/>
      <c r="J765" s="740"/>
      <c r="K765" s="173"/>
      <c r="L765" s="173"/>
      <c r="M765" s="173"/>
      <c r="N765" s="173"/>
      <c r="O765" s="173"/>
      <c r="P765" s="173"/>
      <c r="Q765" s="685"/>
      <c r="R765" s="173"/>
      <c r="S765" s="173"/>
      <c r="T765" s="173"/>
      <c r="U765" s="173"/>
      <c r="V765" s="173"/>
    </row>
    <row r="766" spans="4:22" ht="12.75">
      <c r="D766" s="173"/>
      <c r="E766" s="173"/>
      <c r="F766" s="173"/>
      <c r="G766" s="173"/>
      <c r="H766" s="173"/>
      <c r="I766" s="173"/>
      <c r="J766" s="740"/>
      <c r="K766" s="173"/>
      <c r="L766" s="173"/>
      <c r="M766" s="173"/>
      <c r="N766" s="173"/>
      <c r="O766" s="173"/>
      <c r="P766" s="173"/>
      <c r="Q766" s="685"/>
      <c r="R766" s="173"/>
      <c r="S766" s="173"/>
      <c r="T766" s="173"/>
      <c r="U766" s="173"/>
      <c r="V766" s="173"/>
    </row>
    <row r="767" spans="4:22" ht="12.75">
      <c r="D767" s="173"/>
      <c r="E767" s="173"/>
      <c r="F767" s="173"/>
      <c r="G767" s="173"/>
      <c r="H767" s="173"/>
      <c r="I767" s="173"/>
      <c r="J767" s="740"/>
      <c r="K767" s="173"/>
      <c r="L767" s="173"/>
      <c r="M767" s="173"/>
      <c r="N767" s="173"/>
      <c r="O767" s="173"/>
      <c r="P767" s="173"/>
      <c r="Q767" s="685"/>
      <c r="R767" s="173"/>
      <c r="S767" s="173"/>
      <c r="T767" s="173"/>
      <c r="U767" s="173"/>
      <c r="V767" s="173"/>
    </row>
    <row r="768" spans="4:22" ht="12.75">
      <c r="D768" s="173"/>
      <c r="E768" s="173"/>
      <c r="F768" s="173"/>
      <c r="G768" s="173"/>
      <c r="H768" s="173"/>
      <c r="I768" s="173"/>
      <c r="J768" s="740"/>
      <c r="K768" s="173"/>
      <c r="L768" s="173"/>
      <c r="M768" s="173"/>
      <c r="N768" s="173"/>
      <c r="O768" s="173"/>
      <c r="P768" s="173"/>
      <c r="Q768" s="685"/>
      <c r="R768" s="173"/>
      <c r="S768" s="173"/>
      <c r="T768" s="173"/>
      <c r="U768" s="173"/>
      <c r="V768" s="173"/>
    </row>
    <row r="769" spans="4:22" ht="12.75">
      <c r="D769" s="173"/>
      <c r="E769" s="173"/>
      <c r="F769" s="173"/>
      <c r="G769" s="173"/>
      <c r="H769" s="173"/>
      <c r="I769" s="173"/>
      <c r="J769" s="740"/>
      <c r="K769" s="173"/>
      <c r="L769" s="173"/>
      <c r="M769" s="173"/>
      <c r="N769" s="173"/>
      <c r="O769" s="173"/>
      <c r="P769" s="173"/>
      <c r="Q769" s="685"/>
      <c r="R769" s="173"/>
      <c r="S769" s="173"/>
      <c r="T769" s="173"/>
      <c r="U769" s="173"/>
      <c r="V769" s="173"/>
    </row>
    <row r="770" spans="4:22" ht="12.75">
      <c r="D770" s="173"/>
      <c r="E770" s="173"/>
      <c r="F770" s="173"/>
      <c r="G770" s="173"/>
      <c r="H770" s="173"/>
      <c r="I770" s="173"/>
      <c r="J770" s="740"/>
      <c r="K770" s="173"/>
      <c r="L770" s="173"/>
      <c r="M770" s="173"/>
      <c r="N770" s="173"/>
      <c r="O770" s="173"/>
      <c r="P770" s="173"/>
      <c r="Q770" s="685"/>
      <c r="R770" s="173"/>
      <c r="S770" s="173"/>
      <c r="T770" s="173"/>
      <c r="U770" s="173"/>
      <c r="V770" s="173"/>
    </row>
    <row r="771" spans="4:22" ht="12.75">
      <c r="D771" s="173"/>
      <c r="E771" s="173"/>
      <c r="F771" s="173"/>
      <c r="G771" s="173"/>
      <c r="H771" s="173"/>
      <c r="I771" s="173"/>
      <c r="J771" s="740"/>
      <c r="K771" s="173"/>
      <c r="L771" s="173"/>
      <c r="M771" s="173"/>
      <c r="N771" s="173"/>
      <c r="O771" s="173"/>
      <c r="P771" s="173"/>
      <c r="Q771" s="685"/>
      <c r="R771" s="173"/>
      <c r="S771" s="173"/>
      <c r="T771" s="173"/>
      <c r="U771" s="173"/>
      <c r="V771" s="173"/>
    </row>
    <row r="772" spans="4:22" ht="12.75">
      <c r="D772" s="173"/>
      <c r="E772" s="173"/>
      <c r="F772" s="173"/>
      <c r="G772" s="173"/>
      <c r="H772" s="173"/>
      <c r="I772" s="173"/>
      <c r="J772" s="740"/>
      <c r="K772" s="173"/>
      <c r="L772" s="173"/>
      <c r="M772" s="173"/>
      <c r="N772" s="173"/>
      <c r="O772" s="173"/>
      <c r="P772" s="173"/>
      <c r="Q772" s="685"/>
      <c r="R772" s="173"/>
      <c r="S772" s="173"/>
      <c r="T772" s="173"/>
      <c r="U772" s="173"/>
      <c r="V772" s="173"/>
    </row>
    <row r="773" spans="4:22" ht="12.75">
      <c r="D773" s="173"/>
      <c r="E773" s="173"/>
      <c r="F773" s="173"/>
      <c r="G773" s="173"/>
      <c r="H773" s="173"/>
      <c r="I773" s="173"/>
      <c r="J773" s="740"/>
      <c r="K773" s="173"/>
      <c r="L773" s="173"/>
      <c r="M773" s="173"/>
      <c r="N773" s="173"/>
      <c r="O773" s="173"/>
      <c r="P773" s="173"/>
      <c r="Q773" s="685"/>
      <c r="R773" s="173"/>
      <c r="S773" s="173"/>
      <c r="T773" s="173"/>
      <c r="U773" s="173"/>
      <c r="V773" s="173"/>
    </row>
    <row r="774" spans="4:22" ht="12.75">
      <c r="D774" s="173"/>
      <c r="E774" s="173"/>
      <c r="F774" s="173"/>
      <c r="G774" s="173"/>
      <c r="H774" s="173"/>
      <c r="I774" s="173"/>
      <c r="J774" s="740"/>
      <c r="K774" s="173"/>
      <c r="L774" s="173"/>
      <c r="M774" s="173"/>
      <c r="N774" s="173"/>
      <c r="O774" s="173"/>
      <c r="P774" s="173"/>
      <c r="Q774" s="685"/>
      <c r="R774" s="173"/>
      <c r="S774" s="173"/>
      <c r="T774" s="173"/>
      <c r="U774" s="173"/>
      <c r="V774" s="173"/>
    </row>
    <row r="775" spans="4:22" ht="12.75">
      <c r="D775" s="173"/>
      <c r="E775" s="173"/>
      <c r="F775" s="173"/>
      <c r="G775" s="173"/>
      <c r="H775" s="173"/>
      <c r="I775" s="173"/>
      <c r="J775" s="740"/>
      <c r="K775" s="173"/>
      <c r="L775" s="173"/>
      <c r="M775" s="173"/>
      <c r="N775" s="173"/>
      <c r="O775" s="173"/>
      <c r="P775" s="173"/>
      <c r="Q775" s="685"/>
      <c r="R775" s="173"/>
      <c r="S775" s="173"/>
      <c r="T775" s="173"/>
      <c r="U775" s="173"/>
      <c r="V775" s="173"/>
    </row>
    <row r="776" spans="4:22" ht="12.75">
      <c r="D776" s="173"/>
      <c r="E776" s="173"/>
      <c r="F776" s="173"/>
      <c r="G776" s="173"/>
      <c r="H776" s="173"/>
      <c r="I776" s="173"/>
      <c r="J776" s="740"/>
      <c r="K776" s="173"/>
      <c r="L776" s="173"/>
      <c r="M776" s="173"/>
      <c r="N776" s="173"/>
      <c r="O776" s="173"/>
      <c r="P776" s="173"/>
      <c r="Q776" s="685"/>
      <c r="R776" s="173"/>
      <c r="S776" s="173"/>
      <c r="T776" s="173"/>
      <c r="U776" s="173"/>
      <c r="V776" s="173"/>
    </row>
    <row r="777" spans="4:22" ht="12.75">
      <c r="D777" s="173"/>
      <c r="E777" s="173"/>
      <c r="F777" s="173"/>
      <c r="G777" s="173"/>
      <c r="H777" s="173"/>
      <c r="I777" s="173"/>
      <c r="J777" s="740"/>
      <c r="K777" s="173"/>
      <c r="L777" s="173"/>
      <c r="M777" s="173"/>
      <c r="N777" s="173"/>
      <c r="O777" s="173"/>
      <c r="P777" s="173"/>
      <c r="Q777" s="685"/>
      <c r="R777" s="173"/>
      <c r="S777" s="173"/>
      <c r="T777" s="173"/>
      <c r="U777" s="173"/>
      <c r="V777" s="173"/>
    </row>
    <row r="778" spans="4:22" ht="12.75">
      <c r="D778" s="173"/>
      <c r="E778" s="173"/>
      <c r="F778" s="173"/>
      <c r="G778" s="173"/>
      <c r="H778" s="173"/>
      <c r="I778" s="173"/>
      <c r="J778" s="740"/>
      <c r="K778" s="173"/>
      <c r="L778" s="173"/>
      <c r="M778" s="173"/>
      <c r="N778" s="173"/>
      <c r="O778" s="173"/>
      <c r="P778" s="173"/>
      <c r="Q778" s="685"/>
      <c r="R778" s="173"/>
      <c r="S778" s="173"/>
      <c r="T778" s="173"/>
      <c r="U778" s="173"/>
      <c r="V778" s="173"/>
    </row>
    <row r="779" spans="4:22" ht="12.75">
      <c r="D779" s="173"/>
      <c r="E779" s="173"/>
      <c r="F779" s="173"/>
      <c r="G779" s="173"/>
      <c r="H779" s="173"/>
      <c r="I779" s="173"/>
      <c r="J779" s="740"/>
      <c r="K779" s="173"/>
      <c r="L779" s="173"/>
      <c r="M779" s="173"/>
      <c r="N779" s="173"/>
      <c r="O779" s="173"/>
      <c r="P779" s="173"/>
      <c r="Q779" s="685"/>
      <c r="R779" s="173"/>
      <c r="S779" s="173"/>
      <c r="T779" s="173"/>
      <c r="U779" s="173"/>
      <c r="V779" s="173"/>
    </row>
    <row r="780" spans="4:22" ht="12.75">
      <c r="D780" s="173"/>
      <c r="E780" s="173"/>
      <c r="F780" s="173"/>
      <c r="G780" s="173"/>
      <c r="H780" s="173"/>
      <c r="I780" s="173"/>
      <c r="J780" s="740"/>
      <c r="K780" s="173"/>
      <c r="L780" s="173"/>
      <c r="M780" s="173"/>
      <c r="N780" s="173"/>
      <c r="O780" s="173"/>
      <c r="P780" s="173"/>
      <c r="Q780" s="685"/>
      <c r="R780" s="173"/>
      <c r="S780" s="173"/>
      <c r="T780" s="173"/>
      <c r="U780" s="173"/>
      <c r="V780" s="173"/>
    </row>
    <row r="781" spans="4:22" ht="12.75">
      <c r="D781" s="173"/>
      <c r="E781" s="173"/>
      <c r="F781" s="173"/>
      <c r="G781" s="173"/>
      <c r="H781" s="173"/>
      <c r="I781" s="173"/>
      <c r="J781" s="740"/>
      <c r="K781" s="173"/>
      <c r="L781" s="173"/>
      <c r="M781" s="173"/>
      <c r="N781" s="173"/>
      <c r="O781" s="173"/>
      <c r="P781" s="173"/>
      <c r="Q781" s="685"/>
      <c r="R781" s="173"/>
      <c r="S781" s="173"/>
      <c r="T781" s="173"/>
      <c r="U781" s="173"/>
      <c r="V781" s="173"/>
    </row>
    <row r="782" spans="4:22" ht="12.75">
      <c r="D782" s="173"/>
      <c r="E782" s="173"/>
      <c r="F782" s="173"/>
      <c r="G782" s="173"/>
      <c r="H782" s="173"/>
      <c r="I782" s="173"/>
      <c r="J782" s="740"/>
      <c r="K782" s="173"/>
      <c r="L782" s="173"/>
      <c r="M782" s="173"/>
      <c r="N782" s="173"/>
      <c r="O782" s="173"/>
      <c r="P782" s="173"/>
      <c r="Q782" s="685"/>
      <c r="R782" s="173"/>
      <c r="S782" s="173"/>
      <c r="T782" s="173"/>
      <c r="U782" s="173"/>
      <c r="V782" s="173"/>
    </row>
    <row r="783" spans="4:22" ht="12.75">
      <c r="D783" s="173"/>
      <c r="E783" s="173"/>
      <c r="F783" s="173"/>
      <c r="G783" s="173"/>
      <c r="H783" s="173"/>
      <c r="I783" s="173"/>
      <c r="J783" s="740"/>
      <c r="K783" s="173"/>
      <c r="L783" s="173"/>
      <c r="M783" s="173"/>
      <c r="N783" s="173"/>
      <c r="O783" s="173"/>
      <c r="P783" s="173"/>
      <c r="Q783" s="685"/>
      <c r="R783" s="173"/>
      <c r="S783" s="173"/>
      <c r="T783" s="173"/>
      <c r="U783" s="173"/>
      <c r="V783" s="173"/>
    </row>
    <row r="784" spans="4:22" ht="12.75">
      <c r="D784" s="173"/>
      <c r="E784" s="173"/>
      <c r="F784" s="173"/>
      <c r="G784" s="173"/>
      <c r="H784" s="173"/>
      <c r="I784" s="173"/>
      <c r="J784" s="740"/>
      <c r="K784" s="173"/>
      <c r="L784" s="173"/>
      <c r="M784" s="173"/>
      <c r="N784" s="173"/>
      <c r="O784" s="173"/>
      <c r="P784" s="173"/>
      <c r="Q784" s="685"/>
      <c r="R784" s="173"/>
      <c r="S784" s="173"/>
      <c r="T784" s="173"/>
      <c r="U784" s="173"/>
      <c r="V784" s="173"/>
    </row>
    <row r="785" spans="4:22" ht="12.75">
      <c r="D785" s="173"/>
      <c r="E785" s="173"/>
      <c r="F785" s="173"/>
      <c r="G785" s="173"/>
      <c r="H785" s="173"/>
      <c r="I785" s="173"/>
      <c r="J785" s="740"/>
      <c r="K785" s="173"/>
      <c r="L785" s="173"/>
      <c r="M785" s="173"/>
      <c r="N785" s="173"/>
      <c r="O785" s="173"/>
      <c r="P785" s="173"/>
      <c r="Q785" s="685"/>
      <c r="R785" s="173"/>
      <c r="S785" s="173"/>
      <c r="T785" s="173"/>
      <c r="U785" s="173"/>
      <c r="V785" s="173"/>
    </row>
    <row r="786" spans="4:22" ht="12.75">
      <c r="D786" s="173"/>
      <c r="E786" s="173"/>
      <c r="F786" s="173"/>
      <c r="G786" s="173"/>
      <c r="H786" s="173"/>
      <c r="I786" s="173"/>
      <c r="J786" s="740"/>
      <c r="K786" s="173"/>
      <c r="L786" s="173"/>
      <c r="M786" s="173"/>
      <c r="N786" s="173"/>
      <c r="O786" s="173"/>
      <c r="P786" s="173"/>
      <c r="Q786" s="685"/>
      <c r="R786" s="173"/>
      <c r="S786" s="173"/>
      <c r="T786" s="173"/>
      <c r="U786" s="173"/>
      <c r="V786" s="173"/>
    </row>
    <row r="787" spans="4:22" ht="12.75">
      <c r="D787" s="173"/>
      <c r="E787" s="173"/>
      <c r="F787" s="173"/>
      <c r="G787" s="173"/>
      <c r="H787" s="173"/>
      <c r="I787" s="173"/>
      <c r="J787" s="740"/>
      <c r="K787" s="173"/>
      <c r="L787" s="173"/>
      <c r="M787" s="173"/>
      <c r="N787" s="173"/>
      <c r="O787" s="173"/>
      <c r="P787" s="173"/>
      <c r="Q787" s="685"/>
      <c r="R787" s="173"/>
      <c r="S787" s="173"/>
      <c r="T787" s="173"/>
      <c r="U787" s="173"/>
      <c r="V787" s="173"/>
    </row>
    <row r="788" spans="4:22" ht="12.75">
      <c r="D788" s="173"/>
      <c r="E788" s="173"/>
      <c r="F788" s="173"/>
      <c r="G788" s="173"/>
      <c r="H788" s="173"/>
      <c r="I788" s="173"/>
      <c r="J788" s="740"/>
      <c r="K788" s="173"/>
      <c r="L788" s="173"/>
      <c r="M788" s="173"/>
      <c r="N788" s="173"/>
      <c r="O788" s="173"/>
      <c r="P788" s="173"/>
      <c r="Q788" s="685"/>
      <c r="R788" s="173"/>
      <c r="S788" s="173"/>
      <c r="T788" s="173"/>
      <c r="U788" s="173"/>
      <c r="V788" s="173"/>
    </row>
    <row r="789" spans="4:22" ht="12.75">
      <c r="D789" s="173"/>
      <c r="E789" s="173"/>
      <c r="F789" s="173"/>
      <c r="G789" s="173"/>
      <c r="H789" s="173"/>
      <c r="I789" s="173"/>
      <c r="J789" s="740"/>
      <c r="K789" s="173"/>
      <c r="L789" s="173"/>
      <c r="M789" s="173"/>
      <c r="N789" s="173"/>
      <c r="O789" s="173"/>
      <c r="P789" s="173"/>
      <c r="Q789" s="685"/>
      <c r="R789" s="173"/>
      <c r="S789" s="173"/>
      <c r="T789" s="173"/>
      <c r="U789" s="173"/>
      <c r="V789" s="173"/>
    </row>
    <row r="790" spans="4:22" ht="12.75">
      <c r="D790" s="173"/>
      <c r="E790" s="173"/>
      <c r="F790" s="173"/>
      <c r="G790" s="173"/>
      <c r="H790" s="173"/>
      <c r="I790" s="173"/>
      <c r="J790" s="740"/>
      <c r="K790" s="173"/>
      <c r="L790" s="173"/>
      <c r="M790" s="173"/>
      <c r="N790" s="173"/>
      <c r="O790" s="173"/>
      <c r="P790" s="173"/>
      <c r="Q790" s="685"/>
      <c r="R790" s="173"/>
      <c r="S790" s="173"/>
      <c r="T790" s="173"/>
      <c r="U790" s="173"/>
      <c r="V790" s="173"/>
    </row>
    <row r="791" spans="4:22" ht="12.75">
      <c r="D791" s="173"/>
      <c r="E791" s="173"/>
      <c r="F791" s="173"/>
      <c r="G791" s="173"/>
      <c r="H791" s="173"/>
      <c r="I791" s="173"/>
      <c r="J791" s="740"/>
      <c r="K791" s="173"/>
      <c r="L791" s="173"/>
      <c r="M791" s="173"/>
      <c r="N791" s="173"/>
      <c r="O791" s="173"/>
      <c r="P791" s="173"/>
      <c r="Q791" s="685"/>
      <c r="R791" s="173"/>
      <c r="S791" s="173"/>
      <c r="T791" s="173"/>
      <c r="U791" s="173"/>
      <c r="V791" s="173"/>
    </row>
    <row r="792" spans="4:22" ht="12.75">
      <c r="D792" s="173"/>
      <c r="E792" s="173"/>
      <c r="F792" s="173"/>
      <c r="G792" s="173"/>
      <c r="H792" s="173"/>
      <c r="I792" s="173"/>
      <c r="J792" s="740"/>
      <c r="K792" s="173"/>
      <c r="L792" s="173"/>
      <c r="M792" s="173"/>
      <c r="N792" s="173"/>
      <c r="O792" s="173"/>
      <c r="P792" s="173"/>
      <c r="Q792" s="685"/>
      <c r="R792" s="173"/>
      <c r="S792" s="173"/>
      <c r="T792" s="173"/>
      <c r="U792" s="173"/>
      <c r="V792" s="173"/>
    </row>
    <row r="793" spans="4:22" ht="12.75">
      <c r="D793" s="173"/>
      <c r="E793" s="173"/>
      <c r="F793" s="173"/>
      <c r="G793" s="173"/>
      <c r="H793" s="173"/>
      <c r="I793" s="173"/>
      <c r="J793" s="740"/>
      <c r="K793" s="173"/>
      <c r="L793" s="173"/>
      <c r="M793" s="173"/>
      <c r="N793" s="173"/>
      <c r="O793" s="173"/>
      <c r="P793" s="173"/>
      <c r="Q793" s="685"/>
      <c r="R793" s="173"/>
      <c r="S793" s="173"/>
      <c r="T793" s="173"/>
      <c r="U793" s="173"/>
      <c r="V793" s="173"/>
    </row>
    <row r="794" spans="4:22" ht="12.75">
      <c r="D794" s="173"/>
      <c r="E794" s="173"/>
      <c r="F794" s="173"/>
      <c r="G794" s="173"/>
      <c r="H794" s="173"/>
      <c r="I794" s="173"/>
      <c r="J794" s="740"/>
      <c r="K794" s="173"/>
      <c r="L794" s="173"/>
      <c r="M794" s="173"/>
      <c r="N794" s="173"/>
      <c r="O794" s="173"/>
      <c r="P794" s="173"/>
      <c r="Q794" s="685"/>
      <c r="R794" s="173"/>
      <c r="S794" s="173"/>
      <c r="T794" s="173"/>
      <c r="U794" s="173"/>
      <c r="V794" s="173"/>
    </row>
    <row r="795" spans="4:22" ht="12.75">
      <c r="D795" s="173"/>
      <c r="E795" s="173"/>
      <c r="F795" s="173"/>
      <c r="G795" s="173"/>
      <c r="H795" s="173"/>
      <c r="I795" s="173"/>
      <c r="J795" s="740"/>
      <c r="K795" s="173"/>
      <c r="L795" s="173"/>
      <c r="M795" s="173"/>
      <c r="N795" s="173"/>
      <c r="O795" s="173"/>
      <c r="P795" s="173"/>
      <c r="Q795" s="685"/>
      <c r="R795" s="173"/>
      <c r="S795" s="173"/>
      <c r="T795" s="173"/>
      <c r="U795" s="173"/>
      <c r="V795" s="173"/>
    </row>
    <row r="796" spans="4:22" ht="12.75">
      <c r="D796" s="173"/>
      <c r="E796" s="173"/>
      <c r="F796" s="173"/>
      <c r="G796" s="173"/>
      <c r="H796" s="173"/>
      <c r="I796" s="173"/>
      <c r="J796" s="740"/>
      <c r="K796" s="173"/>
      <c r="L796" s="173"/>
      <c r="M796" s="173"/>
      <c r="N796" s="173"/>
      <c r="O796" s="173"/>
      <c r="P796" s="173"/>
      <c r="Q796" s="685"/>
      <c r="R796" s="173"/>
      <c r="S796" s="173"/>
      <c r="T796" s="173"/>
      <c r="U796" s="173"/>
      <c r="V796" s="173"/>
    </row>
    <row r="797" spans="4:22" ht="12.75">
      <c r="D797" s="173"/>
      <c r="E797" s="173"/>
      <c r="F797" s="173"/>
      <c r="G797" s="173"/>
      <c r="H797" s="173"/>
      <c r="I797" s="173"/>
      <c r="J797" s="740"/>
      <c r="K797" s="173"/>
      <c r="L797" s="173"/>
      <c r="M797" s="173"/>
      <c r="N797" s="173"/>
      <c r="O797" s="173"/>
      <c r="P797" s="173"/>
      <c r="Q797" s="685"/>
      <c r="R797" s="173"/>
      <c r="S797" s="173"/>
      <c r="T797" s="173"/>
      <c r="U797" s="173"/>
      <c r="V797" s="173"/>
    </row>
    <row r="798" spans="4:22" ht="12.75">
      <c r="D798" s="173"/>
      <c r="E798" s="173"/>
      <c r="F798" s="173"/>
      <c r="G798" s="173"/>
      <c r="H798" s="173"/>
      <c r="I798" s="173"/>
      <c r="J798" s="740"/>
      <c r="K798" s="173"/>
      <c r="L798" s="173"/>
      <c r="M798" s="173"/>
      <c r="N798" s="173"/>
      <c r="O798" s="173"/>
      <c r="P798" s="173"/>
      <c r="Q798" s="685"/>
      <c r="R798" s="173"/>
      <c r="S798" s="173"/>
      <c r="T798" s="173"/>
      <c r="U798" s="173"/>
      <c r="V798" s="173"/>
    </row>
    <row r="799" spans="4:22" ht="12.75">
      <c r="D799" s="173"/>
      <c r="E799" s="173"/>
      <c r="F799" s="173"/>
      <c r="G799" s="173"/>
      <c r="H799" s="173"/>
      <c r="I799" s="173"/>
      <c r="J799" s="740"/>
      <c r="K799" s="173"/>
      <c r="L799" s="173"/>
      <c r="M799" s="173"/>
      <c r="N799" s="173"/>
      <c r="O799" s="173"/>
      <c r="P799" s="173"/>
      <c r="Q799" s="685"/>
      <c r="R799" s="173"/>
      <c r="S799" s="173"/>
      <c r="T799" s="173"/>
      <c r="U799" s="173"/>
      <c r="V799" s="173"/>
    </row>
    <row r="800" spans="4:22" ht="12.75">
      <c r="D800" s="173"/>
      <c r="E800" s="173"/>
      <c r="F800" s="173"/>
      <c r="G800" s="173"/>
      <c r="H800" s="173"/>
      <c r="I800" s="173"/>
      <c r="J800" s="740"/>
      <c r="K800" s="173"/>
      <c r="L800" s="173"/>
      <c r="M800" s="173"/>
      <c r="N800" s="173"/>
      <c r="O800" s="173"/>
      <c r="P800" s="173"/>
      <c r="Q800" s="685"/>
      <c r="R800" s="173"/>
      <c r="S800" s="173"/>
      <c r="T800" s="173"/>
      <c r="U800" s="173"/>
      <c r="V800" s="173"/>
    </row>
    <row r="801" spans="4:22" ht="12.75">
      <c r="D801" s="173"/>
      <c r="E801" s="173"/>
      <c r="F801" s="173"/>
      <c r="G801" s="173"/>
      <c r="H801" s="173"/>
      <c r="I801" s="173"/>
      <c r="J801" s="740"/>
      <c r="K801" s="173"/>
      <c r="L801" s="173"/>
      <c r="M801" s="173"/>
      <c r="N801" s="173"/>
      <c r="O801" s="173"/>
      <c r="P801" s="173"/>
      <c r="Q801" s="685"/>
      <c r="R801" s="173"/>
      <c r="S801" s="173"/>
      <c r="T801" s="173"/>
      <c r="U801" s="173"/>
      <c r="V801" s="173"/>
    </row>
    <row r="802" spans="4:22" ht="12.75">
      <c r="D802" s="173"/>
      <c r="E802" s="173"/>
      <c r="F802" s="173"/>
      <c r="G802" s="173"/>
      <c r="H802" s="173"/>
      <c r="I802" s="173"/>
      <c r="J802" s="740"/>
      <c r="K802" s="173"/>
      <c r="L802" s="173"/>
      <c r="M802" s="173"/>
      <c r="N802" s="173"/>
      <c r="O802" s="173"/>
      <c r="P802" s="173"/>
      <c r="Q802" s="685"/>
      <c r="R802" s="173"/>
      <c r="S802" s="173"/>
      <c r="T802" s="173"/>
      <c r="U802" s="173"/>
      <c r="V802" s="173"/>
    </row>
    <row r="803" spans="4:22" ht="12.75">
      <c r="D803" s="173"/>
      <c r="E803" s="173"/>
      <c r="F803" s="173"/>
      <c r="G803" s="173"/>
      <c r="H803" s="173"/>
      <c r="I803" s="173"/>
      <c r="J803" s="740"/>
      <c r="K803" s="173"/>
      <c r="L803" s="173"/>
      <c r="M803" s="173"/>
      <c r="N803" s="173"/>
      <c r="O803" s="173"/>
      <c r="P803" s="173"/>
      <c r="Q803" s="685"/>
      <c r="R803" s="173"/>
      <c r="S803" s="173"/>
      <c r="T803" s="173"/>
      <c r="U803" s="173"/>
      <c r="V803" s="173"/>
    </row>
    <row r="804" spans="4:22" ht="12.75">
      <c r="D804" s="173"/>
      <c r="E804" s="173"/>
      <c r="F804" s="173"/>
      <c r="G804" s="173"/>
      <c r="H804" s="173"/>
      <c r="I804" s="173"/>
      <c r="J804" s="740"/>
      <c r="K804" s="173"/>
      <c r="L804" s="173"/>
      <c r="M804" s="173"/>
      <c r="N804" s="173"/>
      <c r="O804" s="173"/>
      <c r="P804" s="173"/>
      <c r="Q804" s="685"/>
      <c r="R804" s="173"/>
      <c r="S804" s="173"/>
      <c r="T804" s="173"/>
      <c r="U804" s="173"/>
      <c r="V804" s="173"/>
    </row>
    <row r="805" spans="4:22" ht="12.75">
      <c r="D805" s="173"/>
      <c r="E805" s="173"/>
      <c r="F805" s="173"/>
      <c r="G805" s="173"/>
      <c r="H805" s="173"/>
      <c r="I805" s="173"/>
      <c r="J805" s="740"/>
      <c r="K805" s="173"/>
      <c r="L805" s="173"/>
      <c r="M805" s="173"/>
      <c r="N805" s="173"/>
      <c r="O805" s="173"/>
      <c r="P805" s="173"/>
      <c r="Q805" s="685"/>
      <c r="R805" s="173"/>
      <c r="S805" s="173"/>
      <c r="T805" s="173"/>
      <c r="U805" s="173"/>
      <c r="V805" s="173"/>
    </row>
    <row r="806" spans="4:22" ht="12.75">
      <c r="D806" s="173"/>
      <c r="E806" s="173"/>
      <c r="F806" s="173"/>
      <c r="G806" s="173"/>
      <c r="H806" s="173"/>
      <c r="I806" s="173"/>
      <c r="J806" s="740"/>
      <c r="K806" s="173"/>
      <c r="L806" s="173"/>
      <c r="M806" s="173"/>
      <c r="N806" s="173"/>
      <c r="O806" s="173"/>
      <c r="P806" s="173"/>
      <c r="Q806" s="685"/>
      <c r="R806" s="173"/>
      <c r="S806" s="173"/>
      <c r="T806" s="173"/>
      <c r="U806" s="173"/>
      <c r="V806" s="173"/>
    </row>
    <row r="807" spans="4:22" ht="12.75">
      <c r="D807" s="173"/>
      <c r="E807" s="173"/>
      <c r="F807" s="173"/>
      <c r="G807" s="173"/>
      <c r="H807" s="173"/>
      <c r="I807" s="173"/>
      <c r="J807" s="740"/>
      <c r="K807" s="173"/>
      <c r="L807" s="173"/>
      <c r="M807" s="173"/>
      <c r="N807" s="173"/>
      <c r="O807" s="173"/>
      <c r="P807" s="173"/>
      <c r="Q807" s="685"/>
      <c r="R807" s="173"/>
      <c r="S807" s="173"/>
      <c r="T807" s="173"/>
      <c r="U807" s="173"/>
      <c r="V807" s="173"/>
    </row>
    <row r="808" spans="4:22" ht="12.75">
      <c r="D808" s="173"/>
      <c r="E808" s="173"/>
      <c r="F808" s="173"/>
      <c r="G808" s="173"/>
      <c r="H808" s="173"/>
      <c r="I808" s="173"/>
      <c r="J808" s="740"/>
      <c r="K808" s="173"/>
      <c r="L808" s="173"/>
      <c r="M808" s="173"/>
      <c r="N808" s="173"/>
      <c r="O808" s="173"/>
      <c r="P808" s="173"/>
      <c r="Q808" s="685"/>
      <c r="R808" s="173"/>
      <c r="S808" s="173"/>
      <c r="T808" s="173"/>
      <c r="U808" s="173"/>
      <c r="V808" s="173"/>
    </row>
    <row r="809" spans="4:22" ht="12.75">
      <c r="D809" s="173"/>
      <c r="E809" s="173"/>
      <c r="F809" s="173"/>
      <c r="G809" s="173"/>
      <c r="H809" s="173"/>
      <c r="I809" s="173"/>
      <c r="J809" s="740"/>
      <c r="K809" s="173"/>
      <c r="L809" s="173"/>
      <c r="M809" s="173"/>
      <c r="N809" s="173"/>
      <c r="O809" s="173"/>
      <c r="P809" s="173"/>
      <c r="Q809" s="685"/>
      <c r="R809" s="173"/>
      <c r="S809" s="173"/>
      <c r="T809" s="173"/>
      <c r="U809" s="173"/>
      <c r="V809" s="173"/>
    </row>
    <row r="810" spans="4:22" ht="12.75">
      <c r="D810" s="173"/>
      <c r="E810" s="173"/>
      <c r="F810" s="173"/>
      <c r="G810" s="173"/>
      <c r="H810" s="173"/>
      <c r="I810" s="173"/>
      <c r="J810" s="740"/>
      <c r="K810" s="173"/>
      <c r="L810" s="173"/>
      <c r="M810" s="173"/>
      <c r="N810" s="173"/>
      <c r="O810" s="173"/>
      <c r="P810" s="173"/>
      <c r="Q810" s="685"/>
      <c r="R810" s="173"/>
      <c r="S810" s="173"/>
      <c r="T810" s="173"/>
      <c r="U810" s="173"/>
      <c r="V810" s="173"/>
    </row>
    <row r="811" spans="4:22" ht="12.75">
      <c r="D811" s="173"/>
      <c r="E811" s="173"/>
      <c r="F811" s="173"/>
      <c r="G811" s="173"/>
      <c r="H811" s="173"/>
      <c r="I811" s="173"/>
      <c r="J811" s="740"/>
      <c r="K811" s="173"/>
      <c r="L811" s="173"/>
      <c r="M811" s="173"/>
      <c r="N811" s="173"/>
      <c r="O811" s="173"/>
      <c r="P811" s="173"/>
      <c r="Q811" s="685"/>
      <c r="R811" s="173"/>
      <c r="S811" s="173"/>
      <c r="T811" s="173"/>
      <c r="U811" s="173"/>
      <c r="V811" s="173"/>
    </row>
    <row r="812" spans="4:22" ht="12.75">
      <c r="D812" s="173"/>
      <c r="E812" s="173"/>
      <c r="F812" s="173"/>
      <c r="G812" s="173"/>
      <c r="H812" s="173"/>
      <c r="I812" s="173"/>
      <c r="J812" s="740"/>
      <c r="K812" s="173"/>
      <c r="L812" s="173"/>
      <c r="M812" s="173"/>
      <c r="N812" s="173"/>
      <c r="O812" s="173"/>
      <c r="P812" s="173"/>
      <c r="Q812" s="685"/>
      <c r="R812" s="173"/>
      <c r="S812" s="173"/>
      <c r="T812" s="173"/>
      <c r="U812" s="173"/>
      <c r="V812" s="173"/>
    </row>
    <row r="813" spans="4:22" ht="12.75">
      <c r="D813" s="173"/>
      <c r="E813" s="173"/>
      <c r="F813" s="173"/>
      <c r="G813" s="173"/>
      <c r="H813" s="173"/>
      <c r="I813" s="173"/>
      <c r="J813" s="740"/>
      <c r="K813" s="173"/>
      <c r="L813" s="173"/>
      <c r="M813" s="173"/>
      <c r="N813" s="173"/>
      <c r="O813" s="173"/>
      <c r="P813" s="173"/>
      <c r="Q813" s="685"/>
      <c r="R813" s="173"/>
      <c r="S813" s="173"/>
      <c r="T813" s="173"/>
      <c r="U813" s="173"/>
      <c r="V813" s="173"/>
    </row>
    <row r="814" spans="4:22" ht="12.75">
      <c r="D814" s="173"/>
      <c r="E814" s="173"/>
      <c r="F814" s="173"/>
      <c r="G814" s="173"/>
      <c r="H814" s="173"/>
      <c r="I814" s="173"/>
      <c r="J814" s="740"/>
      <c r="K814" s="173"/>
      <c r="L814" s="173"/>
      <c r="M814" s="173"/>
      <c r="N814" s="173"/>
      <c r="O814" s="173"/>
      <c r="P814" s="173"/>
      <c r="Q814" s="685"/>
      <c r="R814" s="173"/>
      <c r="S814" s="173"/>
      <c r="T814" s="173"/>
      <c r="U814" s="173"/>
      <c r="V814" s="173"/>
    </row>
    <row r="815" spans="4:22" ht="12.75">
      <c r="D815" s="173"/>
      <c r="E815" s="173"/>
      <c r="F815" s="173"/>
      <c r="G815" s="173"/>
      <c r="H815" s="173"/>
      <c r="I815" s="173"/>
      <c r="J815" s="740"/>
      <c r="K815" s="173"/>
      <c r="L815" s="173"/>
      <c r="M815" s="173"/>
      <c r="N815" s="173"/>
      <c r="O815" s="173"/>
      <c r="P815" s="173"/>
      <c r="Q815" s="685"/>
      <c r="R815" s="173"/>
      <c r="S815" s="173"/>
      <c r="T815" s="173"/>
      <c r="U815" s="173"/>
      <c r="V815" s="173"/>
    </row>
    <row r="816" spans="4:22" ht="12.75">
      <c r="D816" s="173"/>
      <c r="E816" s="173"/>
      <c r="F816" s="173"/>
      <c r="G816" s="173"/>
      <c r="H816" s="173"/>
      <c r="I816" s="173"/>
      <c r="J816" s="740"/>
      <c r="K816" s="173"/>
      <c r="L816" s="173"/>
      <c r="M816" s="173"/>
      <c r="N816" s="173"/>
      <c r="O816" s="173"/>
      <c r="P816" s="173"/>
      <c r="Q816" s="685"/>
      <c r="R816" s="173"/>
      <c r="S816" s="173"/>
      <c r="T816" s="173"/>
      <c r="U816" s="173"/>
      <c r="V816" s="173"/>
    </row>
    <row r="817" spans="4:22" ht="12.75">
      <c r="D817" s="173"/>
      <c r="E817" s="173"/>
      <c r="F817" s="173"/>
      <c r="G817" s="173"/>
      <c r="H817" s="173"/>
      <c r="I817" s="173"/>
      <c r="J817" s="740"/>
      <c r="K817" s="173"/>
      <c r="L817" s="173"/>
      <c r="M817" s="173"/>
      <c r="N817" s="173"/>
      <c r="O817" s="173"/>
      <c r="P817" s="173"/>
      <c r="Q817" s="685"/>
      <c r="R817" s="173"/>
      <c r="S817" s="173"/>
      <c r="T817" s="173"/>
      <c r="U817" s="173"/>
      <c r="V817" s="173"/>
    </row>
    <row r="818" spans="4:22" ht="12.75">
      <c r="D818" s="173"/>
      <c r="E818" s="173"/>
      <c r="F818" s="173"/>
      <c r="G818" s="173"/>
      <c r="H818" s="173"/>
      <c r="I818" s="173"/>
      <c r="J818" s="740"/>
      <c r="K818" s="173"/>
      <c r="L818" s="173"/>
      <c r="M818" s="173"/>
      <c r="N818" s="173"/>
      <c r="O818" s="173"/>
      <c r="P818" s="173"/>
      <c r="Q818" s="685"/>
      <c r="R818" s="173"/>
      <c r="S818" s="173"/>
      <c r="T818" s="173"/>
      <c r="U818" s="173"/>
      <c r="V818" s="173"/>
    </row>
    <row r="819" spans="4:22" ht="12.75">
      <c r="D819" s="173"/>
      <c r="E819" s="173"/>
      <c r="F819" s="173"/>
      <c r="G819" s="173"/>
      <c r="H819" s="173"/>
      <c r="I819" s="173"/>
      <c r="J819" s="740"/>
      <c r="K819" s="173"/>
      <c r="L819" s="173"/>
      <c r="M819" s="173"/>
      <c r="N819" s="173"/>
      <c r="O819" s="173"/>
      <c r="P819" s="173"/>
      <c r="Q819" s="685"/>
      <c r="R819" s="173"/>
      <c r="S819" s="173"/>
      <c r="T819" s="173"/>
      <c r="U819" s="173"/>
      <c r="V819" s="173"/>
    </row>
    <row r="820" spans="4:22" ht="12.75">
      <c r="D820" s="173"/>
      <c r="E820" s="173"/>
      <c r="F820" s="173"/>
      <c r="G820" s="173"/>
      <c r="H820" s="173"/>
      <c r="I820" s="173"/>
      <c r="J820" s="740"/>
      <c r="K820" s="173"/>
      <c r="L820" s="173"/>
      <c r="M820" s="173"/>
      <c r="N820" s="173"/>
      <c r="O820" s="173"/>
      <c r="P820" s="173"/>
      <c r="Q820" s="685"/>
      <c r="R820" s="173"/>
      <c r="S820" s="173"/>
      <c r="T820" s="173"/>
      <c r="U820" s="173"/>
      <c r="V820" s="173"/>
    </row>
    <row r="821" spans="4:22" ht="12.75">
      <c r="D821" s="173"/>
      <c r="E821" s="173"/>
      <c r="F821" s="173"/>
      <c r="G821" s="173"/>
      <c r="H821" s="173"/>
      <c r="I821" s="173"/>
      <c r="J821" s="740"/>
      <c r="K821" s="173"/>
      <c r="L821" s="173"/>
      <c r="M821" s="173"/>
      <c r="N821" s="173"/>
      <c r="O821" s="173"/>
      <c r="P821" s="173"/>
      <c r="Q821" s="685"/>
      <c r="R821" s="173"/>
      <c r="S821" s="173"/>
      <c r="T821" s="173"/>
      <c r="U821" s="173"/>
      <c r="V821" s="173"/>
    </row>
    <row r="822" spans="4:22" ht="12.75">
      <c r="D822" s="173"/>
      <c r="E822" s="173"/>
      <c r="F822" s="173"/>
      <c r="G822" s="173"/>
      <c r="H822" s="173"/>
      <c r="I822" s="173"/>
      <c r="J822" s="740"/>
      <c r="K822" s="173"/>
      <c r="L822" s="173"/>
      <c r="M822" s="173"/>
      <c r="N822" s="173"/>
      <c r="O822" s="173"/>
      <c r="P822" s="173"/>
      <c r="Q822" s="685"/>
      <c r="R822" s="173"/>
      <c r="S822" s="173"/>
      <c r="T822" s="173"/>
      <c r="U822" s="173"/>
      <c r="V822" s="173"/>
    </row>
    <row r="823" spans="4:22" ht="12.75">
      <c r="D823" s="173"/>
      <c r="E823" s="173"/>
      <c r="F823" s="173"/>
      <c r="G823" s="173"/>
      <c r="H823" s="173"/>
      <c r="I823" s="173"/>
      <c r="J823" s="740"/>
      <c r="K823" s="173"/>
      <c r="L823" s="173"/>
      <c r="M823" s="173"/>
      <c r="N823" s="173"/>
      <c r="O823" s="173"/>
      <c r="P823" s="173"/>
      <c r="Q823" s="685"/>
      <c r="R823" s="173"/>
      <c r="S823" s="173"/>
      <c r="T823" s="173"/>
      <c r="U823" s="173"/>
      <c r="V823" s="173"/>
    </row>
    <row r="824" spans="4:22" ht="12.75">
      <c r="D824" s="173"/>
      <c r="E824" s="173"/>
      <c r="F824" s="173"/>
      <c r="G824" s="173"/>
      <c r="H824" s="173"/>
      <c r="I824" s="173"/>
      <c r="J824" s="740"/>
      <c r="K824" s="173"/>
      <c r="L824" s="173"/>
      <c r="M824" s="173"/>
      <c r="N824" s="173"/>
      <c r="O824" s="173"/>
      <c r="P824" s="173"/>
      <c r="Q824" s="685"/>
      <c r="R824" s="173"/>
      <c r="S824" s="173"/>
      <c r="T824" s="173"/>
      <c r="U824" s="173"/>
      <c r="V824" s="173"/>
    </row>
    <row r="825" spans="4:22" ht="12.75">
      <c r="D825" s="173"/>
      <c r="E825" s="173"/>
      <c r="F825" s="173"/>
      <c r="G825" s="173"/>
      <c r="H825" s="173"/>
      <c r="I825" s="173"/>
      <c r="J825" s="740"/>
      <c r="K825" s="173"/>
      <c r="L825" s="173"/>
      <c r="M825" s="173"/>
      <c r="N825" s="173"/>
      <c r="O825" s="173"/>
      <c r="P825" s="173"/>
      <c r="Q825" s="685"/>
      <c r="R825" s="173"/>
      <c r="S825" s="173"/>
      <c r="T825" s="173"/>
      <c r="U825" s="173"/>
      <c r="V825" s="173"/>
    </row>
    <row r="826" spans="4:22" ht="12.75">
      <c r="D826" s="173"/>
      <c r="E826" s="173"/>
      <c r="F826" s="173"/>
      <c r="G826" s="173"/>
      <c r="H826" s="173"/>
      <c r="I826" s="173"/>
      <c r="J826" s="740"/>
      <c r="K826" s="173"/>
      <c r="L826" s="173"/>
      <c r="M826" s="173"/>
      <c r="N826" s="173"/>
      <c r="O826" s="173"/>
      <c r="P826" s="173"/>
      <c r="Q826" s="685"/>
      <c r="R826" s="173"/>
      <c r="S826" s="173"/>
      <c r="T826" s="173"/>
      <c r="U826" s="173"/>
      <c r="V826" s="173"/>
    </row>
    <row r="827" spans="4:22" ht="12.75">
      <c r="D827" s="173"/>
      <c r="E827" s="173"/>
      <c r="F827" s="173"/>
      <c r="G827" s="173"/>
      <c r="H827" s="173"/>
      <c r="I827" s="173"/>
      <c r="J827" s="740"/>
      <c r="K827" s="173"/>
      <c r="L827" s="173"/>
      <c r="M827" s="173"/>
      <c r="N827" s="173"/>
      <c r="O827" s="173"/>
      <c r="P827" s="173"/>
      <c r="Q827" s="685"/>
      <c r="R827" s="173"/>
      <c r="S827" s="173"/>
      <c r="T827" s="173"/>
      <c r="U827" s="173"/>
      <c r="V827" s="173"/>
    </row>
    <row r="828" spans="4:22" ht="12.75">
      <c r="D828" s="173"/>
      <c r="E828" s="173"/>
      <c r="F828" s="173"/>
      <c r="G828" s="173"/>
      <c r="H828" s="173"/>
      <c r="I828" s="173"/>
      <c r="J828" s="740"/>
      <c r="K828" s="173"/>
      <c r="L828" s="173"/>
      <c r="M828" s="173"/>
      <c r="N828" s="173"/>
      <c r="O828" s="173"/>
      <c r="P828" s="173"/>
      <c r="Q828" s="685"/>
      <c r="R828" s="173"/>
      <c r="S828" s="173"/>
      <c r="T828" s="173"/>
      <c r="U828" s="173"/>
      <c r="V828" s="173"/>
    </row>
    <row r="829" spans="4:22" ht="12.75">
      <c r="D829" s="173"/>
      <c r="E829" s="173"/>
      <c r="F829" s="173"/>
      <c r="G829" s="173"/>
      <c r="H829" s="173"/>
      <c r="I829" s="173"/>
      <c r="J829" s="740"/>
      <c r="K829" s="173"/>
      <c r="L829" s="173"/>
      <c r="M829" s="173"/>
      <c r="N829" s="173"/>
      <c r="O829" s="173"/>
      <c r="P829" s="173"/>
      <c r="Q829" s="685"/>
      <c r="R829" s="173"/>
      <c r="S829" s="173"/>
      <c r="T829" s="173"/>
      <c r="U829" s="173"/>
      <c r="V829" s="173"/>
    </row>
    <row r="830" spans="4:22" ht="12.75">
      <c r="D830" s="173"/>
      <c r="E830" s="173"/>
      <c r="F830" s="173"/>
      <c r="G830" s="173"/>
      <c r="H830" s="173"/>
      <c r="I830" s="173"/>
      <c r="J830" s="740"/>
      <c r="K830" s="173"/>
      <c r="L830" s="173"/>
      <c r="M830" s="173"/>
      <c r="N830" s="173"/>
      <c r="O830" s="173"/>
      <c r="P830" s="173"/>
      <c r="Q830" s="685"/>
      <c r="R830" s="173"/>
      <c r="S830" s="173"/>
      <c r="T830" s="173"/>
      <c r="U830" s="173"/>
      <c r="V830" s="173"/>
    </row>
    <row r="831" spans="4:22" ht="12.75">
      <c r="D831" s="173"/>
      <c r="E831" s="173"/>
      <c r="F831" s="173"/>
      <c r="G831" s="173"/>
      <c r="H831" s="173"/>
      <c r="I831" s="173"/>
      <c r="J831" s="740"/>
      <c r="K831" s="173"/>
      <c r="L831" s="173"/>
      <c r="M831" s="173"/>
      <c r="N831" s="173"/>
      <c r="O831" s="173"/>
      <c r="P831" s="173"/>
      <c r="Q831" s="685"/>
      <c r="R831" s="173"/>
      <c r="S831" s="173"/>
      <c r="T831" s="173"/>
      <c r="U831" s="173"/>
      <c r="V831" s="173"/>
    </row>
    <row r="832" spans="4:22" ht="12.75">
      <c r="D832" s="173"/>
      <c r="E832" s="173"/>
      <c r="F832" s="173"/>
      <c r="G832" s="173"/>
      <c r="H832" s="173"/>
      <c r="I832" s="173"/>
      <c r="J832" s="740"/>
      <c r="K832" s="173"/>
      <c r="L832" s="173"/>
      <c r="M832" s="173"/>
      <c r="N832" s="173"/>
      <c r="O832" s="173"/>
      <c r="P832" s="173"/>
      <c r="Q832" s="685"/>
      <c r="R832" s="173"/>
      <c r="S832" s="173"/>
      <c r="T832" s="173"/>
      <c r="U832" s="173"/>
      <c r="V832" s="173"/>
    </row>
    <row r="833" spans="4:22" ht="12.75">
      <c r="D833" s="173"/>
      <c r="E833" s="173"/>
      <c r="F833" s="173"/>
      <c r="G833" s="173"/>
      <c r="H833" s="173"/>
      <c r="I833" s="173"/>
      <c r="J833" s="740"/>
      <c r="K833" s="173"/>
      <c r="L833" s="173"/>
      <c r="M833" s="173"/>
      <c r="N833" s="173"/>
      <c r="O833" s="173"/>
      <c r="P833" s="173"/>
      <c r="Q833" s="685"/>
      <c r="R833" s="173"/>
      <c r="S833" s="173"/>
      <c r="T833" s="173"/>
      <c r="U833" s="173"/>
      <c r="V833" s="173"/>
    </row>
    <row r="834" spans="4:22" ht="12.75">
      <c r="D834" s="173"/>
      <c r="E834" s="173"/>
      <c r="F834" s="173"/>
      <c r="G834" s="173"/>
      <c r="H834" s="173"/>
      <c r="I834" s="173"/>
      <c r="J834" s="740"/>
      <c r="K834" s="173"/>
      <c r="L834" s="173"/>
      <c r="M834" s="173"/>
      <c r="N834" s="173"/>
      <c r="O834" s="173"/>
      <c r="P834" s="173"/>
      <c r="Q834" s="685"/>
      <c r="R834" s="173"/>
      <c r="S834" s="173"/>
      <c r="T834" s="173"/>
      <c r="U834" s="173"/>
      <c r="V834" s="173"/>
    </row>
    <row r="835" spans="4:22" ht="12.75">
      <c r="D835" s="173"/>
      <c r="E835" s="173"/>
      <c r="F835" s="173"/>
      <c r="G835" s="173"/>
      <c r="H835" s="173"/>
      <c r="I835" s="173"/>
      <c r="J835" s="740"/>
      <c r="K835" s="173"/>
      <c r="L835" s="173"/>
      <c r="M835" s="173"/>
      <c r="N835" s="173"/>
      <c r="O835" s="173"/>
      <c r="P835" s="173"/>
      <c r="Q835" s="685"/>
      <c r="R835" s="173"/>
      <c r="S835" s="173"/>
      <c r="T835" s="173"/>
      <c r="U835" s="173"/>
      <c r="V835" s="173"/>
    </row>
    <row r="836" spans="4:22" ht="12.75">
      <c r="D836" s="173"/>
      <c r="E836" s="173"/>
      <c r="F836" s="173"/>
      <c r="G836" s="173"/>
      <c r="H836" s="173"/>
      <c r="I836" s="173"/>
      <c r="J836" s="740"/>
      <c r="K836" s="173"/>
      <c r="L836" s="173"/>
      <c r="M836" s="173"/>
      <c r="N836" s="173"/>
      <c r="O836" s="173"/>
      <c r="P836" s="173"/>
      <c r="Q836" s="685"/>
      <c r="R836" s="173"/>
      <c r="S836" s="173"/>
      <c r="T836" s="173"/>
      <c r="U836" s="173"/>
      <c r="V836" s="173"/>
    </row>
    <row r="837" spans="4:22" ht="12.75">
      <c r="D837" s="173"/>
      <c r="E837" s="173"/>
      <c r="F837" s="173"/>
      <c r="G837" s="173"/>
      <c r="H837" s="173"/>
      <c r="I837" s="173"/>
      <c r="J837" s="740"/>
      <c r="K837" s="173"/>
      <c r="L837" s="173"/>
      <c r="M837" s="173"/>
      <c r="N837" s="173"/>
      <c r="O837" s="173"/>
      <c r="P837" s="173"/>
      <c r="Q837" s="685"/>
      <c r="R837" s="173"/>
      <c r="S837" s="173"/>
      <c r="T837" s="173"/>
      <c r="U837" s="173"/>
      <c r="V837" s="173"/>
    </row>
    <row r="838" spans="4:22" ht="12.75">
      <c r="D838" s="173"/>
      <c r="E838" s="173"/>
      <c r="F838" s="173"/>
      <c r="G838" s="173"/>
      <c r="H838" s="173"/>
      <c r="I838" s="173"/>
      <c r="J838" s="740"/>
      <c r="K838" s="173"/>
      <c r="L838" s="173"/>
      <c r="M838" s="173"/>
      <c r="N838" s="173"/>
      <c r="O838" s="173"/>
      <c r="P838" s="173"/>
      <c r="Q838" s="685"/>
      <c r="R838" s="173"/>
      <c r="S838" s="173"/>
      <c r="T838" s="173"/>
      <c r="U838" s="173"/>
      <c r="V838" s="173"/>
    </row>
    <row r="839" spans="4:22" ht="12.75">
      <c r="D839" s="173"/>
      <c r="E839" s="173"/>
      <c r="F839" s="173"/>
      <c r="G839" s="173"/>
      <c r="H839" s="173"/>
      <c r="I839" s="173"/>
      <c r="J839" s="740"/>
      <c r="K839" s="173"/>
      <c r="L839" s="173"/>
      <c r="M839" s="173"/>
      <c r="N839" s="173"/>
      <c r="O839" s="173"/>
      <c r="P839" s="173"/>
      <c r="Q839" s="685"/>
      <c r="R839" s="173"/>
      <c r="S839" s="173"/>
      <c r="T839" s="173"/>
      <c r="U839" s="173"/>
      <c r="V839" s="173"/>
    </row>
    <row r="840" spans="4:22" ht="12.75">
      <c r="D840" s="173"/>
      <c r="E840" s="173"/>
      <c r="F840" s="173"/>
      <c r="G840" s="173"/>
      <c r="H840" s="173"/>
      <c r="I840" s="173"/>
      <c r="J840" s="740"/>
      <c r="K840" s="173"/>
      <c r="L840" s="173"/>
      <c r="M840" s="173"/>
      <c r="N840" s="173"/>
      <c r="O840" s="173"/>
      <c r="P840" s="173"/>
      <c r="Q840" s="685"/>
      <c r="R840" s="173"/>
      <c r="S840" s="173"/>
      <c r="T840" s="173"/>
      <c r="U840" s="173"/>
      <c r="V840" s="173"/>
    </row>
    <row r="841" spans="4:22" ht="12.75">
      <c r="D841" s="173"/>
      <c r="E841" s="173"/>
      <c r="F841" s="173"/>
      <c r="G841" s="173"/>
      <c r="H841" s="173"/>
      <c r="I841" s="173"/>
      <c r="J841" s="740"/>
      <c r="K841" s="173"/>
      <c r="L841" s="173"/>
      <c r="M841" s="173"/>
      <c r="N841" s="173"/>
      <c r="O841" s="173"/>
      <c r="P841" s="173"/>
      <c r="Q841" s="685"/>
      <c r="R841" s="173"/>
      <c r="S841" s="173"/>
      <c r="T841" s="173"/>
      <c r="U841" s="173"/>
      <c r="V841" s="173"/>
    </row>
    <row r="842" spans="4:22" ht="12.75">
      <c r="D842" s="173"/>
      <c r="E842" s="173"/>
      <c r="F842" s="173"/>
      <c r="G842" s="173"/>
      <c r="H842" s="173"/>
      <c r="I842" s="173"/>
      <c r="J842" s="740"/>
      <c r="K842" s="173"/>
      <c r="L842" s="173"/>
      <c r="M842" s="173"/>
      <c r="N842" s="173"/>
      <c r="O842" s="173"/>
      <c r="P842" s="173"/>
      <c r="Q842" s="685"/>
      <c r="R842" s="173"/>
      <c r="S842" s="173"/>
      <c r="T842" s="173"/>
      <c r="U842" s="173"/>
      <c r="V842" s="173"/>
    </row>
    <row r="843" spans="4:22" ht="12.75">
      <c r="D843" s="173"/>
      <c r="E843" s="173"/>
      <c r="F843" s="173"/>
      <c r="G843" s="173"/>
      <c r="H843" s="173"/>
      <c r="I843" s="173"/>
      <c r="J843" s="740"/>
      <c r="K843" s="173"/>
      <c r="L843" s="173"/>
      <c r="M843" s="173"/>
      <c r="N843" s="173"/>
      <c r="O843" s="173"/>
      <c r="P843" s="173"/>
      <c r="Q843" s="685"/>
      <c r="R843" s="173"/>
      <c r="S843" s="173"/>
      <c r="T843" s="173"/>
      <c r="U843" s="173"/>
      <c r="V843" s="173"/>
    </row>
    <row r="844" spans="4:22" ht="12.75">
      <c r="D844" s="173"/>
      <c r="E844" s="173"/>
      <c r="F844" s="173"/>
      <c r="G844" s="173"/>
      <c r="H844" s="173"/>
      <c r="I844" s="173"/>
      <c r="J844" s="740"/>
      <c r="K844" s="173"/>
      <c r="L844" s="173"/>
      <c r="M844" s="173"/>
      <c r="N844" s="173"/>
      <c r="O844" s="173"/>
      <c r="P844" s="173"/>
      <c r="Q844" s="685"/>
      <c r="R844" s="173"/>
      <c r="S844" s="173"/>
      <c r="T844" s="173"/>
      <c r="U844" s="173"/>
      <c r="V844" s="173"/>
    </row>
    <row r="845" spans="4:22" ht="12.75">
      <c r="D845" s="173"/>
      <c r="E845" s="173"/>
      <c r="F845" s="173"/>
      <c r="G845" s="173"/>
      <c r="H845" s="173"/>
      <c r="I845" s="173"/>
      <c r="J845" s="740"/>
      <c r="K845" s="173"/>
      <c r="L845" s="173"/>
      <c r="M845" s="173"/>
      <c r="N845" s="173"/>
      <c r="O845" s="173"/>
      <c r="P845" s="173"/>
      <c r="Q845" s="685"/>
      <c r="R845" s="173"/>
      <c r="S845" s="173"/>
      <c r="T845" s="173"/>
      <c r="U845" s="173"/>
      <c r="V845" s="173"/>
    </row>
    <row r="846" spans="4:22" ht="12.75">
      <c r="D846" s="173"/>
      <c r="E846" s="173"/>
      <c r="F846" s="173"/>
      <c r="G846" s="173"/>
      <c r="H846" s="173"/>
      <c r="I846" s="173"/>
      <c r="J846" s="740"/>
      <c r="K846" s="173"/>
      <c r="L846" s="173"/>
      <c r="M846" s="173"/>
      <c r="N846" s="173"/>
      <c r="O846" s="173"/>
      <c r="P846" s="173"/>
      <c r="Q846" s="685"/>
      <c r="R846" s="173"/>
      <c r="S846" s="173"/>
      <c r="T846" s="173"/>
      <c r="U846" s="173"/>
      <c r="V846" s="173"/>
    </row>
    <row r="847" spans="4:22" ht="12.75">
      <c r="D847" s="173"/>
      <c r="E847" s="173"/>
      <c r="F847" s="173"/>
      <c r="G847" s="173"/>
      <c r="H847" s="173"/>
      <c r="I847" s="173"/>
      <c r="J847" s="740"/>
      <c r="K847" s="173"/>
      <c r="L847" s="173"/>
      <c r="M847" s="173"/>
      <c r="N847" s="173"/>
      <c r="O847" s="173"/>
      <c r="P847" s="173"/>
      <c r="Q847" s="685"/>
      <c r="R847" s="173"/>
      <c r="S847" s="173"/>
      <c r="T847" s="173"/>
      <c r="U847" s="173"/>
      <c r="V847" s="173"/>
    </row>
    <row r="848" spans="4:22" ht="12.75">
      <c r="D848" s="173"/>
      <c r="E848" s="173"/>
      <c r="F848" s="173"/>
      <c r="G848" s="173"/>
      <c r="H848" s="173"/>
      <c r="I848" s="173"/>
      <c r="J848" s="740"/>
      <c r="K848" s="173"/>
      <c r="L848" s="173"/>
      <c r="M848" s="173"/>
      <c r="N848" s="173"/>
      <c r="O848" s="173"/>
      <c r="P848" s="173"/>
      <c r="Q848" s="685"/>
      <c r="R848" s="173"/>
      <c r="S848" s="173"/>
      <c r="T848" s="173"/>
      <c r="U848" s="173"/>
      <c r="V848" s="173"/>
    </row>
    <row r="849" spans="4:22" ht="12.75">
      <c r="D849" s="173"/>
      <c r="E849" s="173"/>
      <c r="F849" s="173"/>
      <c r="G849" s="173"/>
      <c r="H849" s="173"/>
      <c r="I849" s="173"/>
      <c r="J849" s="740"/>
      <c r="K849" s="173"/>
      <c r="L849" s="173"/>
      <c r="M849" s="173"/>
      <c r="N849" s="173"/>
      <c r="O849" s="173"/>
      <c r="P849" s="173"/>
      <c r="Q849" s="685"/>
      <c r="R849" s="173"/>
      <c r="S849" s="173"/>
      <c r="T849" s="173"/>
      <c r="U849" s="173"/>
      <c r="V849" s="173"/>
    </row>
    <row r="850" spans="4:22" ht="12.75">
      <c r="D850" s="173"/>
      <c r="E850" s="173"/>
      <c r="F850" s="173"/>
      <c r="G850" s="173"/>
      <c r="H850" s="173"/>
      <c r="I850" s="173"/>
      <c r="J850" s="740"/>
      <c r="K850" s="173"/>
      <c r="L850" s="173"/>
      <c r="M850" s="173"/>
      <c r="N850" s="173"/>
      <c r="O850" s="173"/>
      <c r="P850" s="173"/>
      <c r="Q850" s="685"/>
      <c r="R850" s="173"/>
      <c r="S850" s="173"/>
      <c r="T850" s="173"/>
      <c r="U850" s="173"/>
      <c r="V850" s="173"/>
    </row>
    <row r="851" spans="4:22" ht="12.75">
      <c r="D851" s="173"/>
      <c r="E851" s="173"/>
      <c r="F851" s="173"/>
      <c r="G851" s="173"/>
      <c r="H851" s="173"/>
      <c r="I851" s="173"/>
      <c r="J851" s="740"/>
      <c r="K851" s="173"/>
      <c r="L851" s="173"/>
      <c r="M851" s="173"/>
      <c r="N851" s="173"/>
      <c r="O851" s="173"/>
      <c r="P851" s="173"/>
      <c r="Q851" s="685"/>
      <c r="R851" s="173"/>
      <c r="S851" s="173"/>
      <c r="T851" s="173"/>
      <c r="U851" s="173"/>
      <c r="V851" s="173"/>
    </row>
    <row r="852" spans="4:22" ht="12.75">
      <c r="D852" s="173"/>
      <c r="E852" s="173"/>
      <c r="F852" s="173"/>
      <c r="G852" s="173"/>
      <c r="H852" s="173"/>
      <c r="I852" s="173"/>
      <c r="J852" s="740"/>
      <c r="K852" s="173"/>
      <c r="L852" s="173"/>
      <c r="M852" s="173"/>
      <c r="N852" s="173"/>
      <c r="O852" s="173"/>
      <c r="P852" s="173"/>
      <c r="Q852" s="685"/>
      <c r="R852" s="173"/>
      <c r="S852" s="173"/>
      <c r="T852" s="173"/>
      <c r="U852" s="173"/>
      <c r="V852" s="173"/>
    </row>
    <row r="853" spans="4:22" ht="12.75">
      <c r="D853" s="173"/>
      <c r="E853" s="173"/>
      <c r="F853" s="173"/>
      <c r="G853" s="173"/>
      <c r="H853" s="173"/>
      <c r="I853" s="173"/>
      <c r="J853" s="740"/>
      <c r="K853" s="173"/>
      <c r="L853" s="173"/>
      <c r="M853" s="173"/>
      <c r="N853" s="173"/>
      <c r="O853" s="173"/>
      <c r="P853" s="173"/>
      <c r="Q853" s="685"/>
      <c r="R853" s="173"/>
      <c r="S853" s="173"/>
      <c r="T853" s="173"/>
      <c r="U853" s="173"/>
      <c r="V853" s="173"/>
    </row>
    <row r="854" spans="4:22" ht="12.75">
      <c r="D854" s="173"/>
      <c r="E854" s="173"/>
      <c r="F854" s="173"/>
      <c r="G854" s="173"/>
      <c r="H854" s="173"/>
      <c r="I854" s="173"/>
      <c r="J854" s="740"/>
      <c r="K854" s="173"/>
      <c r="L854" s="173"/>
      <c r="M854" s="173"/>
      <c r="N854" s="173"/>
      <c r="O854" s="173"/>
      <c r="P854" s="173"/>
      <c r="Q854" s="685"/>
      <c r="R854" s="173"/>
      <c r="S854" s="173"/>
      <c r="T854" s="173"/>
      <c r="U854" s="173"/>
      <c r="V854" s="173"/>
    </row>
    <row r="855" spans="4:22" ht="12.75">
      <c r="D855" s="173"/>
      <c r="E855" s="173"/>
      <c r="F855" s="173"/>
      <c r="G855" s="173"/>
      <c r="H855" s="173"/>
      <c r="I855" s="173"/>
      <c r="J855" s="740"/>
      <c r="K855" s="173"/>
      <c r="L855" s="173"/>
      <c r="M855" s="173"/>
      <c r="N855" s="173"/>
      <c r="O855" s="173"/>
      <c r="P855" s="173"/>
      <c r="Q855" s="685"/>
      <c r="R855" s="173"/>
      <c r="S855" s="173"/>
      <c r="T855" s="173"/>
      <c r="U855" s="173"/>
      <c r="V855" s="173"/>
    </row>
    <row r="856" spans="4:22" ht="12.75">
      <c r="D856" s="173"/>
      <c r="E856" s="173"/>
      <c r="F856" s="173"/>
      <c r="G856" s="173"/>
      <c r="H856" s="173"/>
      <c r="I856" s="173"/>
      <c r="J856" s="740"/>
      <c r="K856" s="173"/>
      <c r="L856" s="173"/>
      <c r="M856" s="173"/>
      <c r="N856" s="173"/>
      <c r="O856" s="173"/>
      <c r="P856" s="173"/>
      <c r="Q856" s="685"/>
      <c r="R856" s="173"/>
      <c r="S856" s="173"/>
      <c r="T856" s="173"/>
      <c r="U856" s="173"/>
      <c r="V856" s="173"/>
    </row>
    <row r="857" spans="4:22" ht="12.75">
      <c r="D857" s="173"/>
      <c r="E857" s="173"/>
      <c r="F857" s="173"/>
      <c r="G857" s="173"/>
      <c r="H857" s="173"/>
      <c r="I857" s="173"/>
      <c r="J857" s="740"/>
      <c r="K857" s="173"/>
      <c r="L857" s="173"/>
      <c r="M857" s="173"/>
      <c r="N857" s="173"/>
      <c r="O857" s="173"/>
      <c r="P857" s="173"/>
      <c r="Q857" s="685"/>
      <c r="R857" s="173"/>
      <c r="S857" s="173"/>
      <c r="T857" s="173"/>
      <c r="U857" s="173"/>
      <c r="V857" s="173"/>
    </row>
    <row r="858" spans="4:22" ht="12.75">
      <c r="D858" s="173"/>
      <c r="E858" s="173"/>
      <c r="F858" s="173"/>
      <c r="G858" s="173"/>
      <c r="H858" s="173"/>
      <c r="I858" s="173"/>
      <c r="J858" s="740"/>
      <c r="K858" s="173"/>
      <c r="L858" s="173"/>
      <c r="M858" s="173"/>
      <c r="N858" s="173"/>
      <c r="O858" s="173"/>
      <c r="P858" s="173"/>
      <c r="Q858" s="685"/>
      <c r="R858" s="173"/>
      <c r="S858" s="173"/>
      <c r="T858" s="173"/>
      <c r="U858" s="173"/>
      <c r="V858" s="173"/>
    </row>
    <row r="859" spans="4:22" ht="12.75">
      <c r="D859" s="173"/>
      <c r="E859" s="173"/>
      <c r="F859" s="173"/>
      <c r="G859" s="173"/>
      <c r="H859" s="173"/>
      <c r="I859" s="173"/>
      <c r="J859" s="740"/>
      <c r="K859" s="173"/>
      <c r="L859" s="173"/>
      <c r="M859" s="173"/>
      <c r="N859" s="173"/>
      <c r="O859" s="173"/>
      <c r="P859" s="173"/>
      <c r="Q859" s="685"/>
      <c r="R859" s="173"/>
      <c r="S859" s="173"/>
      <c r="T859" s="173"/>
      <c r="U859" s="173"/>
      <c r="V859" s="173"/>
    </row>
    <row r="860" spans="4:22" ht="12.75">
      <c r="D860" s="173"/>
      <c r="E860" s="173"/>
      <c r="F860" s="173"/>
      <c r="G860" s="173"/>
      <c r="H860" s="173"/>
      <c r="I860" s="173"/>
      <c r="J860" s="740"/>
      <c r="K860" s="173"/>
      <c r="L860" s="173"/>
      <c r="M860" s="173"/>
      <c r="N860" s="173"/>
      <c r="O860" s="173"/>
      <c r="P860" s="173"/>
      <c r="Q860" s="685"/>
      <c r="R860" s="173"/>
      <c r="S860" s="173"/>
      <c r="T860" s="173"/>
      <c r="U860" s="173"/>
      <c r="V860" s="173"/>
    </row>
    <row r="861" spans="4:22" ht="12.75">
      <c r="D861" s="173"/>
      <c r="E861" s="173"/>
      <c r="F861" s="173"/>
      <c r="G861" s="173"/>
      <c r="H861" s="173"/>
      <c r="I861" s="173"/>
      <c r="J861" s="740"/>
      <c r="K861" s="173"/>
      <c r="L861" s="173"/>
      <c r="M861" s="173"/>
      <c r="N861" s="173"/>
      <c r="O861" s="173"/>
      <c r="P861" s="173"/>
      <c r="Q861" s="685"/>
      <c r="R861" s="173"/>
      <c r="S861" s="173"/>
      <c r="T861" s="173"/>
      <c r="U861" s="173"/>
      <c r="V861" s="173"/>
    </row>
    <row r="862" spans="4:22" ht="12.75">
      <c r="D862" s="173"/>
      <c r="E862" s="173"/>
      <c r="F862" s="173"/>
      <c r="G862" s="173"/>
      <c r="H862" s="173"/>
      <c r="I862" s="173"/>
      <c r="J862" s="740"/>
      <c r="K862" s="173"/>
      <c r="L862" s="173"/>
      <c r="M862" s="173"/>
      <c r="N862" s="173"/>
      <c r="O862" s="173"/>
      <c r="P862" s="173"/>
      <c r="Q862" s="685"/>
      <c r="R862" s="173"/>
      <c r="S862" s="173"/>
      <c r="T862" s="173"/>
      <c r="U862" s="173"/>
      <c r="V862" s="173"/>
    </row>
    <row r="863" spans="4:22" ht="12.75">
      <c r="D863" s="173"/>
      <c r="E863" s="173"/>
      <c r="F863" s="173"/>
      <c r="G863" s="173"/>
      <c r="H863" s="173"/>
      <c r="I863" s="173"/>
      <c r="J863" s="740"/>
      <c r="K863" s="173"/>
      <c r="L863" s="173"/>
      <c r="M863" s="173"/>
      <c r="N863" s="173"/>
      <c r="O863" s="173"/>
      <c r="P863" s="173"/>
      <c r="Q863" s="685"/>
      <c r="R863" s="173"/>
      <c r="S863" s="173"/>
      <c r="T863" s="173"/>
      <c r="U863" s="173"/>
      <c r="V863" s="173"/>
    </row>
    <row r="864" spans="4:22" ht="12.75">
      <c r="D864" s="173"/>
      <c r="E864" s="173"/>
      <c r="F864" s="173"/>
      <c r="G864" s="173"/>
      <c r="H864" s="173"/>
      <c r="I864" s="173"/>
      <c r="J864" s="740"/>
      <c r="K864" s="173"/>
      <c r="L864" s="173"/>
      <c r="M864" s="173"/>
      <c r="N864" s="173"/>
      <c r="O864" s="173"/>
      <c r="P864" s="173"/>
      <c r="Q864" s="685"/>
      <c r="R864" s="173"/>
      <c r="S864" s="173"/>
      <c r="T864" s="173"/>
      <c r="U864" s="173"/>
      <c r="V864" s="173"/>
    </row>
    <row r="865" spans="4:22" ht="12.75">
      <c r="D865" s="173"/>
      <c r="E865" s="173"/>
      <c r="F865" s="173"/>
      <c r="G865" s="173"/>
      <c r="H865" s="173"/>
      <c r="I865" s="173"/>
      <c r="J865" s="740"/>
      <c r="K865" s="173"/>
      <c r="L865" s="173"/>
      <c r="M865" s="173"/>
      <c r="N865" s="173"/>
      <c r="O865" s="173"/>
      <c r="P865" s="173"/>
      <c r="Q865" s="685"/>
      <c r="R865" s="173"/>
      <c r="S865" s="173"/>
      <c r="T865" s="173"/>
      <c r="U865" s="173"/>
      <c r="V865" s="173"/>
    </row>
    <row r="866" spans="4:22" ht="12.75">
      <c r="D866" s="173"/>
      <c r="E866" s="173"/>
      <c r="F866" s="173"/>
      <c r="G866" s="173"/>
      <c r="H866" s="173"/>
      <c r="I866" s="173"/>
      <c r="J866" s="740"/>
      <c r="K866" s="173"/>
      <c r="L866" s="173"/>
      <c r="M866" s="173"/>
      <c r="N866" s="173"/>
      <c r="O866" s="173"/>
      <c r="P866" s="173"/>
      <c r="Q866" s="685"/>
      <c r="R866" s="173"/>
      <c r="S866" s="173"/>
      <c r="T866" s="173"/>
      <c r="U866" s="173"/>
      <c r="V866" s="173"/>
    </row>
    <row r="867" spans="4:22" ht="12.75">
      <c r="D867" s="173"/>
      <c r="E867" s="173"/>
      <c r="F867" s="173"/>
      <c r="G867" s="173"/>
      <c r="H867" s="173"/>
      <c r="I867" s="173"/>
      <c r="J867" s="740"/>
      <c r="K867" s="173"/>
      <c r="L867" s="173"/>
      <c r="M867" s="173"/>
      <c r="N867" s="173"/>
      <c r="O867" s="173"/>
      <c r="P867" s="173"/>
      <c r="Q867" s="685"/>
      <c r="R867" s="173"/>
      <c r="S867" s="173"/>
      <c r="T867" s="173"/>
      <c r="U867" s="173"/>
      <c r="V867" s="173"/>
    </row>
    <row r="868" spans="4:22" ht="12.75">
      <c r="D868" s="173"/>
      <c r="E868" s="173"/>
      <c r="F868" s="173"/>
      <c r="G868" s="173"/>
      <c r="H868" s="173"/>
      <c r="I868" s="173"/>
      <c r="J868" s="740"/>
      <c r="K868" s="173"/>
      <c r="L868" s="173"/>
      <c r="M868" s="173"/>
      <c r="N868" s="173"/>
      <c r="O868" s="173"/>
      <c r="P868" s="173"/>
      <c r="Q868" s="685"/>
      <c r="R868" s="173"/>
      <c r="S868" s="173"/>
      <c r="T868" s="173"/>
      <c r="U868" s="173"/>
      <c r="V868" s="173"/>
    </row>
    <row r="869" spans="4:22" ht="12.75">
      <c r="D869" s="173"/>
      <c r="E869" s="173"/>
      <c r="F869" s="173"/>
      <c r="G869" s="173"/>
      <c r="H869" s="173"/>
      <c r="I869" s="173"/>
      <c r="J869" s="740"/>
      <c r="K869" s="173"/>
      <c r="L869" s="173"/>
      <c r="M869" s="173"/>
      <c r="N869" s="173"/>
      <c r="O869" s="173"/>
      <c r="P869" s="173"/>
      <c r="Q869" s="685"/>
      <c r="R869" s="173"/>
      <c r="S869" s="173"/>
      <c r="T869" s="173"/>
      <c r="U869" s="173"/>
      <c r="V869" s="173"/>
    </row>
    <row r="870" spans="4:22" ht="12.75">
      <c r="D870" s="173"/>
      <c r="E870" s="173"/>
      <c r="F870" s="173"/>
      <c r="G870" s="173"/>
      <c r="H870" s="173"/>
      <c r="I870" s="173"/>
      <c r="J870" s="740"/>
      <c r="K870" s="173"/>
      <c r="L870" s="173"/>
      <c r="M870" s="173"/>
      <c r="N870" s="173"/>
      <c r="O870" s="173"/>
      <c r="P870" s="173"/>
      <c r="Q870" s="685"/>
      <c r="R870" s="173"/>
      <c r="S870" s="173"/>
      <c r="T870" s="173"/>
      <c r="U870" s="173"/>
      <c r="V870" s="173"/>
    </row>
    <row r="871" spans="4:22" ht="12.75">
      <c r="D871" s="173"/>
      <c r="E871" s="173"/>
      <c r="F871" s="173"/>
      <c r="G871" s="173"/>
      <c r="H871" s="173"/>
      <c r="I871" s="173"/>
      <c r="J871" s="740"/>
      <c r="K871" s="173"/>
      <c r="L871" s="173"/>
      <c r="M871" s="173"/>
      <c r="N871" s="173"/>
      <c r="O871" s="173"/>
      <c r="P871" s="173"/>
      <c r="Q871" s="685"/>
      <c r="R871" s="173"/>
      <c r="S871" s="173"/>
      <c r="T871" s="173"/>
      <c r="U871" s="173"/>
      <c r="V871" s="173"/>
    </row>
    <row r="872" spans="4:22" ht="12.75">
      <c r="D872" s="173"/>
      <c r="E872" s="173"/>
      <c r="F872" s="173"/>
      <c r="G872" s="173"/>
      <c r="H872" s="173"/>
      <c r="I872" s="173"/>
      <c r="J872" s="740"/>
      <c r="K872" s="173"/>
      <c r="L872" s="173"/>
      <c r="M872" s="173"/>
      <c r="N872" s="173"/>
      <c r="O872" s="173"/>
      <c r="P872" s="173"/>
      <c r="Q872" s="685"/>
      <c r="R872" s="173"/>
      <c r="S872" s="173"/>
      <c r="T872" s="173"/>
      <c r="U872" s="173"/>
      <c r="V872" s="173"/>
    </row>
    <row r="873" spans="4:22" ht="12.75">
      <c r="D873" s="173"/>
      <c r="E873" s="173"/>
      <c r="F873" s="173"/>
      <c r="G873" s="173"/>
      <c r="H873" s="173"/>
      <c r="I873" s="173"/>
      <c r="J873" s="740"/>
      <c r="K873" s="173"/>
      <c r="L873" s="173"/>
      <c r="M873" s="173"/>
      <c r="N873" s="173"/>
      <c r="O873" s="173"/>
      <c r="P873" s="173"/>
      <c r="Q873" s="685"/>
      <c r="R873" s="173"/>
      <c r="S873" s="173"/>
      <c r="T873" s="173"/>
      <c r="U873" s="173"/>
      <c r="V873" s="173"/>
    </row>
    <row r="874" spans="4:22" ht="12.75">
      <c r="D874" s="173"/>
      <c r="E874" s="173"/>
      <c r="F874" s="173"/>
      <c r="G874" s="173"/>
      <c r="H874" s="173"/>
      <c r="I874" s="173"/>
      <c r="J874" s="740"/>
      <c r="K874" s="173"/>
      <c r="L874" s="173"/>
      <c r="M874" s="173"/>
      <c r="N874" s="173"/>
      <c r="O874" s="173"/>
      <c r="P874" s="173"/>
      <c r="Q874" s="685"/>
      <c r="R874" s="173"/>
      <c r="S874" s="173"/>
      <c r="T874" s="173"/>
      <c r="U874" s="173"/>
      <c r="V874" s="173"/>
    </row>
    <row r="875" spans="4:22" ht="12.75">
      <c r="D875" s="173"/>
      <c r="E875" s="173"/>
      <c r="F875" s="173"/>
      <c r="G875" s="173"/>
      <c r="H875" s="173"/>
      <c r="I875" s="173"/>
      <c r="J875" s="740"/>
      <c r="K875" s="173"/>
      <c r="L875" s="173"/>
      <c r="M875" s="173"/>
      <c r="N875" s="173"/>
      <c r="O875" s="173"/>
      <c r="P875" s="173"/>
      <c r="Q875" s="685"/>
      <c r="R875" s="173"/>
      <c r="S875" s="173"/>
      <c r="T875" s="173"/>
      <c r="U875" s="173"/>
      <c r="V875" s="173"/>
    </row>
    <row r="876" spans="4:22" ht="12.75">
      <c r="D876" s="173"/>
      <c r="E876" s="173"/>
      <c r="F876" s="173"/>
      <c r="G876" s="173"/>
      <c r="H876" s="173"/>
      <c r="I876" s="173"/>
      <c r="J876" s="740"/>
      <c r="K876" s="173"/>
      <c r="L876" s="173"/>
      <c r="M876" s="173"/>
      <c r="N876" s="173"/>
      <c r="O876" s="173"/>
      <c r="P876" s="173"/>
      <c r="Q876" s="685"/>
      <c r="R876" s="173"/>
      <c r="S876" s="173"/>
      <c r="T876" s="173"/>
      <c r="U876" s="173"/>
      <c r="V876" s="173"/>
    </row>
    <row r="877" spans="4:22" ht="12.75">
      <c r="D877" s="173"/>
      <c r="E877" s="173"/>
      <c r="F877" s="173"/>
      <c r="G877" s="173"/>
      <c r="H877" s="173"/>
      <c r="I877" s="173"/>
      <c r="J877" s="740"/>
      <c r="K877" s="173"/>
      <c r="L877" s="173"/>
      <c r="M877" s="173"/>
      <c r="N877" s="173"/>
      <c r="O877" s="173"/>
      <c r="P877" s="173"/>
      <c r="Q877" s="685"/>
      <c r="R877" s="173"/>
      <c r="S877" s="173"/>
      <c r="T877" s="173"/>
      <c r="U877" s="173"/>
      <c r="V877" s="173"/>
    </row>
    <row r="878" spans="4:22" ht="12.75">
      <c r="D878" s="173"/>
      <c r="E878" s="173"/>
      <c r="F878" s="173"/>
      <c r="G878" s="173"/>
      <c r="H878" s="173"/>
      <c r="I878" s="173"/>
      <c r="J878" s="740"/>
      <c r="K878" s="173"/>
      <c r="L878" s="173"/>
      <c r="M878" s="173"/>
      <c r="N878" s="173"/>
      <c r="O878" s="173"/>
      <c r="P878" s="173"/>
      <c r="Q878" s="685"/>
      <c r="R878" s="173"/>
      <c r="S878" s="173"/>
      <c r="T878" s="173"/>
      <c r="U878" s="173"/>
      <c r="V878" s="173"/>
    </row>
    <row r="879" spans="4:22" ht="12.75">
      <c r="D879" s="173"/>
      <c r="E879" s="173"/>
      <c r="F879" s="173"/>
      <c r="G879" s="173"/>
      <c r="H879" s="173"/>
      <c r="I879" s="173"/>
      <c r="J879" s="740"/>
      <c r="K879" s="173"/>
      <c r="L879" s="173"/>
      <c r="M879" s="173"/>
      <c r="N879" s="173"/>
      <c r="O879" s="173"/>
      <c r="P879" s="173"/>
      <c r="Q879" s="685"/>
      <c r="R879" s="173"/>
      <c r="S879" s="173"/>
      <c r="T879" s="173"/>
      <c r="U879" s="173"/>
      <c r="V879" s="173"/>
    </row>
    <row r="880" spans="4:22" ht="12.75">
      <c r="D880" s="173"/>
      <c r="E880" s="173"/>
      <c r="F880" s="173"/>
      <c r="G880" s="173"/>
      <c r="H880" s="173"/>
      <c r="I880" s="173"/>
      <c r="J880" s="740"/>
      <c r="K880" s="173"/>
      <c r="L880" s="173"/>
      <c r="M880" s="173"/>
      <c r="N880" s="173"/>
      <c r="O880" s="173"/>
      <c r="P880" s="173"/>
      <c r="Q880" s="685"/>
      <c r="R880" s="173"/>
      <c r="S880" s="173"/>
      <c r="T880" s="173"/>
      <c r="U880" s="173"/>
      <c r="V880" s="173"/>
    </row>
    <row r="881" spans="4:22" ht="12.75">
      <c r="D881" s="173"/>
      <c r="E881" s="173"/>
      <c r="F881" s="173"/>
      <c r="G881" s="173"/>
      <c r="H881" s="173"/>
      <c r="I881" s="173"/>
      <c r="J881" s="740"/>
      <c r="K881" s="173"/>
      <c r="L881" s="173"/>
      <c r="M881" s="173"/>
      <c r="N881" s="173"/>
      <c r="O881" s="173"/>
      <c r="P881" s="173"/>
      <c r="Q881" s="685"/>
      <c r="R881" s="173"/>
      <c r="S881" s="173"/>
      <c r="T881" s="173"/>
      <c r="U881" s="173"/>
      <c r="V881" s="173"/>
    </row>
    <row r="882" spans="4:22" ht="12.75">
      <c r="D882" s="173"/>
      <c r="E882" s="173"/>
      <c r="F882" s="173"/>
      <c r="G882" s="173"/>
      <c r="H882" s="173"/>
      <c r="I882" s="173"/>
      <c r="J882" s="740"/>
      <c r="K882" s="173"/>
      <c r="L882" s="173"/>
      <c r="M882" s="173"/>
      <c r="N882" s="173"/>
      <c r="O882" s="173"/>
      <c r="P882" s="173"/>
      <c r="Q882" s="685"/>
      <c r="R882" s="173"/>
      <c r="S882" s="173"/>
      <c r="T882" s="173"/>
      <c r="U882" s="173"/>
      <c r="V882" s="173"/>
    </row>
    <row r="883" spans="4:22" ht="12.75">
      <c r="D883" s="173"/>
      <c r="E883" s="173"/>
      <c r="F883" s="173"/>
      <c r="G883" s="173"/>
      <c r="H883" s="173"/>
      <c r="I883" s="173"/>
      <c r="J883" s="740"/>
      <c r="K883" s="173"/>
      <c r="L883" s="173"/>
      <c r="M883" s="173"/>
      <c r="N883" s="173"/>
      <c r="O883" s="173"/>
      <c r="P883" s="173"/>
      <c r="Q883" s="685"/>
      <c r="R883" s="173"/>
      <c r="S883" s="173"/>
      <c r="T883" s="173"/>
      <c r="U883" s="173"/>
      <c r="V883" s="173"/>
    </row>
    <row r="884" spans="4:22" ht="12.75">
      <c r="D884" s="173"/>
      <c r="E884" s="173"/>
      <c r="F884" s="173"/>
      <c r="G884" s="173"/>
      <c r="H884" s="173"/>
      <c r="I884" s="173"/>
      <c r="J884" s="740"/>
      <c r="K884" s="173"/>
      <c r="L884" s="173"/>
      <c r="M884" s="173"/>
      <c r="N884" s="173"/>
      <c r="O884" s="173"/>
      <c r="P884" s="173"/>
      <c r="Q884" s="685"/>
      <c r="R884" s="173"/>
      <c r="S884" s="173"/>
      <c r="T884" s="173"/>
      <c r="U884" s="173"/>
      <c r="V884" s="173"/>
    </row>
    <row r="885" spans="4:22" ht="12.75">
      <c r="D885" s="173"/>
      <c r="E885" s="173"/>
      <c r="F885" s="173"/>
      <c r="G885" s="173"/>
      <c r="H885" s="173"/>
      <c r="I885" s="173"/>
      <c r="J885" s="740"/>
      <c r="K885" s="173"/>
      <c r="L885" s="173"/>
      <c r="M885" s="173"/>
      <c r="N885" s="173"/>
      <c r="O885" s="173"/>
      <c r="P885" s="173"/>
      <c r="Q885" s="685"/>
      <c r="R885" s="173"/>
      <c r="S885" s="173"/>
      <c r="T885" s="173"/>
      <c r="U885" s="173"/>
      <c r="V885" s="173"/>
    </row>
    <row r="886" spans="4:22" ht="12.75">
      <c r="D886" s="173"/>
      <c r="E886" s="173"/>
      <c r="F886" s="173"/>
      <c r="G886" s="173"/>
      <c r="H886" s="173"/>
      <c r="I886" s="173"/>
      <c r="J886" s="740"/>
      <c r="K886" s="173"/>
      <c r="L886" s="173"/>
      <c r="M886" s="173"/>
      <c r="N886" s="173"/>
      <c r="O886" s="173"/>
      <c r="P886" s="173"/>
      <c r="Q886" s="685"/>
      <c r="R886" s="173"/>
      <c r="S886" s="173"/>
      <c r="T886" s="173"/>
      <c r="U886" s="173"/>
      <c r="V886" s="173"/>
    </row>
    <row r="887" spans="4:22" ht="12.75">
      <c r="D887" s="173"/>
      <c r="E887" s="173"/>
      <c r="F887" s="173"/>
      <c r="G887" s="173"/>
      <c r="H887" s="173"/>
      <c r="I887" s="173"/>
      <c r="J887" s="740"/>
      <c r="K887" s="173"/>
      <c r="L887" s="173"/>
      <c r="M887" s="173"/>
      <c r="N887" s="173"/>
      <c r="O887" s="173"/>
      <c r="P887" s="173"/>
      <c r="Q887" s="685"/>
      <c r="R887" s="173"/>
      <c r="S887" s="173"/>
      <c r="T887" s="173"/>
      <c r="U887" s="173"/>
      <c r="V887" s="173"/>
    </row>
    <row r="888" spans="4:22" ht="12.75">
      <c r="D888" s="173"/>
      <c r="E888" s="173"/>
      <c r="F888" s="173"/>
      <c r="G888" s="173"/>
      <c r="H888" s="173"/>
      <c r="I888" s="173"/>
      <c r="J888" s="740"/>
      <c r="K888" s="173"/>
      <c r="L888" s="173"/>
      <c r="M888" s="173"/>
      <c r="N888" s="173"/>
      <c r="O888" s="173"/>
      <c r="P888" s="173"/>
      <c r="Q888" s="685"/>
      <c r="R888" s="173"/>
      <c r="S888" s="173"/>
      <c r="T888" s="173"/>
      <c r="U888" s="173"/>
      <c r="V888" s="173"/>
    </row>
    <row r="889" spans="4:22" ht="12.75">
      <c r="D889" s="173"/>
      <c r="E889" s="173"/>
      <c r="F889" s="173"/>
      <c r="G889" s="173"/>
      <c r="H889" s="173"/>
      <c r="I889" s="173"/>
      <c r="J889" s="740"/>
      <c r="K889" s="173"/>
      <c r="L889" s="173"/>
      <c r="M889" s="173"/>
      <c r="N889" s="173"/>
      <c r="O889" s="173"/>
      <c r="P889" s="173"/>
      <c r="Q889" s="685"/>
      <c r="R889" s="173"/>
      <c r="S889" s="173"/>
      <c r="T889" s="173"/>
      <c r="U889" s="173"/>
      <c r="V889" s="173"/>
    </row>
    <row r="890" spans="4:22" ht="12.75">
      <c r="D890" s="173"/>
      <c r="E890" s="173"/>
      <c r="F890" s="173"/>
      <c r="G890" s="173"/>
      <c r="H890" s="173"/>
      <c r="I890" s="173"/>
      <c r="J890" s="740"/>
      <c r="K890" s="173"/>
      <c r="L890" s="173"/>
      <c r="M890" s="173"/>
      <c r="N890" s="173"/>
      <c r="O890" s="173"/>
      <c r="P890" s="173"/>
      <c r="Q890" s="685"/>
      <c r="R890" s="173"/>
      <c r="S890" s="173"/>
      <c r="T890" s="173"/>
      <c r="U890" s="173"/>
      <c r="V890" s="173"/>
    </row>
    <row r="891" spans="4:22" ht="12.75">
      <c r="D891" s="173"/>
      <c r="E891" s="173"/>
      <c r="F891" s="173"/>
      <c r="G891" s="173"/>
      <c r="H891" s="173"/>
      <c r="I891" s="173"/>
      <c r="J891" s="740"/>
      <c r="K891" s="173"/>
      <c r="L891" s="173"/>
      <c r="M891" s="173"/>
      <c r="N891" s="173"/>
      <c r="O891" s="173"/>
      <c r="P891" s="173"/>
      <c r="Q891" s="685"/>
      <c r="R891" s="173"/>
      <c r="S891" s="173"/>
      <c r="T891" s="173"/>
      <c r="U891" s="173"/>
      <c r="V891" s="173"/>
    </row>
    <row r="892" spans="4:22" ht="12.75">
      <c r="D892" s="173"/>
      <c r="E892" s="173"/>
      <c r="F892" s="173"/>
      <c r="G892" s="173"/>
      <c r="H892" s="173"/>
      <c r="I892" s="173"/>
      <c r="J892" s="740"/>
      <c r="K892" s="173"/>
      <c r="L892" s="173"/>
      <c r="M892" s="173"/>
      <c r="N892" s="173"/>
      <c r="O892" s="173"/>
      <c r="P892" s="173"/>
      <c r="Q892" s="685"/>
      <c r="R892" s="173"/>
      <c r="S892" s="173"/>
      <c r="T892" s="173"/>
      <c r="U892" s="173"/>
      <c r="V892" s="173"/>
    </row>
    <row r="893" spans="4:22" ht="12.75">
      <c r="D893" s="173"/>
      <c r="E893" s="173"/>
      <c r="F893" s="173"/>
      <c r="G893" s="173"/>
      <c r="H893" s="173"/>
      <c r="I893" s="173"/>
      <c r="J893" s="740"/>
      <c r="K893" s="173"/>
      <c r="L893" s="173"/>
      <c r="M893" s="173"/>
      <c r="N893" s="173"/>
      <c r="O893" s="173"/>
      <c r="P893" s="173"/>
      <c r="Q893" s="685"/>
      <c r="R893" s="173"/>
      <c r="S893" s="173"/>
      <c r="T893" s="173"/>
      <c r="U893" s="173"/>
      <c r="V893" s="173"/>
    </row>
    <row r="894" spans="4:22" ht="12.75">
      <c r="D894" s="173"/>
      <c r="E894" s="173"/>
      <c r="F894" s="173"/>
      <c r="G894" s="173"/>
      <c r="H894" s="173"/>
      <c r="I894" s="173"/>
      <c r="J894" s="740"/>
      <c r="K894" s="173"/>
      <c r="L894" s="173"/>
      <c r="M894" s="173"/>
      <c r="N894" s="173"/>
      <c r="O894" s="173"/>
      <c r="P894" s="173"/>
      <c r="Q894" s="685"/>
      <c r="R894" s="173"/>
      <c r="S894" s="173"/>
      <c r="T894" s="173"/>
      <c r="U894" s="173"/>
      <c r="V894" s="173"/>
    </row>
    <row r="895" spans="4:22" ht="12.75">
      <c r="D895" s="173"/>
      <c r="E895" s="173"/>
      <c r="F895" s="173"/>
      <c r="G895" s="173"/>
      <c r="H895" s="173"/>
      <c r="I895" s="173"/>
      <c r="J895" s="740"/>
      <c r="K895" s="173"/>
      <c r="L895" s="173"/>
      <c r="M895" s="173"/>
      <c r="N895" s="173"/>
      <c r="O895" s="173"/>
      <c r="P895" s="173"/>
      <c r="Q895" s="685"/>
      <c r="R895" s="173"/>
      <c r="S895" s="173"/>
      <c r="T895" s="173"/>
      <c r="U895" s="173"/>
      <c r="V895" s="173"/>
    </row>
    <row r="896" spans="4:22" ht="12.75">
      <c r="D896" s="173"/>
      <c r="E896" s="173"/>
      <c r="F896" s="173"/>
      <c r="G896" s="173"/>
      <c r="H896" s="173"/>
      <c r="I896" s="173"/>
      <c r="J896" s="740"/>
      <c r="K896" s="173"/>
      <c r="L896" s="173"/>
      <c r="M896" s="173"/>
      <c r="N896" s="173"/>
      <c r="O896" s="173"/>
      <c r="P896" s="173"/>
      <c r="Q896" s="685"/>
      <c r="R896" s="173"/>
      <c r="S896" s="173"/>
      <c r="T896" s="173"/>
      <c r="U896" s="173"/>
      <c r="V896" s="173"/>
    </row>
    <row r="897" spans="4:22" ht="12.75">
      <c r="D897" s="173"/>
      <c r="E897" s="173"/>
      <c r="F897" s="173"/>
      <c r="G897" s="173"/>
      <c r="H897" s="173"/>
      <c r="I897" s="173"/>
      <c r="J897" s="740"/>
      <c r="K897" s="173"/>
      <c r="L897" s="173"/>
      <c r="M897" s="173"/>
      <c r="N897" s="173"/>
      <c r="O897" s="173"/>
      <c r="P897" s="173"/>
      <c r="Q897" s="685"/>
      <c r="R897" s="173"/>
      <c r="S897" s="173"/>
      <c r="T897" s="173"/>
      <c r="U897" s="173"/>
      <c r="V897" s="173"/>
    </row>
    <row r="898" spans="4:22" ht="12.75">
      <c r="D898" s="173"/>
      <c r="E898" s="173"/>
      <c r="F898" s="173"/>
      <c r="G898" s="173"/>
      <c r="H898" s="173"/>
      <c r="I898" s="173"/>
      <c r="J898" s="740"/>
      <c r="K898" s="173"/>
      <c r="L898" s="173"/>
      <c r="M898" s="173"/>
      <c r="N898" s="173"/>
      <c r="O898" s="173"/>
      <c r="P898" s="173"/>
      <c r="Q898" s="685"/>
      <c r="R898" s="173"/>
      <c r="S898" s="173"/>
      <c r="T898" s="173"/>
      <c r="U898" s="173"/>
      <c r="V898" s="173"/>
    </row>
    <row r="899" ht="12.75">
      <c r="J899" s="740"/>
    </row>
  </sheetData>
  <sheetProtection/>
  <mergeCells count="384">
    <mergeCell ref="AB296:AD296"/>
    <mergeCell ref="AG296:AH296"/>
    <mergeCell ref="AB427:AD427"/>
    <mergeCell ref="AG427:AH427"/>
    <mergeCell ref="AG354:AH354"/>
    <mergeCell ref="AB326:AD326"/>
    <mergeCell ref="AG326:AH326"/>
    <mergeCell ref="AB331:AD331"/>
    <mergeCell ref="AG331:AH331"/>
    <mergeCell ref="AG308:AH308"/>
    <mergeCell ref="AG432:AH432"/>
    <mergeCell ref="Y394:Y395"/>
    <mergeCell ref="B361:K361"/>
    <mergeCell ref="AG366:AH366"/>
    <mergeCell ref="B371:K371"/>
    <mergeCell ref="AB370:AD370"/>
    <mergeCell ref="AG370:AH370"/>
    <mergeCell ref="B382:K382"/>
    <mergeCell ref="AB381:AD381"/>
    <mergeCell ref="AG381:AH381"/>
    <mergeCell ref="D274:W274"/>
    <mergeCell ref="AG272:AH272"/>
    <mergeCell ref="AB286:AD286"/>
    <mergeCell ref="B290:K290"/>
    <mergeCell ref="AB289:AD289"/>
    <mergeCell ref="D356:W356"/>
    <mergeCell ref="AG289:AH289"/>
    <mergeCell ref="AB311:AD311"/>
    <mergeCell ref="AB294:AD294"/>
    <mergeCell ref="AG294:AH294"/>
    <mergeCell ref="D249:W249"/>
    <mergeCell ref="B254:K254"/>
    <mergeCell ref="B355:K355"/>
    <mergeCell ref="D291:W291"/>
    <mergeCell ref="B287:K287"/>
    <mergeCell ref="B261:K261"/>
    <mergeCell ref="B327:K327"/>
    <mergeCell ref="B347:K347"/>
    <mergeCell ref="D319:AA319"/>
    <mergeCell ref="D270:X270"/>
    <mergeCell ref="D2:F2"/>
    <mergeCell ref="W2:AA2"/>
    <mergeCell ref="D3:D4"/>
    <mergeCell ref="G3:G4"/>
    <mergeCell ref="H3:H4"/>
    <mergeCell ref="M5:N5"/>
    <mergeCell ref="O5:P5"/>
    <mergeCell ref="O6:P6"/>
    <mergeCell ref="M10:N10"/>
    <mergeCell ref="O10:P10"/>
    <mergeCell ref="T10:U10"/>
    <mergeCell ref="P17:P18"/>
    <mergeCell ref="V17:V18"/>
    <mergeCell ref="W17:W18"/>
    <mergeCell ref="D21:J21"/>
    <mergeCell ref="B22:AI22"/>
    <mergeCell ref="B28:K28"/>
    <mergeCell ref="AB28:AD28"/>
    <mergeCell ref="AG28:AH28"/>
    <mergeCell ref="D20:AA20"/>
    <mergeCell ref="B29:AI29"/>
    <mergeCell ref="B32:K32"/>
    <mergeCell ref="AB32:AD32"/>
    <mergeCell ref="AG32:AH32"/>
    <mergeCell ref="B33:AI33"/>
    <mergeCell ref="B41:K41"/>
    <mergeCell ref="AB41:AD41"/>
    <mergeCell ref="AG41:AH41"/>
    <mergeCell ref="B42:AI42"/>
    <mergeCell ref="B50:K50"/>
    <mergeCell ref="AB50:AD50"/>
    <mergeCell ref="AG50:AH50"/>
    <mergeCell ref="D52:AA52"/>
    <mergeCell ref="B53:AI53"/>
    <mergeCell ref="D51:AA51"/>
    <mergeCell ref="D66:AA66"/>
    <mergeCell ref="B59:K59"/>
    <mergeCell ref="AB59:AD59"/>
    <mergeCell ref="AG59:AH59"/>
    <mergeCell ref="D61:AA61"/>
    <mergeCell ref="D62:I62"/>
    <mergeCell ref="B63:AI63"/>
    <mergeCell ref="D60:AA60"/>
    <mergeCell ref="B85:K85"/>
    <mergeCell ref="AB84:AD84"/>
    <mergeCell ref="AG84:AH84"/>
    <mergeCell ref="B65:K65"/>
    <mergeCell ref="AB65:AD65"/>
    <mergeCell ref="AG65:AH65"/>
    <mergeCell ref="B68:AI68"/>
    <mergeCell ref="B75:K75"/>
    <mergeCell ref="AB75:AD75"/>
    <mergeCell ref="AG75:AH75"/>
    <mergeCell ref="B149:K149"/>
    <mergeCell ref="AB148:AD148"/>
    <mergeCell ref="AG148:AH148"/>
    <mergeCell ref="B90:K90"/>
    <mergeCell ref="AB89:AD89"/>
    <mergeCell ref="AG89:AH89"/>
    <mergeCell ref="B98:K98"/>
    <mergeCell ref="AB97:AD97"/>
    <mergeCell ref="AG97:AH97"/>
    <mergeCell ref="B153:K153"/>
    <mergeCell ref="AB152:AD152"/>
    <mergeCell ref="AG152:AH152"/>
    <mergeCell ref="B156:K156"/>
    <mergeCell ref="AB155:AD155"/>
    <mergeCell ref="AG155:AH155"/>
    <mergeCell ref="B173:K173"/>
    <mergeCell ref="AB172:AD172"/>
    <mergeCell ref="AG172:AH172"/>
    <mergeCell ref="D174:W174"/>
    <mergeCell ref="D158:X158"/>
    <mergeCell ref="B163:K163"/>
    <mergeCell ref="AB162:AD162"/>
    <mergeCell ref="AG162:AH162"/>
    <mergeCell ref="B178:K178"/>
    <mergeCell ref="AB177:AD177"/>
    <mergeCell ref="AG177:AH177"/>
    <mergeCell ref="B189:K189"/>
    <mergeCell ref="AB187:AD187"/>
    <mergeCell ref="AG187:AH187"/>
    <mergeCell ref="D179:W179"/>
    <mergeCell ref="AB188:AD188"/>
    <mergeCell ref="AG188:AH188"/>
    <mergeCell ref="D190:V190"/>
    <mergeCell ref="B192:K192"/>
    <mergeCell ref="AB191:AD191"/>
    <mergeCell ref="AG191:AH191"/>
    <mergeCell ref="B195:K195"/>
    <mergeCell ref="AB194:AD194"/>
    <mergeCell ref="AG194:AH194"/>
    <mergeCell ref="B198:K198"/>
    <mergeCell ref="AB197:AD197"/>
    <mergeCell ref="AG197:AH197"/>
    <mergeCell ref="B204:K204"/>
    <mergeCell ref="AB203:AD203"/>
    <mergeCell ref="AG203:AH203"/>
    <mergeCell ref="D201:X201"/>
    <mergeCell ref="B207:K207"/>
    <mergeCell ref="AB206:AD206"/>
    <mergeCell ref="AG206:AH206"/>
    <mergeCell ref="B210:K210"/>
    <mergeCell ref="AB209:AD209"/>
    <mergeCell ref="AG209:AH209"/>
    <mergeCell ref="B215:K215"/>
    <mergeCell ref="AB214:AD214"/>
    <mergeCell ref="AG214:AH214"/>
    <mergeCell ref="B218:K218"/>
    <mergeCell ref="AB217:AD217"/>
    <mergeCell ref="AG217:AH217"/>
    <mergeCell ref="AB226:AD226"/>
    <mergeCell ref="AG226:AH226"/>
    <mergeCell ref="D229:W229"/>
    <mergeCell ref="B221:K221"/>
    <mergeCell ref="AB220:AD220"/>
    <mergeCell ref="AG220:AH220"/>
    <mergeCell ref="B224:K224"/>
    <mergeCell ref="AB223:AD223"/>
    <mergeCell ref="AG223:AH223"/>
    <mergeCell ref="D228:W228"/>
    <mergeCell ref="AG231:AH231"/>
    <mergeCell ref="B236:K236"/>
    <mergeCell ref="AB234:AD234"/>
    <mergeCell ref="AG234:AH234"/>
    <mergeCell ref="AG243:AH243"/>
    <mergeCell ref="B227:K227"/>
    <mergeCell ref="B232:K232"/>
    <mergeCell ref="B241:K241"/>
    <mergeCell ref="AG246:AH246"/>
    <mergeCell ref="D248:W248"/>
    <mergeCell ref="AB240:AD240"/>
    <mergeCell ref="AG240:AH240"/>
    <mergeCell ref="B244:K244"/>
    <mergeCell ref="AB243:AD243"/>
    <mergeCell ref="AB246:AD246"/>
    <mergeCell ref="D263:J263"/>
    <mergeCell ref="B266:K266"/>
    <mergeCell ref="AB253:AD253"/>
    <mergeCell ref="AG253:AH253"/>
    <mergeCell ref="B257:K257"/>
    <mergeCell ref="D267:Y267"/>
    <mergeCell ref="AG265:AH265"/>
    <mergeCell ref="AB256:AD256"/>
    <mergeCell ref="AG256:AH256"/>
    <mergeCell ref="AG260:AH260"/>
    <mergeCell ref="B269:K269"/>
    <mergeCell ref="AB268:AD268"/>
    <mergeCell ref="B312:K312"/>
    <mergeCell ref="AG311:AH311"/>
    <mergeCell ref="AG286:AH286"/>
    <mergeCell ref="B297:K297"/>
    <mergeCell ref="AB295:AD295"/>
    <mergeCell ref="AG295:AH295"/>
    <mergeCell ref="AG268:AH268"/>
    <mergeCell ref="B309:K309"/>
    <mergeCell ref="AJ317:AK317"/>
    <mergeCell ref="Y441:Y443"/>
    <mergeCell ref="AG302:AH302"/>
    <mergeCell ref="B306:K306"/>
    <mergeCell ref="AB305:AD305"/>
    <mergeCell ref="AG305:AH305"/>
    <mergeCell ref="B318:K318"/>
    <mergeCell ref="AE317:AG317"/>
    <mergeCell ref="D313:X313"/>
    <mergeCell ref="AB354:AD354"/>
    <mergeCell ref="D349:W349"/>
    <mergeCell ref="D343:AA343"/>
    <mergeCell ref="AB360:AD360"/>
    <mergeCell ref="AG360:AH360"/>
    <mergeCell ref="B364:K364"/>
    <mergeCell ref="AB363:AD363"/>
    <mergeCell ref="AG363:AH363"/>
    <mergeCell ref="B346:K346"/>
    <mergeCell ref="AB345:AD345"/>
    <mergeCell ref="AG345:AH345"/>
    <mergeCell ref="B374:K374"/>
    <mergeCell ref="AB373:AD373"/>
    <mergeCell ref="AG373:AH373"/>
    <mergeCell ref="B367:K367"/>
    <mergeCell ref="AB366:AD366"/>
    <mergeCell ref="D368:W368"/>
    <mergeCell ref="D375:W375"/>
    <mergeCell ref="B385:K385"/>
    <mergeCell ref="AB384:AD384"/>
    <mergeCell ref="AG384:AH384"/>
    <mergeCell ref="B389:K389"/>
    <mergeCell ref="AB388:AD388"/>
    <mergeCell ref="AG388:AH388"/>
    <mergeCell ref="B435:K435"/>
    <mergeCell ref="AB424:AD424"/>
    <mergeCell ref="AG424:AH424"/>
    <mergeCell ref="AB425:AD425"/>
    <mergeCell ref="AG425:AH425"/>
    <mergeCell ref="AB426:AD426"/>
    <mergeCell ref="AG426:AH426"/>
    <mergeCell ref="AB428:AD428"/>
    <mergeCell ref="AG428:AH428"/>
    <mergeCell ref="AB432:AD432"/>
    <mergeCell ref="B449:K449"/>
    <mergeCell ref="AB448:AD448"/>
    <mergeCell ref="AG448:AH448"/>
    <mergeCell ref="B439:K439"/>
    <mergeCell ref="AB438:AD438"/>
    <mergeCell ref="AG438:AH438"/>
    <mergeCell ref="AB442:AD442"/>
    <mergeCell ref="AG442:AH442"/>
    <mergeCell ref="B444:K444"/>
    <mergeCell ref="AB466:AD466"/>
    <mergeCell ref="AG466:AH466"/>
    <mergeCell ref="B452:K452"/>
    <mergeCell ref="AB451:AD451"/>
    <mergeCell ref="AG451:AH451"/>
    <mergeCell ref="B457:K457"/>
    <mergeCell ref="AB456:AD456"/>
    <mergeCell ref="AG456:AH456"/>
    <mergeCell ref="D458:W458"/>
    <mergeCell ref="AB469:AD469"/>
    <mergeCell ref="AG469:AH469"/>
    <mergeCell ref="B473:K473"/>
    <mergeCell ref="AB472:AD472"/>
    <mergeCell ref="AG472:AH472"/>
    <mergeCell ref="B467:K467"/>
    <mergeCell ref="AB477:AD477"/>
    <mergeCell ref="AG477:AH477"/>
    <mergeCell ref="B482:K482"/>
    <mergeCell ref="AB481:AD481"/>
    <mergeCell ref="AG481:AH481"/>
    <mergeCell ref="B470:K470"/>
    <mergeCell ref="B483:K483"/>
    <mergeCell ref="AB482:AD482"/>
    <mergeCell ref="AG482:AH482"/>
    <mergeCell ref="D510:G510"/>
    <mergeCell ref="D511:G511"/>
    <mergeCell ref="B478:K478"/>
    <mergeCell ref="D512:G512"/>
    <mergeCell ref="D513:G513"/>
    <mergeCell ref="D514:G514"/>
    <mergeCell ref="D515:G515"/>
    <mergeCell ref="D516:G516"/>
    <mergeCell ref="D517:G517"/>
    <mergeCell ref="D518:G518"/>
    <mergeCell ref="D519:G519"/>
    <mergeCell ref="D520:G520"/>
    <mergeCell ref="D521:G521"/>
    <mergeCell ref="D522:G522"/>
    <mergeCell ref="D523:G523"/>
    <mergeCell ref="D528:E529"/>
    <mergeCell ref="G528:G529"/>
    <mergeCell ref="H528:I529"/>
    <mergeCell ref="J528:J529"/>
    <mergeCell ref="D530:E530"/>
    <mergeCell ref="H530:I530"/>
    <mergeCell ref="D531:E531"/>
    <mergeCell ref="H531:I531"/>
    <mergeCell ref="D532:E532"/>
    <mergeCell ref="H532:I532"/>
    <mergeCell ref="D533:E533"/>
    <mergeCell ref="H533:I533"/>
    <mergeCell ref="D534:E534"/>
    <mergeCell ref="D535:E535"/>
    <mergeCell ref="H535:I535"/>
    <mergeCell ref="D536:E536"/>
    <mergeCell ref="H536:I536"/>
    <mergeCell ref="D537:E537"/>
    <mergeCell ref="H537:I537"/>
    <mergeCell ref="D538:E538"/>
    <mergeCell ref="H538:I538"/>
    <mergeCell ref="D539:E539"/>
    <mergeCell ref="H539:I539"/>
    <mergeCell ref="D540:E540"/>
    <mergeCell ref="H540:I540"/>
    <mergeCell ref="D541:E541"/>
    <mergeCell ref="H541:I541"/>
    <mergeCell ref="D542:E542"/>
    <mergeCell ref="H542:I542"/>
    <mergeCell ref="D543:E543"/>
    <mergeCell ref="H543:I543"/>
    <mergeCell ref="D544:E544"/>
    <mergeCell ref="H544:I544"/>
    <mergeCell ref="D545:E545"/>
    <mergeCell ref="H545:I545"/>
    <mergeCell ref="D546:E546"/>
    <mergeCell ref="H546:I546"/>
    <mergeCell ref="D554:E554"/>
    <mergeCell ref="H554:I554"/>
    <mergeCell ref="D555:E555"/>
    <mergeCell ref="D547:E547"/>
    <mergeCell ref="H547:I547"/>
    <mergeCell ref="D548:E548"/>
    <mergeCell ref="H548:I548"/>
    <mergeCell ref="D549:E549"/>
    <mergeCell ref="H549:I549"/>
    <mergeCell ref="D550:E550"/>
    <mergeCell ref="H550:I550"/>
    <mergeCell ref="D551:E551"/>
    <mergeCell ref="H551:I551"/>
    <mergeCell ref="D552:E552"/>
    <mergeCell ref="D553:E553"/>
    <mergeCell ref="D574:E574"/>
    <mergeCell ref="D565:E565"/>
    <mergeCell ref="H565:I565"/>
    <mergeCell ref="D566:E566"/>
    <mergeCell ref="H566:I566"/>
    <mergeCell ref="D568:E568"/>
    <mergeCell ref="D569:E569"/>
    <mergeCell ref="D572:E572"/>
    <mergeCell ref="D563:E563"/>
    <mergeCell ref="H563:I563"/>
    <mergeCell ref="D573:E573"/>
    <mergeCell ref="D564:E564"/>
    <mergeCell ref="H564:I564"/>
    <mergeCell ref="D570:E570"/>
    <mergeCell ref="D571:E571"/>
    <mergeCell ref="D560:E560"/>
    <mergeCell ref="D562:E562"/>
    <mergeCell ref="D328:AA328"/>
    <mergeCell ref="D320:W320"/>
    <mergeCell ref="H562:I562"/>
    <mergeCell ref="H560:I560"/>
    <mergeCell ref="D561:E561"/>
    <mergeCell ref="D332:AA332"/>
    <mergeCell ref="H561:I561"/>
    <mergeCell ref="H555:I555"/>
    <mergeCell ref="B273:K273"/>
    <mergeCell ref="AB272:AD272"/>
    <mergeCell ref="B247:K247"/>
    <mergeCell ref="AB231:AD231"/>
    <mergeCell ref="AB260:AD260"/>
    <mergeCell ref="D559:E559"/>
    <mergeCell ref="H559:I559"/>
    <mergeCell ref="D556:E556"/>
    <mergeCell ref="D557:E557"/>
    <mergeCell ref="D558:E558"/>
    <mergeCell ref="AB308:AD308"/>
    <mergeCell ref="B300:K300"/>
    <mergeCell ref="AG299:AH299"/>
    <mergeCell ref="AB299:AD299"/>
    <mergeCell ref="B303:K303"/>
    <mergeCell ref="A77:AA77"/>
    <mergeCell ref="D82:AD82"/>
    <mergeCell ref="D150:AA150"/>
    <mergeCell ref="AB265:AD265"/>
    <mergeCell ref="AB302:AD302"/>
  </mergeCells>
  <printOptions/>
  <pageMargins left="0" right="0" top="0" bottom="0" header="0.31496062992125984" footer="0.31496062992125984"/>
  <pageSetup fitToHeight="15"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L146"/>
  <sheetViews>
    <sheetView zoomScalePageLayoutView="0" workbookViewId="0" topLeftCell="A5">
      <selection activeCell="L156" sqref="L156"/>
    </sheetView>
  </sheetViews>
  <sheetFormatPr defaultColWidth="9.140625" defaultRowHeight="15"/>
  <cols>
    <col min="1" max="1" width="46.57421875" style="1274" customWidth="1"/>
    <col min="2" max="2" width="17.8515625" style="1274" hidden="1" customWidth="1"/>
    <col min="3" max="3" width="9.28125" style="1284" customWidth="1"/>
    <col min="4" max="5" width="11.421875" style="1284" hidden="1" customWidth="1"/>
    <col min="6" max="6" width="17.140625" style="1289" hidden="1" customWidth="1"/>
    <col min="7" max="9" width="0" style="878" hidden="1" customWidth="1"/>
    <col min="10" max="10" width="9.140625" style="878" customWidth="1"/>
    <col min="11" max="11" width="8.57421875" style="878" customWidth="1"/>
    <col min="12" max="12" width="31.28125" style="1288" customWidth="1"/>
    <col min="13" max="16384" width="9.140625" style="878" customWidth="1"/>
  </cols>
  <sheetData>
    <row r="1" spans="2:5" ht="50.25" customHeight="1" hidden="1">
      <c r="B1" s="1275"/>
      <c r="C1" s="1577"/>
      <c r="D1" s="1577"/>
      <c r="E1" s="1577"/>
    </row>
    <row r="2" spans="3:5" ht="12.75" hidden="1">
      <c r="C2" s="1577"/>
      <c r="D2" s="1577"/>
      <c r="E2" s="1577"/>
    </row>
    <row r="3" spans="1:5" ht="56.25" customHeight="1" hidden="1">
      <c r="A3" s="1578"/>
      <c r="B3" s="1578"/>
      <c r="C3" s="1578"/>
      <c r="D3" s="1578"/>
      <c r="E3" s="1578"/>
    </row>
    <row r="4" spans="1:5" ht="16.5" customHeight="1" hidden="1">
      <c r="A4" s="1276"/>
      <c r="B4" s="1276"/>
      <c r="C4" s="1277"/>
      <c r="D4" s="1277"/>
      <c r="E4" s="1277"/>
    </row>
    <row r="5" spans="1:12" ht="53.25" customHeight="1">
      <c r="A5" s="1278" t="s">
        <v>30</v>
      </c>
      <c r="B5" s="1278" t="s">
        <v>31</v>
      </c>
      <c r="C5" s="1279" t="s">
        <v>36</v>
      </c>
      <c r="D5" s="1279" t="s">
        <v>466</v>
      </c>
      <c r="E5" s="1279" t="s">
        <v>745</v>
      </c>
      <c r="J5" s="1280" t="s">
        <v>746</v>
      </c>
      <c r="K5" s="1287" t="s">
        <v>747</v>
      </c>
      <c r="L5" s="1287" t="s">
        <v>753</v>
      </c>
    </row>
    <row r="6" spans="1:12" ht="26.25">
      <c r="A6" s="1229" t="s">
        <v>445</v>
      </c>
      <c r="B6" s="1290" t="s">
        <v>37</v>
      </c>
      <c r="C6" s="1291">
        <f>45175646/1000</f>
        <v>45175.646</v>
      </c>
      <c r="D6" s="1292">
        <f>55766244/1000</f>
        <v>55766.244</v>
      </c>
      <c r="E6" s="1292">
        <f>50330575/1000</f>
        <v>50330.575</v>
      </c>
      <c r="J6" s="1280">
        <f>J7</f>
        <v>61324.1</v>
      </c>
      <c r="K6" s="1281">
        <f>J7-C6</f>
        <v>16148.453999999998</v>
      </c>
      <c r="L6" s="1287"/>
    </row>
    <row r="7" spans="1:12" ht="12.75">
      <c r="A7" s="1229" t="s">
        <v>38</v>
      </c>
      <c r="B7" s="1290" t="s">
        <v>37</v>
      </c>
      <c r="C7" s="1281">
        <f>C8+C13+C28+C40+C49+C83+C91+C96+C101+C127+C134</f>
        <v>45175.59999999999</v>
      </c>
      <c r="D7" s="1293">
        <f>D13+D28+D40+D49+D83+D91+D96+D101+D127+D134</f>
        <v>55766.2</v>
      </c>
      <c r="E7" s="1293">
        <f>E13+E28+E40+E49+E83+E91+E96+E101+E127+E134</f>
        <v>50330.6</v>
      </c>
      <c r="J7" s="1280">
        <v>61324.1</v>
      </c>
      <c r="K7" s="1281">
        <f>K8+K13+K28+K40+K49+K83+K91+K96+K101+K127+K134</f>
        <v>16148.5</v>
      </c>
      <c r="L7" s="1287"/>
    </row>
    <row r="8" spans="1:12" ht="62.25" customHeight="1">
      <c r="A8" s="1294" t="s">
        <v>639</v>
      </c>
      <c r="B8" s="1230" t="s">
        <v>640</v>
      </c>
      <c r="C8" s="1295">
        <f aca="true" t="shared" si="0" ref="C8:E9">C9</f>
        <v>75.2</v>
      </c>
      <c r="D8" s="1296">
        <f t="shared" si="0"/>
        <v>0</v>
      </c>
      <c r="E8" s="1296">
        <f t="shared" si="0"/>
        <v>0</v>
      </c>
      <c r="J8" s="1280">
        <v>155.2</v>
      </c>
      <c r="K8" s="1281">
        <f aca="true" t="shared" si="1" ref="K8:K71">J8-C8</f>
        <v>79.99999999999999</v>
      </c>
      <c r="L8" s="1287" t="s">
        <v>754</v>
      </c>
    </row>
    <row r="9" spans="1:12" ht="54.75" customHeight="1" hidden="1">
      <c r="A9" s="1294" t="s">
        <v>748</v>
      </c>
      <c r="B9" s="1230" t="s">
        <v>749</v>
      </c>
      <c r="C9" s="1295">
        <f t="shared" si="0"/>
        <v>75.2</v>
      </c>
      <c r="D9" s="1292">
        <f t="shared" si="0"/>
        <v>0</v>
      </c>
      <c r="E9" s="1292">
        <f t="shared" si="0"/>
        <v>0</v>
      </c>
      <c r="J9" s="1280"/>
      <c r="K9" s="1281">
        <f t="shared" si="1"/>
        <v>-75.2</v>
      </c>
      <c r="L9" s="1287"/>
    </row>
    <row r="10" spans="1:12" ht="72.75" customHeight="1" hidden="1">
      <c r="A10" s="1294" t="s">
        <v>643</v>
      </c>
      <c r="B10" s="1230" t="s">
        <v>642</v>
      </c>
      <c r="C10" s="1295">
        <f>C11</f>
        <v>75.2</v>
      </c>
      <c r="D10" s="1292">
        <f>D12</f>
        <v>0</v>
      </c>
      <c r="E10" s="1292">
        <f>E12</f>
        <v>0</v>
      </c>
      <c r="J10" s="1280"/>
      <c r="K10" s="1281">
        <f t="shared" si="1"/>
        <v>-75.2</v>
      </c>
      <c r="L10" s="1287"/>
    </row>
    <row r="11" spans="1:12" ht="21" customHeight="1" hidden="1">
      <c r="A11" s="1297" t="s">
        <v>45</v>
      </c>
      <c r="B11" s="1230" t="s">
        <v>642</v>
      </c>
      <c r="C11" s="1298">
        <f>C12</f>
        <v>75.2</v>
      </c>
      <c r="D11" s="1299">
        <f>D12</f>
        <v>0</v>
      </c>
      <c r="E11" s="1299">
        <f>E12</f>
        <v>0</v>
      </c>
      <c r="J11" s="1280"/>
      <c r="K11" s="1281">
        <f t="shared" si="1"/>
        <v>-75.2</v>
      </c>
      <c r="L11" s="1287"/>
    </row>
    <row r="12" spans="1:12" ht="22.5" customHeight="1" hidden="1">
      <c r="A12" s="1300" t="s">
        <v>79</v>
      </c>
      <c r="B12" s="1230" t="s">
        <v>642</v>
      </c>
      <c r="C12" s="1301">
        <v>75.2</v>
      </c>
      <c r="D12" s="1299">
        <v>0</v>
      </c>
      <c r="E12" s="1299">
        <v>0</v>
      </c>
      <c r="J12" s="1280"/>
      <c r="K12" s="1281">
        <f t="shared" si="1"/>
        <v>-75.2</v>
      </c>
      <c r="L12" s="1287"/>
    </row>
    <row r="13" spans="1:12" ht="96.75" customHeight="1">
      <c r="A13" s="1302" t="s">
        <v>467</v>
      </c>
      <c r="B13" s="1303" t="s">
        <v>39</v>
      </c>
      <c r="C13" s="1304">
        <f>C14+C22+C25</f>
        <v>6042.3</v>
      </c>
      <c r="D13" s="1296">
        <f>D14+D22+D18+D25</f>
        <v>12264</v>
      </c>
      <c r="E13" s="1296">
        <f>E14+E22+E25</f>
        <v>10764</v>
      </c>
      <c r="F13" s="1289">
        <f>C13+D13+E13</f>
        <v>29070.3</v>
      </c>
      <c r="J13" s="1280">
        <v>16278</v>
      </c>
      <c r="K13" s="1281">
        <f t="shared" si="1"/>
        <v>10235.7</v>
      </c>
      <c r="L13" s="1287" t="s">
        <v>755</v>
      </c>
    </row>
    <row r="14" spans="1:12" ht="37.5" customHeight="1" hidden="1">
      <c r="A14" s="1229" t="s">
        <v>496</v>
      </c>
      <c r="B14" s="1290" t="s">
        <v>489</v>
      </c>
      <c r="C14" s="1305">
        <f>C15</f>
        <v>6032.3</v>
      </c>
      <c r="D14" s="1292">
        <f>D15</f>
        <v>8254</v>
      </c>
      <c r="E14" s="1292">
        <f>E15</f>
        <v>8254</v>
      </c>
      <c r="J14" s="1280"/>
      <c r="K14" s="1281">
        <f t="shared" si="1"/>
        <v>-6032.3</v>
      </c>
      <c r="L14" s="1287"/>
    </row>
    <row r="15" spans="1:12" ht="55.5" customHeight="1" hidden="1">
      <c r="A15" s="1229" t="s">
        <v>633</v>
      </c>
      <c r="B15" s="1290" t="s">
        <v>488</v>
      </c>
      <c r="C15" s="1305">
        <f>C17</f>
        <v>6032.3</v>
      </c>
      <c r="D15" s="1292">
        <f>D17</f>
        <v>8254</v>
      </c>
      <c r="E15" s="1292">
        <f>E17</f>
        <v>8254</v>
      </c>
      <c r="J15" s="1280"/>
      <c r="K15" s="1281">
        <f t="shared" si="1"/>
        <v>-6032.3</v>
      </c>
      <c r="L15" s="1287"/>
    </row>
    <row r="16" spans="1:12" ht="21" customHeight="1" hidden="1">
      <c r="A16" s="1306" t="s">
        <v>41</v>
      </c>
      <c r="B16" s="1307" t="s">
        <v>468</v>
      </c>
      <c r="C16" s="1299">
        <f>C17</f>
        <v>6032.3</v>
      </c>
      <c r="D16" s="1299">
        <f>D17</f>
        <v>8254</v>
      </c>
      <c r="E16" s="1299">
        <f>E17</f>
        <v>8254</v>
      </c>
      <c r="J16" s="1280"/>
      <c r="K16" s="1281">
        <f t="shared" si="1"/>
        <v>-6032.3</v>
      </c>
      <c r="L16" s="1287"/>
    </row>
    <row r="17" spans="1:12" ht="22.5" customHeight="1" hidden="1">
      <c r="A17" s="1308" t="s">
        <v>43</v>
      </c>
      <c r="B17" s="1307" t="s">
        <v>468</v>
      </c>
      <c r="C17" s="1299">
        <v>6032.3</v>
      </c>
      <c r="D17" s="1299">
        <v>8254</v>
      </c>
      <c r="E17" s="1299">
        <v>8254</v>
      </c>
      <c r="J17" s="1280"/>
      <c r="K17" s="1281">
        <f t="shared" si="1"/>
        <v>-6032.3</v>
      </c>
      <c r="L17" s="1287"/>
    </row>
    <row r="18" spans="1:12" ht="105" hidden="1">
      <c r="A18" s="1229" t="s">
        <v>632</v>
      </c>
      <c r="B18" s="1290" t="s">
        <v>587</v>
      </c>
      <c r="C18" s="1305">
        <f aca="true" t="shared" si="2" ref="C18:E19">C19</f>
        <v>0</v>
      </c>
      <c r="D18" s="1292">
        <f t="shared" si="2"/>
        <v>2600</v>
      </c>
      <c r="E18" s="1292">
        <f t="shared" si="2"/>
        <v>0</v>
      </c>
      <c r="J18" s="1280"/>
      <c r="K18" s="1281">
        <f t="shared" si="1"/>
        <v>0</v>
      </c>
      <c r="L18" s="1287"/>
    </row>
    <row r="19" spans="1:12" ht="12.75" hidden="1">
      <c r="A19" s="1229" t="s">
        <v>41</v>
      </c>
      <c r="B19" s="1290" t="s">
        <v>587</v>
      </c>
      <c r="C19" s="1305">
        <f t="shared" si="2"/>
        <v>0</v>
      </c>
      <c r="D19" s="1305">
        <f t="shared" si="2"/>
        <v>2600</v>
      </c>
      <c r="E19" s="1305">
        <f t="shared" si="2"/>
        <v>0</v>
      </c>
      <c r="J19" s="1280"/>
      <c r="K19" s="1281">
        <f t="shared" si="1"/>
        <v>0</v>
      </c>
      <c r="L19" s="1287"/>
    </row>
    <row r="20" spans="1:12" ht="12.75" hidden="1">
      <c r="A20" s="1229" t="s">
        <v>43</v>
      </c>
      <c r="B20" s="1290" t="s">
        <v>587</v>
      </c>
      <c r="C20" s="1305">
        <v>0</v>
      </c>
      <c r="D20" s="1305">
        <v>2600</v>
      </c>
      <c r="E20" s="1305">
        <v>0</v>
      </c>
      <c r="J20" s="1280"/>
      <c r="K20" s="1281">
        <f t="shared" si="1"/>
        <v>0</v>
      </c>
      <c r="L20" s="1287"/>
    </row>
    <row r="21" spans="1:12" ht="21" customHeight="1" hidden="1">
      <c r="A21" s="1229" t="s">
        <v>490</v>
      </c>
      <c r="B21" s="1290" t="s">
        <v>491</v>
      </c>
      <c r="C21" s="1305">
        <f>C22</f>
        <v>10</v>
      </c>
      <c r="D21" s="1292">
        <f aca="true" t="shared" si="3" ref="D21:E23">D22</f>
        <v>10</v>
      </c>
      <c r="E21" s="1292">
        <f t="shared" si="3"/>
        <v>10</v>
      </c>
      <c r="J21" s="1280"/>
      <c r="K21" s="1281">
        <f t="shared" si="1"/>
        <v>-10</v>
      </c>
      <c r="L21" s="1287"/>
    </row>
    <row r="22" spans="1:12" ht="54" customHeight="1" hidden="1">
      <c r="A22" s="1229" t="s">
        <v>492</v>
      </c>
      <c r="B22" s="1290" t="s">
        <v>493</v>
      </c>
      <c r="C22" s="1305">
        <f>C23</f>
        <v>10</v>
      </c>
      <c r="D22" s="1292">
        <f t="shared" si="3"/>
        <v>10</v>
      </c>
      <c r="E22" s="1292">
        <f t="shared" si="3"/>
        <v>10</v>
      </c>
      <c r="J22" s="1280"/>
      <c r="K22" s="1281">
        <f t="shared" si="1"/>
        <v>-10</v>
      </c>
      <c r="L22" s="1287"/>
    </row>
    <row r="23" spans="1:12" ht="21.75" customHeight="1" hidden="1">
      <c r="A23" s="1229" t="s">
        <v>45</v>
      </c>
      <c r="B23" s="1290" t="s">
        <v>493</v>
      </c>
      <c r="C23" s="1305">
        <f>C24</f>
        <v>10</v>
      </c>
      <c r="D23" s="1305">
        <f t="shared" si="3"/>
        <v>10</v>
      </c>
      <c r="E23" s="1305">
        <f t="shared" si="3"/>
        <v>10</v>
      </c>
      <c r="J23" s="1280"/>
      <c r="K23" s="1281">
        <f t="shared" si="1"/>
        <v>-10</v>
      </c>
      <c r="L23" s="1287"/>
    </row>
    <row r="24" spans="1:12" ht="20.25" customHeight="1" hidden="1">
      <c r="A24" s="1229" t="s">
        <v>46</v>
      </c>
      <c r="B24" s="1290" t="s">
        <v>493</v>
      </c>
      <c r="C24" s="1305">
        <v>10</v>
      </c>
      <c r="D24" s="1305">
        <v>10</v>
      </c>
      <c r="E24" s="1305">
        <v>10</v>
      </c>
      <c r="J24" s="1280"/>
      <c r="K24" s="1281">
        <f t="shared" si="1"/>
        <v>-10</v>
      </c>
      <c r="L24" s="1287"/>
    </row>
    <row r="25" spans="1:12" ht="78.75" hidden="1">
      <c r="A25" s="1229" t="s">
        <v>495</v>
      </c>
      <c r="B25" s="1290" t="s">
        <v>494</v>
      </c>
      <c r="C25" s="1305">
        <v>0</v>
      </c>
      <c r="D25" s="1292">
        <f>D26</f>
        <v>1400</v>
      </c>
      <c r="E25" s="1292">
        <f>E26</f>
        <v>2500</v>
      </c>
      <c r="J25" s="1280"/>
      <c r="K25" s="1281">
        <f t="shared" si="1"/>
        <v>0</v>
      </c>
      <c r="L25" s="1287"/>
    </row>
    <row r="26" spans="1:12" ht="12.75" hidden="1">
      <c r="A26" s="1229" t="s">
        <v>45</v>
      </c>
      <c r="B26" s="1290" t="s">
        <v>494</v>
      </c>
      <c r="C26" s="1305">
        <v>0</v>
      </c>
      <c r="D26" s="1305">
        <f>D27</f>
        <v>1400</v>
      </c>
      <c r="E26" s="1305">
        <f>E27</f>
        <v>2500</v>
      </c>
      <c r="J26" s="1280"/>
      <c r="K26" s="1281">
        <f t="shared" si="1"/>
        <v>0</v>
      </c>
      <c r="L26" s="1287"/>
    </row>
    <row r="27" spans="1:12" ht="30.75" customHeight="1" hidden="1">
      <c r="A27" s="1229" t="s">
        <v>47</v>
      </c>
      <c r="B27" s="1290" t="s">
        <v>494</v>
      </c>
      <c r="C27" s="1305">
        <v>0</v>
      </c>
      <c r="D27" s="1305">
        <f>1300+100</f>
        <v>1400</v>
      </c>
      <c r="E27" s="1305">
        <f>2300+200</f>
        <v>2500</v>
      </c>
      <c r="J27" s="1280"/>
      <c r="K27" s="1281">
        <f t="shared" si="1"/>
        <v>0</v>
      </c>
      <c r="L27" s="1287"/>
    </row>
    <row r="28" spans="1:12" ht="60" customHeight="1">
      <c r="A28" s="1309" t="s">
        <v>470</v>
      </c>
      <c r="B28" s="1230" t="s">
        <v>48</v>
      </c>
      <c r="C28" s="1295">
        <f>C30+C37</f>
        <v>9249</v>
      </c>
      <c r="D28" s="1310">
        <f>D30+D37</f>
        <v>9293</v>
      </c>
      <c r="E28" s="1310">
        <f>E30+E37</f>
        <v>9293</v>
      </c>
      <c r="F28" s="1289">
        <f>C28+D28+E28</f>
        <v>27835</v>
      </c>
      <c r="J28" s="1280">
        <v>9134.1</v>
      </c>
      <c r="K28" s="1281">
        <f t="shared" si="1"/>
        <v>-114.89999999999964</v>
      </c>
      <c r="L28" s="1287" t="s">
        <v>756</v>
      </c>
    </row>
    <row r="29" spans="1:12" ht="32.25" customHeight="1" hidden="1">
      <c r="A29" s="1229" t="s">
        <v>533</v>
      </c>
      <c r="B29" s="1230" t="s">
        <v>534</v>
      </c>
      <c r="C29" s="1295">
        <f>C28</f>
        <v>9249</v>
      </c>
      <c r="D29" s="1310">
        <f>D28</f>
        <v>9293</v>
      </c>
      <c r="E29" s="1310">
        <f>E28</f>
        <v>9293</v>
      </c>
      <c r="J29" s="1280"/>
      <c r="K29" s="1281">
        <f t="shared" si="1"/>
        <v>-9249</v>
      </c>
      <c r="L29" s="1287"/>
    </row>
    <row r="30" spans="1:12" ht="47.25" customHeight="1" hidden="1">
      <c r="A30" s="1229" t="s">
        <v>532</v>
      </c>
      <c r="B30" s="1230" t="s">
        <v>471</v>
      </c>
      <c r="C30" s="1295">
        <f>C31+C33+C35</f>
        <v>8571.5</v>
      </c>
      <c r="D30" s="1310">
        <f>D31+D33+D35</f>
        <v>8615.5</v>
      </c>
      <c r="E30" s="1310">
        <f>E31+E33+E35</f>
        <v>8615.5</v>
      </c>
      <c r="J30" s="1280"/>
      <c r="K30" s="1281">
        <f t="shared" si="1"/>
        <v>-8571.5</v>
      </c>
      <c r="L30" s="1287"/>
    </row>
    <row r="31" spans="1:12" ht="57.75" customHeight="1" hidden="1">
      <c r="A31" s="1229" t="s">
        <v>49</v>
      </c>
      <c r="B31" s="1230" t="s">
        <v>471</v>
      </c>
      <c r="C31" s="1295">
        <f>C32</f>
        <v>5660.1</v>
      </c>
      <c r="D31" s="1295">
        <f>D32</f>
        <v>5660.1</v>
      </c>
      <c r="E31" s="1295">
        <f>E32</f>
        <v>5660.1</v>
      </c>
      <c r="J31" s="1280"/>
      <c r="K31" s="1281">
        <f t="shared" si="1"/>
        <v>-5660.1</v>
      </c>
      <c r="L31" s="1287"/>
    </row>
    <row r="32" spans="1:12" ht="24" customHeight="1" hidden="1">
      <c r="A32" s="1229" t="s">
        <v>51</v>
      </c>
      <c r="B32" s="1230" t="s">
        <v>471</v>
      </c>
      <c r="C32" s="1295">
        <v>5660.1</v>
      </c>
      <c r="D32" s="1295">
        <v>5660.1</v>
      </c>
      <c r="E32" s="1295">
        <v>5660.1</v>
      </c>
      <c r="J32" s="1280"/>
      <c r="K32" s="1281">
        <f t="shared" si="1"/>
        <v>-5660.1</v>
      </c>
      <c r="L32" s="1287"/>
    </row>
    <row r="33" spans="1:12" ht="26.25" hidden="1">
      <c r="A33" s="1245" t="s">
        <v>53</v>
      </c>
      <c r="B33" s="1230" t="s">
        <v>471</v>
      </c>
      <c r="C33" s="1295">
        <f>C34</f>
        <v>2908.4</v>
      </c>
      <c r="D33" s="1295">
        <f>D34</f>
        <v>2955.4</v>
      </c>
      <c r="E33" s="1295">
        <f>E34</f>
        <v>2955.4</v>
      </c>
      <c r="J33" s="1280"/>
      <c r="K33" s="1281">
        <f t="shared" si="1"/>
        <v>-2908.4</v>
      </c>
      <c r="L33" s="1287"/>
    </row>
    <row r="34" spans="1:12" ht="26.25" hidden="1">
      <c r="A34" s="1245" t="s">
        <v>55</v>
      </c>
      <c r="B34" s="1230" t="s">
        <v>471</v>
      </c>
      <c r="C34" s="1295">
        <v>2908.4</v>
      </c>
      <c r="D34" s="1295">
        <v>2955.4</v>
      </c>
      <c r="E34" s="1295">
        <v>2955.4</v>
      </c>
      <c r="J34" s="1280"/>
      <c r="K34" s="1281">
        <f t="shared" si="1"/>
        <v>-2908.4</v>
      </c>
      <c r="L34" s="1287"/>
    </row>
    <row r="35" spans="1:12" ht="12.75" hidden="1">
      <c r="A35" s="1245" t="s">
        <v>45</v>
      </c>
      <c r="B35" s="1230" t="s">
        <v>471</v>
      </c>
      <c r="C35" s="1295">
        <f>C36</f>
        <v>3</v>
      </c>
      <c r="D35" s="1295">
        <f>D36</f>
        <v>0</v>
      </c>
      <c r="E35" s="1295">
        <f>E36</f>
        <v>0</v>
      </c>
      <c r="J35" s="1280"/>
      <c r="K35" s="1281">
        <f t="shared" si="1"/>
        <v>-3</v>
      </c>
      <c r="L35" s="1287"/>
    </row>
    <row r="36" spans="1:12" ht="12.75" hidden="1">
      <c r="A36" s="1302" t="s">
        <v>58</v>
      </c>
      <c r="B36" s="1230" t="s">
        <v>471</v>
      </c>
      <c r="C36" s="1295">
        <v>3</v>
      </c>
      <c r="D36" s="1295">
        <v>0</v>
      </c>
      <c r="E36" s="1295">
        <v>0</v>
      </c>
      <c r="J36" s="1280"/>
      <c r="K36" s="1281">
        <f t="shared" si="1"/>
        <v>-3</v>
      </c>
      <c r="L36" s="1287"/>
    </row>
    <row r="37" spans="1:12" ht="46.5" customHeight="1" hidden="1">
      <c r="A37" s="1229" t="s">
        <v>535</v>
      </c>
      <c r="B37" s="1230" t="s">
        <v>471</v>
      </c>
      <c r="C37" s="1295">
        <f>C38</f>
        <v>677.5</v>
      </c>
      <c r="D37" s="1310">
        <f aca="true" t="shared" si="4" ref="C37:E38">D38</f>
        <v>677.5</v>
      </c>
      <c r="E37" s="1310">
        <f t="shared" si="4"/>
        <v>677.5</v>
      </c>
      <c r="J37" s="1280"/>
      <c r="K37" s="1281">
        <f t="shared" si="1"/>
        <v>-677.5</v>
      </c>
      <c r="L37" s="1287"/>
    </row>
    <row r="38" spans="1:12" ht="66" hidden="1">
      <c r="A38" s="1229" t="s">
        <v>49</v>
      </c>
      <c r="B38" s="1230" t="s">
        <v>471</v>
      </c>
      <c r="C38" s="1295">
        <f t="shared" si="4"/>
        <v>677.5</v>
      </c>
      <c r="D38" s="1295">
        <f t="shared" si="4"/>
        <v>677.5</v>
      </c>
      <c r="E38" s="1295">
        <f t="shared" si="4"/>
        <v>677.5</v>
      </c>
      <c r="J38" s="1280"/>
      <c r="K38" s="1281">
        <f t="shared" si="1"/>
        <v>-677.5</v>
      </c>
      <c r="L38" s="1287"/>
    </row>
    <row r="39" spans="1:12" ht="30.75" customHeight="1" hidden="1">
      <c r="A39" s="1229" t="s">
        <v>51</v>
      </c>
      <c r="B39" s="1230" t="s">
        <v>471</v>
      </c>
      <c r="C39" s="1295">
        <v>677.5</v>
      </c>
      <c r="D39" s="1295">
        <v>677.5</v>
      </c>
      <c r="E39" s="1295">
        <v>677.5</v>
      </c>
      <c r="J39" s="1280"/>
      <c r="K39" s="1281">
        <f t="shared" si="1"/>
        <v>-677.5</v>
      </c>
      <c r="L39" s="1287"/>
    </row>
    <row r="40" spans="1:12" ht="69" customHeight="1">
      <c r="A40" s="1294" t="s">
        <v>480</v>
      </c>
      <c r="B40" s="1230" t="s">
        <v>62</v>
      </c>
      <c r="C40" s="1295">
        <f>C41+C45</f>
        <v>429.8</v>
      </c>
      <c r="D40" s="1310">
        <f>D41+D45</f>
        <v>827.4</v>
      </c>
      <c r="E40" s="1310">
        <f>E41+E45</f>
        <v>827.4</v>
      </c>
      <c r="F40" s="1289">
        <f>C40+D40+E40</f>
        <v>2084.6</v>
      </c>
      <c r="J40" s="1280">
        <v>946.7</v>
      </c>
      <c r="K40" s="1281">
        <f t="shared" si="1"/>
        <v>516.9000000000001</v>
      </c>
      <c r="L40" s="1287" t="s">
        <v>757</v>
      </c>
    </row>
    <row r="41" spans="1:12" ht="66" hidden="1">
      <c r="A41" s="1294" t="s">
        <v>727</v>
      </c>
      <c r="B41" s="1230" t="s">
        <v>525</v>
      </c>
      <c r="C41" s="1295">
        <f>C42</f>
        <v>378.7</v>
      </c>
      <c r="D41" s="1310">
        <f aca="true" t="shared" si="5" ref="D41:E43">D42</f>
        <v>739.8</v>
      </c>
      <c r="E41" s="1310">
        <f t="shared" si="5"/>
        <v>739.8</v>
      </c>
      <c r="J41" s="1280"/>
      <c r="K41" s="1281">
        <f t="shared" si="1"/>
        <v>-378.7</v>
      </c>
      <c r="L41" s="1287"/>
    </row>
    <row r="42" spans="1:12" ht="78.75" hidden="1">
      <c r="A42" s="1294" t="s">
        <v>728</v>
      </c>
      <c r="B42" s="1230" t="s">
        <v>729</v>
      </c>
      <c r="C42" s="1295">
        <f>C43</f>
        <v>378.7</v>
      </c>
      <c r="D42" s="1310">
        <f t="shared" si="5"/>
        <v>739.8</v>
      </c>
      <c r="E42" s="1310">
        <f t="shared" si="5"/>
        <v>739.8</v>
      </c>
      <c r="J42" s="1280"/>
      <c r="K42" s="1281">
        <f t="shared" si="1"/>
        <v>-378.7</v>
      </c>
      <c r="L42" s="1287"/>
    </row>
    <row r="43" spans="1:12" ht="26.25" hidden="1">
      <c r="A43" s="1229" t="s">
        <v>53</v>
      </c>
      <c r="B43" s="1230" t="s">
        <v>729</v>
      </c>
      <c r="C43" s="1295">
        <f>C44</f>
        <v>378.7</v>
      </c>
      <c r="D43" s="1295">
        <f t="shared" si="5"/>
        <v>739.8</v>
      </c>
      <c r="E43" s="1295">
        <f t="shared" si="5"/>
        <v>739.8</v>
      </c>
      <c r="J43" s="1280"/>
      <c r="K43" s="1281">
        <f t="shared" si="1"/>
        <v>-378.7</v>
      </c>
      <c r="L43" s="1287"/>
    </row>
    <row r="44" spans="1:12" ht="26.25" hidden="1">
      <c r="A44" s="1229" t="s">
        <v>55</v>
      </c>
      <c r="B44" s="1230" t="s">
        <v>729</v>
      </c>
      <c r="C44" s="1295">
        <v>378.7</v>
      </c>
      <c r="D44" s="1295">
        <v>739.8</v>
      </c>
      <c r="E44" s="1295">
        <v>739.8</v>
      </c>
      <c r="J44" s="1280"/>
      <c r="K44" s="1281">
        <f t="shared" si="1"/>
        <v>-378.7</v>
      </c>
      <c r="L44" s="1287"/>
    </row>
    <row r="45" spans="1:12" ht="26.25" hidden="1">
      <c r="A45" s="1229" t="s">
        <v>750</v>
      </c>
      <c r="B45" s="1230" t="s">
        <v>751</v>
      </c>
      <c r="C45" s="1295">
        <f aca="true" t="shared" si="6" ref="C45:E47">C46</f>
        <v>51.1</v>
      </c>
      <c r="D45" s="1310">
        <f t="shared" si="6"/>
        <v>87.6</v>
      </c>
      <c r="E45" s="1310">
        <f t="shared" si="6"/>
        <v>87.6</v>
      </c>
      <c r="J45" s="1280"/>
      <c r="K45" s="1281">
        <f t="shared" si="1"/>
        <v>-51.1</v>
      </c>
      <c r="L45" s="1287"/>
    </row>
    <row r="46" spans="1:12" ht="52.5" hidden="1">
      <c r="A46" s="1229" t="s">
        <v>752</v>
      </c>
      <c r="B46" s="1230" t="s">
        <v>751</v>
      </c>
      <c r="C46" s="1295">
        <f t="shared" si="6"/>
        <v>51.1</v>
      </c>
      <c r="D46" s="1310">
        <f t="shared" si="6"/>
        <v>87.6</v>
      </c>
      <c r="E46" s="1310">
        <f t="shared" si="6"/>
        <v>87.6</v>
      </c>
      <c r="J46" s="1280"/>
      <c r="K46" s="1281">
        <f t="shared" si="1"/>
        <v>-51.1</v>
      </c>
      <c r="L46" s="1287"/>
    </row>
    <row r="47" spans="1:12" ht="26.25" hidden="1">
      <c r="A47" s="1229" t="s">
        <v>53</v>
      </c>
      <c r="B47" s="1230" t="s">
        <v>751</v>
      </c>
      <c r="C47" s="1295">
        <f t="shared" si="6"/>
        <v>51.1</v>
      </c>
      <c r="D47" s="1295">
        <f t="shared" si="6"/>
        <v>87.6</v>
      </c>
      <c r="E47" s="1295">
        <f t="shared" si="6"/>
        <v>87.6</v>
      </c>
      <c r="J47" s="1280"/>
      <c r="K47" s="1281">
        <f t="shared" si="1"/>
        <v>-51.1</v>
      </c>
      <c r="L47" s="1287"/>
    </row>
    <row r="48" spans="1:12" ht="24" customHeight="1" hidden="1">
      <c r="A48" s="1229" t="s">
        <v>55</v>
      </c>
      <c r="B48" s="1230" t="s">
        <v>751</v>
      </c>
      <c r="C48" s="1295">
        <v>51.1</v>
      </c>
      <c r="D48" s="1295">
        <v>87.6</v>
      </c>
      <c r="E48" s="1295">
        <v>87.6</v>
      </c>
      <c r="J48" s="1280"/>
      <c r="K48" s="1281">
        <f t="shared" si="1"/>
        <v>-51.1</v>
      </c>
      <c r="L48" s="1287"/>
    </row>
    <row r="49" spans="1:12" ht="69" customHeight="1">
      <c r="A49" s="1229" t="s">
        <v>481</v>
      </c>
      <c r="B49" s="1230" t="s">
        <v>63</v>
      </c>
      <c r="C49" s="1295">
        <f>C50</f>
        <v>8691.300000000001</v>
      </c>
      <c r="D49" s="1310">
        <f>D50</f>
        <v>8455.2</v>
      </c>
      <c r="E49" s="1310">
        <f>E50</f>
        <v>8854.800000000001</v>
      </c>
      <c r="F49" s="1289">
        <f>C49+D49+E49</f>
        <v>26001.300000000003</v>
      </c>
      <c r="J49" s="1280">
        <v>8945.3</v>
      </c>
      <c r="K49" s="1281">
        <f t="shared" si="1"/>
        <v>253.99999999999818</v>
      </c>
      <c r="L49" s="1287" t="s">
        <v>758</v>
      </c>
    </row>
    <row r="50" spans="1:12" ht="30" customHeight="1" hidden="1">
      <c r="A50" s="1229" t="s">
        <v>635</v>
      </c>
      <c r="B50" s="1230" t="s">
        <v>485</v>
      </c>
      <c r="C50" s="1295">
        <f>C51+C56+C59+C63+C69+C73+C80+C76</f>
        <v>8691.300000000001</v>
      </c>
      <c r="D50" s="1310">
        <f>D51+D56+D59+D63+D69+D73+D80+D76</f>
        <v>8455.2</v>
      </c>
      <c r="E50" s="1310">
        <f>E51+E56+E59+E63+E69+E73+E80+E76</f>
        <v>8854.800000000001</v>
      </c>
      <c r="J50" s="1280"/>
      <c r="K50" s="1281">
        <f t="shared" si="1"/>
        <v>-8691.300000000001</v>
      </c>
      <c r="L50" s="1287"/>
    </row>
    <row r="51" spans="1:12" ht="36" customHeight="1" hidden="1">
      <c r="A51" s="1229"/>
      <c r="B51" s="1230"/>
      <c r="C51" s="1295">
        <f aca="true" t="shared" si="7" ref="C51:E52">C53</f>
        <v>1418.6</v>
      </c>
      <c r="D51" s="1310">
        <f t="shared" si="7"/>
        <v>1418.6</v>
      </c>
      <c r="E51" s="1310">
        <f t="shared" si="7"/>
        <v>1418.6</v>
      </c>
      <c r="J51" s="1280"/>
      <c r="K51" s="1281">
        <f t="shared" si="1"/>
        <v>-1418.6</v>
      </c>
      <c r="L51" s="1287"/>
    </row>
    <row r="52" spans="1:12" ht="87.75" customHeight="1" hidden="1">
      <c r="A52" s="1229" t="s">
        <v>636</v>
      </c>
      <c r="B52" s="1230" t="s">
        <v>486</v>
      </c>
      <c r="C52" s="1295">
        <f t="shared" si="7"/>
        <v>1418.6</v>
      </c>
      <c r="D52" s="1310">
        <f t="shared" si="7"/>
        <v>1418.6</v>
      </c>
      <c r="E52" s="1310">
        <f t="shared" si="7"/>
        <v>1418.6</v>
      </c>
      <c r="J52" s="1280"/>
      <c r="K52" s="1281">
        <f t="shared" si="1"/>
        <v>-1418.6</v>
      </c>
      <c r="L52" s="1287"/>
    </row>
    <row r="53" spans="1:12" ht="66" hidden="1">
      <c r="A53" s="1229" t="s">
        <v>60</v>
      </c>
      <c r="B53" s="1230" t="s">
        <v>486</v>
      </c>
      <c r="C53" s="1295">
        <v>1418.6</v>
      </c>
      <c r="D53" s="1295">
        <v>1418.6</v>
      </c>
      <c r="E53" s="1295">
        <v>1418.6</v>
      </c>
      <c r="J53" s="1280"/>
      <c r="K53" s="1281">
        <f t="shared" si="1"/>
        <v>-1418.6</v>
      </c>
      <c r="L53" s="1287"/>
    </row>
    <row r="54" spans="1:12" ht="21.75" customHeight="1" hidden="1">
      <c r="A54" s="1229" t="s">
        <v>64</v>
      </c>
      <c r="B54" s="1230" t="s">
        <v>486</v>
      </c>
      <c r="C54" s="1295">
        <v>1418.6</v>
      </c>
      <c r="D54" s="1295">
        <v>1418.6</v>
      </c>
      <c r="E54" s="1295">
        <v>1418.6</v>
      </c>
      <c r="J54" s="1280"/>
      <c r="K54" s="1281">
        <f t="shared" si="1"/>
        <v>-1418.6</v>
      </c>
      <c r="L54" s="1287"/>
    </row>
    <row r="55" spans="1:12" ht="12.75" hidden="1">
      <c r="A55" s="1229"/>
      <c r="B55" s="1230"/>
      <c r="C55" s="1295">
        <f>C56</f>
        <v>6411.6</v>
      </c>
      <c r="D55" s="1310">
        <f aca="true" t="shared" si="8" ref="C55:E57">D56</f>
        <v>6448.5</v>
      </c>
      <c r="E55" s="1310">
        <f t="shared" si="8"/>
        <v>6621.6</v>
      </c>
      <c r="J55" s="1280"/>
      <c r="K55" s="1281">
        <f t="shared" si="1"/>
        <v>-6411.6</v>
      </c>
      <c r="L55" s="1287"/>
    </row>
    <row r="56" spans="1:12" ht="98.25" customHeight="1" hidden="1">
      <c r="A56" s="1229" t="s">
        <v>637</v>
      </c>
      <c r="B56" s="1230" t="s">
        <v>546</v>
      </c>
      <c r="C56" s="1295">
        <f t="shared" si="8"/>
        <v>6411.6</v>
      </c>
      <c r="D56" s="1310">
        <f t="shared" si="8"/>
        <v>6448.5</v>
      </c>
      <c r="E56" s="1310">
        <f t="shared" si="8"/>
        <v>6621.6</v>
      </c>
      <c r="J56" s="1280"/>
      <c r="K56" s="1281">
        <f t="shared" si="1"/>
        <v>-6411.6</v>
      </c>
      <c r="L56" s="1287"/>
    </row>
    <row r="57" spans="1:12" ht="66" hidden="1">
      <c r="A57" s="1229" t="s">
        <v>60</v>
      </c>
      <c r="B57" s="1230" t="s">
        <v>546</v>
      </c>
      <c r="C57" s="1295">
        <f>C58</f>
        <v>6411.6</v>
      </c>
      <c r="D57" s="1295">
        <f t="shared" si="8"/>
        <v>6448.5</v>
      </c>
      <c r="E57" s="1295">
        <f t="shared" si="8"/>
        <v>6621.6</v>
      </c>
      <c r="J57" s="1280"/>
      <c r="K57" s="1281">
        <f t="shared" si="1"/>
        <v>-6411.6</v>
      </c>
      <c r="L57" s="1287"/>
    </row>
    <row r="58" spans="1:12" ht="21.75" customHeight="1" hidden="1">
      <c r="A58" s="1229" t="s">
        <v>64</v>
      </c>
      <c r="B58" s="1230" t="s">
        <v>546</v>
      </c>
      <c r="C58" s="1295">
        <v>6411.6</v>
      </c>
      <c r="D58" s="1295">
        <v>6448.5</v>
      </c>
      <c r="E58" s="1295">
        <v>6621.6</v>
      </c>
      <c r="J58" s="1280"/>
      <c r="K58" s="1281">
        <f t="shared" si="1"/>
        <v>-6411.6</v>
      </c>
      <c r="L58" s="1287"/>
    </row>
    <row r="59" spans="1:12" ht="95.25" customHeight="1" hidden="1">
      <c r="A59" s="1308" t="s">
        <v>638</v>
      </c>
      <c r="B59" s="1230" t="s">
        <v>547</v>
      </c>
      <c r="C59" s="1295">
        <f aca="true" t="shared" si="9" ref="C59:E60">C60</f>
        <v>211.4</v>
      </c>
      <c r="D59" s="1310">
        <f t="shared" si="9"/>
        <v>0</v>
      </c>
      <c r="E59" s="1310">
        <f t="shared" si="9"/>
        <v>0</v>
      </c>
      <c r="J59" s="1280"/>
      <c r="K59" s="1281">
        <f t="shared" si="1"/>
        <v>-211.4</v>
      </c>
      <c r="L59" s="1287"/>
    </row>
    <row r="60" spans="1:12" ht="12.75" hidden="1">
      <c r="A60" s="1229" t="s">
        <v>41</v>
      </c>
      <c r="B60" s="1230" t="s">
        <v>547</v>
      </c>
      <c r="C60" s="1295">
        <f t="shared" si="9"/>
        <v>211.4</v>
      </c>
      <c r="D60" s="1295">
        <f t="shared" si="9"/>
        <v>0</v>
      </c>
      <c r="E60" s="1295">
        <f t="shared" si="9"/>
        <v>0</v>
      </c>
      <c r="J60" s="1280"/>
      <c r="K60" s="1281">
        <f t="shared" si="1"/>
        <v>-211.4</v>
      </c>
      <c r="L60" s="1287"/>
    </row>
    <row r="61" spans="1:12" ht="12.75" hidden="1">
      <c r="A61" s="1229" t="s">
        <v>43</v>
      </c>
      <c r="B61" s="1230" t="s">
        <v>547</v>
      </c>
      <c r="C61" s="1295">
        <f>326.3-114.9</f>
        <v>211.4</v>
      </c>
      <c r="D61" s="1295">
        <v>0</v>
      </c>
      <c r="E61" s="1295">
        <v>0</v>
      </c>
      <c r="J61" s="1280"/>
      <c r="K61" s="1281">
        <f t="shared" si="1"/>
        <v>-211.4</v>
      </c>
      <c r="L61" s="1287"/>
    </row>
    <row r="62" spans="1:12" ht="12.75" hidden="1">
      <c r="A62" s="1229"/>
      <c r="B62" s="1230" t="s">
        <v>485</v>
      </c>
      <c r="C62" s="1295">
        <f>C63</f>
        <v>213.7</v>
      </c>
      <c r="D62" s="1310">
        <f>D63</f>
        <v>0</v>
      </c>
      <c r="E62" s="1310">
        <f>E63</f>
        <v>220</v>
      </c>
      <c r="J62" s="1280"/>
      <c r="K62" s="1281">
        <f t="shared" si="1"/>
        <v>-213.7</v>
      </c>
      <c r="L62" s="1287"/>
    </row>
    <row r="63" spans="1:12" ht="60.75" customHeight="1" hidden="1">
      <c r="A63" s="1308" t="s">
        <v>518</v>
      </c>
      <c r="B63" s="1230" t="s">
        <v>550</v>
      </c>
      <c r="C63" s="1295">
        <f>C64+C66</f>
        <v>213.7</v>
      </c>
      <c r="D63" s="1310">
        <f>D64+D66</f>
        <v>0</v>
      </c>
      <c r="E63" s="1310">
        <f>E64+E66</f>
        <v>220</v>
      </c>
      <c r="J63" s="1280"/>
      <c r="K63" s="1281">
        <f t="shared" si="1"/>
        <v>-213.7</v>
      </c>
      <c r="L63" s="1287"/>
    </row>
    <row r="64" spans="1:12" ht="26.25" hidden="1">
      <c r="A64" s="1229" t="s">
        <v>53</v>
      </c>
      <c r="B64" s="1230" t="s">
        <v>550</v>
      </c>
      <c r="C64" s="1295">
        <f>C65</f>
        <v>198.7</v>
      </c>
      <c r="D64" s="1295">
        <f>D65</f>
        <v>0</v>
      </c>
      <c r="E64" s="1295">
        <f>E65</f>
        <v>205</v>
      </c>
      <c r="J64" s="1280"/>
      <c r="K64" s="1281">
        <f t="shared" si="1"/>
        <v>-198.7</v>
      </c>
      <c r="L64" s="1287"/>
    </row>
    <row r="65" spans="1:12" ht="26.25" hidden="1">
      <c r="A65" s="1229" t="s">
        <v>55</v>
      </c>
      <c r="B65" s="1230" t="s">
        <v>550</v>
      </c>
      <c r="C65" s="1295">
        <v>198.7</v>
      </c>
      <c r="D65" s="1295">
        <v>0</v>
      </c>
      <c r="E65" s="1295">
        <v>205</v>
      </c>
      <c r="J65" s="1280"/>
      <c r="K65" s="1281">
        <f t="shared" si="1"/>
        <v>-198.7</v>
      </c>
      <c r="L65" s="1287"/>
    </row>
    <row r="66" spans="1:12" ht="12.75" hidden="1">
      <c r="A66" s="1229" t="s">
        <v>45</v>
      </c>
      <c r="B66" s="1230" t="s">
        <v>550</v>
      </c>
      <c r="C66" s="1295">
        <f>C67</f>
        <v>15</v>
      </c>
      <c r="D66" s="1295">
        <f>D67</f>
        <v>0</v>
      </c>
      <c r="E66" s="1295">
        <f>E67</f>
        <v>15</v>
      </c>
      <c r="J66" s="1280"/>
      <c r="K66" s="1281">
        <f t="shared" si="1"/>
        <v>-15</v>
      </c>
      <c r="L66" s="1287"/>
    </row>
    <row r="67" spans="1:12" ht="12.75" hidden="1">
      <c r="A67" s="1308" t="s">
        <v>58</v>
      </c>
      <c r="B67" s="1230" t="s">
        <v>550</v>
      </c>
      <c r="C67" s="1295">
        <v>15</v>
      </c>
      <c r="D67" s="1295">
        <v>0</v>
      </c>
      <c r="E67" s="1295">
        <v>15</v>
      </c>
      <c r="J67" s="1280"/>
      <c r="K67" s="1281">
        <f t="shared" si="1"/>
        <v>-15</v>
      </c>
      <c r="L67" s="1287"/>
    </row>
    <row r="68" spans="1:12" ht="12.75" hidden="1">
      <c r="A68" s="1308"/>
      <c r="B68" s="1230" t="s">
        <v>485</v>
      </c>
      <c r="C68" s="1295">
        <f aca="true" t="shared" si="10" ref="C68:E70">C69</f>
        <v>219</v>
      </c>
      <c r="D68" s="1310">
        <f t="shared" si="10"/>
        <v>221.1</v>
      </c>
      <c r="E68" s="1310">
        <f t="shared" si="10"/>
        <v>227.6</v>
      </c>
      <c r="J68" s="1280"/>
      <c r="K68" s="1281">
        <f t="shared" si="1"/>
        <v>-219</v>
      </c>
      <c r="L68" s="1287"/>
    </row>
    <row r="69" spans="1:12" ht="66" hidden="1">
      <c r="A69" s="1309" t="s">
        <v>519</v>
      </c>
      <c r="B69" s="1230" t="s">
        <v>549</v>
      </c>
      <c r="C69" s="1295">
        <f t="shared" si="10"/>
        <v>219</v>
      </c>
      <c r="D69" s="1310">
        <f t="shared" si="10"/>
        <v>221.1</v>
      </c>
      <c r="E69" s="1310">
        <f t="shared" si="10"/>
        <v>227.6</v>
      </c>
      <c r="F69" s="1289">
        <f>C69+D69+E69+C73+D73+E73</f>
        <v>684.5000000000001</v>
      </c>
      <c r="J69" s="1280"/>
      <c r="K69" s="1281">
        <f t="shared" si="1"/>
        <v>-219</v>
      </c>
      <c r="L69" s="1287"/>
    </row>
    <row r="70" spans="1:12" ht="66" hidden="1">
      <c r="A70" s="1309" t="s">
        <v>60</v>
      </c>
      <c r="B70" s="1230" t="s">
        <v>549</v>
      </c>
      <c r="C70" s="1295">
        <f t="shared" si="10"/>
        <v>219</v>
      </c>
      <c r="D70" s="1295">
        <f t="shared" si="10"/>
        <v>221.1</v>
      </c>
      <c r="E70" s="1295">
        <f t="shared" si="10"/>
        <v>227.6</v>
      </c>
      <c r="G70" s="1282">
        <f>C69+C73</f>
        <v>224.6</v>
      </c>
      <c r="J70" s="1280"/>
      <c r="K70" s="1281">
        <f t="shared" si="1"/>
        <v>-219</v>
      </c>
      <c r="L70" s="1287"/>
    </row>
    <row r="71" spans="1:12" ht="26.25" hidden="1">
      <c r="A71" s="1309" t="s">
        <v>64</v>
      </c>
      <c r="B71" s="1230" t="s">
        <v>549</v>
      </c>
      <c r="C71" s="1295">
        <v>219</v>
      </c>
      <c r="D71" s="1295">
        <v>221.1</v>
      </c>
      <c r="E71" s="1295">
        <v>227.6</v>
      </c>
      <c r="J71" s="1280"/>
      <c r="K71" s="1281">
        <f t="shared" si="1"/>
        <v>-219</v>
      </c>
      <c r="L71" s="1287"/>
    </row>
    <row r="72" spans="1:12" ht="80.25" customHeight="1" hidden="1">
      <c r="A72" s="1308"/>
      <c r="B72" s="1230" t="s">
        <v>485</v>
      </c>
      <c r="C72" s="1295">
        <f>C73+C77</f>
        <v>7</v>
      </c>
      <c r="D72" s="1310">
        <f>D73+D77</f>
        <v>7</v>
      </c>
      <c r="E72" s="1310">
        <f>E73+E77</f>
        <v>7</v>
      </c>
      <c r="J72" s="1280"/>
      <c r="K72" s="1281">
        <f aca="true" t="shared" si="11" ref="K72:K134">J72-C72</f>
        <v>-7</v>
      </c>
      <c r="L72" s="1287"/>
    </row>
    <row r="73" spans="1:12" ht="132" hidden="1">
      <c r="A73" s="1308" t="s">
        <v>523</v>
      </c>
      <c r="B73" s="1230" t="s">
        <v>552</v>
      </c>
      <c r="C73" s="1295">
        <f aca="true" t="shared" si="12" ref="C73:E74">C74</f>
        <v>5.6</v>
      </c>
      <c r="D73" s="1310">
        <f t="shared" si="12"/>
        <v>5.6</v>
      </c>
      <c r="E73" s="1310">
        <f t="shared" si="12"/>
        <v>5.6</v>
      </c>
      <c r="G73" s="1282">
        <f>D69+D73</f>
        <v>226.7</v>
      </c>
      <c r="J73" s="1280"/>
      <c r="K73" s="1281">
        <f t="shared" si="11"/>
        <v>-5.6</v>
      </c>
      <c r="L73" s="1287"/>
    </row>
    <row r="74" spans="1:12" ht="26.25" hidden="1">
      <c r="A74" s="1309" t="s">
        <v>53</v>
      </c>
      <c r="B74" s="1230" t="s">
        <v>552</v>
      </c>
      <c r="C74" s="1295">
        <f t="shared" si="12"/>
        <v>5.6</v>
      </c>
      <c r="D74" s="1295">
        <f t="shared" si="12"/>
        <v>5.6</v>
      </c>
      <c r="E74" s="1295">
        <f t="shared" si="12"/>
        <v>5.6</v>
      </c>
      <c r="J74" s="1280"/>
      <c r="K74" s="1281">
        <f t="shared" si="11"/>
        <v>-5.6</v>
      </c>
      <c r="L74" s="1287"/>
    </row>
    <row r="75" spans="1:12" ht="26.25" hidden="1">
      <c r="A75" s="1229" t="s">
        <v>55</v>
      </c>
      <c r="B75" s="1230" t="s">
        <v>552</v>
      </c>
      <c r="C75" s="1295">
        <v>5.6</v>
      </c>
      <c r="D75" s="1295">
        <v>5.6</v>
      </c>
      <c r="E75" s="1295">
        <v>5.6</v>
      </c>
      <c r="J75" s="1280"/>
      <c r="K75" s="1281">
        <f t="shared" si="11"/>
        <v>-5.6</v>
      </c>
      <c r="L75" s="1287"/>
    </row>
    <row r="76" spans="1:12" ht="144.75" hidden="1">
      <c r="A76" s="1308" t="s">
        <v>524</v>
      </c>
      <c r="B76" s="1230" t="s">
        <v>551</v>
      </c>
      <c r="C76" s="1295">
        <f aca="true" t="shared" si="13" ref="C76:E77">C77</f>
        <v>1.4</v>
      </c>
      <c r="D76" s="1310">
        <f t="shared" si="13"/>
        <v>1.4</v>
      </c>
      <c r="E76" s="1310">
        <f t="shared" si="13"/>
        <v>1.4</v>
      </c>
      <c r="G76" s="1282">
        <f>E69+E73</f>
        <v>233.2</v>
      </c>
      <c r="J76" s="1280"/>
      <c r="K76" s="1281">
        <f t="shared" si="11"/>
        <v>-1.4</v>
      </c>
      <c r="L76" s="1287"/>
    </row>
    <row r="77" spans="1:12" ht="26.25" hidden="1">
      <c r="A77" s="1309" t="s">
        <v>53</v>
      </c>
      <c r="B77" s="1230" t="s">
        <v>551</v>
      </c>
      <c r="C77" s="1295">
        <f t="shared" si="13"/>
        <v>1.4</v>
      </c>
      <c r="D77" s="1295">
        <f t="shared" si="13"/>
        <v>1.4</v>
      </c>
      <c r="E77" s="1295">
        <f t="shared" si="13"/>
        <v>1.4</v>
      </c>
      <c r="J77" s="1280"/>
      <c r="K77" s="1281">
        <f t="shared" si="11"/>
        <v>-1.4</v>
      </c>
      <c r="L77" s="1287"/>
    </row>
    <row r="78" spans="1:12" ht="26.25" hidden="1">
      <c r="A78" s="1229" t="s">
        <v>55</v>
      </c>
      <c r="B78" s="1230" t="s">
        <v>551</v>
      </c>
      <c r="C78" s="1295">
        <v>1.4</v>
      </c>
      <c r="D78" s="1295">
        <v>1.4</v>
      </c>
      <c r="E78" s="1295">
        <v>1.4</v>
      </c>
      <c r="J78" s="1280"/>
      <c r="K78" s="1281">
        <f t="shared" si="11"/>
        <v>-1.4</v>
      </c>
      <c r="L78" s="1287"/>
    </row>
    <row r="79" spans="1:12" ht="12.75" hidden="1">
      <c r="A79" s="1229"/>
      <c r="B79" s="1230" t="s">
        <v>485</v>
      </c>
      <c r="C79" s="1295">
        <f>C80</f>
        <v>210</v>
      </c>
      <c r="D79" s="1310">
        <f aca="true" t="shared" si="14" ref="D79:E81">D80</f>
        <v>360</v>
      </c>
      <c r="E79" s="1310">
        <f t="shared" si="14"/>
        <v>360</v>
      </c>
      <c r="J79" s="1280"/>
      <c r="K79" s="1281">
        <f t="shared" si="11"/>
        <v>-210</v>
      </c>
      <c r="L79" s="1287"/>
    </row>
    <row r="80" spans="1:12" ht="52.5" hidden="1">
      <c r="A80" s="1229" t="s">
        <v>527</v>
      </c>
      <c r="B80" s="1230" t="s">
        <v>546</v>
      </c>
      <c r="C80" s="1295">
        <f>C81</f>
        <v>210</v>
      </c>
      <c r="D80" s="1310">
        <f t="shared" si="14"/>
        <v>360</v>
      </c>
      <c r="E80" s="1310">
        <f t="shared" si="14"/>
        <v>360</v>
      </c>
      <c r="J80" s="1280"/>
      <c r="K80" s="1281">
        <f t="shared" si="11"/>
        <v>-210</v>
      </c>
      <c r="L80" s="1287"/>
    </row>
    <row r="81" spans="1:12" ht="12.75" hidden="1">
      <c r="A81" s="1229" t="s">
        <v>66</v>
      </c>
      <c r="B81" s="1230" t="s">
        <v>546</v>
      </c>
      <c r="C81" s="1295">
        <f>C82</f>
        <v>210</v>
      </c>
      <c r="D81" s="1295">
        <f t="shared" si="14"/>
        <v>360</v>
      </c>
      <c r="E81" s="1295">
        <f t="shared" si="14"/>
        <v>360</v>
      </c>
      <c r="J81" s="1280"/>
      <c r="K81" s="1281">
        <f t="shared" si="11"/>
        <v>-210</v>
      </c>
      <c r="L81" s="1287"/>
    </row>
    <row r="82" spans="1:12" ht="20.25" customHeight="1" hidden="1">
      <c r="A82" s="1311" t="s">
        <v>68</v>
      </c>
      <c r="B82" s="1230" t="s">
        <v>546</v>
      </c>
      <c r="C82" s="1295">
        <v>210</v>
      </c>
      <c r="D82" s="1295">
        <v>360</v>
      </c>
      <c r="E82" s="1295">
        <v>360</v>
      </c>
      <c r="J82" s="1280"/>
      <c r="K82" s="1281">
        <f t="shared" si="11"/>
        <v>-210</v>
      </c>
      <c r="L82" s="1287"/>
    </row>
    <row r="83" spans="1:12" ht="76.5" customHeight="1">
      <c r="A83" s="1229" t="s">
        <v>469</v>
      </c>
      <c r="B83" s="1290" t="s">
        <v>70</v>
      </c>
      <c r="C83" s="1305">
        <f>C85+C88</f>
        <v>27.1</v>
      </c>
      <c r="D83" s="1292">
        <f>D85+D88</f>
        <v>27.2</v>
      </c>
      <c r="E83" s="1292">
        <f>E85+E88</f>
        <v>27.2</v>
      </c>
      <c r="F83" s="1289">
        <f>C83+D83+E83</f>
        <v>81.5</v>
      </c>
      <c r="J83" s="1280">
        <v>27.1</v>
      </c>
      <c r="K83" s="1281">
        <f t="shared" si="11"/>
        <v>0</v>
      </c>
      <c r="L83" s="1287"/>
    </row>
    <row r="84" spans="1:12" ht="24" customHeight="1" hidden="1">
      <c r="A84" s="1229" t="s">
        <v>498</v>
      </c>
      <c r="B84" s="1290"/>
      <c r="C84" s="1305"/>
      <c r="D84" s="1292"/>
      <c r="E84" s="1292"/>
      <c r="J84" s="1280"/>
      <c r="K84" s="1281">
        <f t="shared" si="11"/>
        <v>0</v>
      </c>
      <c r="L84" s="1287"/>
    </row>
    <row r="85" spans="1:12" ht="66" hidden="1">
      <c r="A85" s="1229" t="s">
        <v>499</v>
      </c>
      <c r="B85" s="1230" t="s">
        <v>71</v>
      </c>
      <c r="C85" s="1295">
        <f aca="true" t="shared" si="15" ref="C85:E86">C86</f>
        <v>13.5</v>
      </c>
      <c r="D85" s="1310">
        <f t="shared" si="15"/>
        <v>13.6</v>
      </c>
      <c r="E85" s="1310">
        <f t="shared" si="15"/>
        <v>13.6</v>
      </c>
      <c r="F85" s="1289">
        <f>13.56+13.58+13.58</f>
        <v>40.72</v>
      </c>
      <c r="J85" s="1280"/>
      <c r="K85" s="1281">
        <f t="shared" si="11"/>
        <v>-13.5</v>
      </c>
      <c r="L85" s="1287"/>
    </row>
    <row r="86" spans="1:12" ht="26.25" hidden="1">
      <c r="A86" s="1229" t="s">
        <v>53</v>
      </c>
      <c r="B86" s="1230" t="s">
        <v>71</v>
      </c>
      <c r="C86" s="1295">
        <f t="shared" si="15"/>
        <v>13.5</v>
      </c>
      <c r="D86" s="1295">
        <f t="shared" si="15"/>
        <v>13.6</v>
      </c>
      <c r="E86" s="1295">
        <f t="shared" si="15"/>
        <v>13.6</v>
      </c>
      <c r="J86" s="1280"/>
      <c r="K86" s="1281">
        <f t="shared" si="11"/>
        <v>-13.5</v>
      </c>
      <c r="L86" s="1287"/>
    </row>
    <row r="87" spans="1:12" ht="26.25" hidden="1">
      <c r="A87" s="1229" t="s">
        <v>55</v>
      </c>
      <c r="B87" s="1230" t="s">
        <v>71</v>
      </c>
      <c r="C87" s="1295">
        <v>13.5</v>
      </c>
      <c r="D87" s="1295">
        <v>13.6</v>
      </c>
      <c r="E87" s="1295">
        <v>13.6</v>
      </c>
      <c r="J87" s="1280"/>
      <c r="K87" s="1281">
        <f t="shared" si="11"/>
        <v>-13.5</v>
      </c>
      <c r="L87" s="1287"/>
    </row>
    <row r="88" spans="1:12" ht="66" hidden="1">
      <c r="A88" s="1229" t="s">
        <v>500</v>
      </c>
      <c r="B88" s="1230" t="s">
        <v>72</v>
      </c>
      <c r="C88" s="1295">
        <f aca="true" t="shared" si="16" ref="C88:E89">C89</f>
        <v>13.6</v>
      </c>
      <c r="D88" s="1310">
        <f t="shared" si="16"/>
        <v>13.6</v>
      </c>
      <c r="E88" s="1310">
        <f t="shared" si="16"/>
        <v>13.6</v>
      </c>
      <c r="J88" s="1280"/>
      <c r="K88" s="1281">
        <f t="shared" si="11"/>
        <v>-13.6</v>
      </c>
      <c r="L88" s="1287"/>
    </row>
    <row r="89" spans="1:12" ht="26.25" hidden="1">
      <c r="A89" s="1229" t="s">
        <v>53</v>
      </c>
      <c r="B89" s="1230" t="s">
        <v>72</v>
      </c>
      <c r="C89" s="1295">
        <f t="shared" si="16"/>
        <v>13.6</v>
      </c>
      <c r="D89" s="1295">
        <f t="shared" si="16"/>
        <v>13.6</v>
      </c>
      <c r="E89" s="1295">
        <f t="shared" si="16"/>
        <v>13.6</v>
      </c>
      <c r="J89" s="1280"/>
      <c r="K89" s="1281">
        <f t="shared" si="11"/>
        <v>-13.6</v>
      </c>
      <c r="L89" s="1287"/>
    </row>
    <row r="90" spans="1:12" ht="26.25" hidden="1">
      <c r="A90" s="1229" t="s">
        <v>55</v>
      </c>
      <c r="B90" s="1230" t="s">
        <v>72</v>
      </c>
      <c r="C90" s="1295">
        <v>13.6</v>
      </c>
      <c r="D90" s="1295">
        <v>13.6</v>
      </c>
      <c r="E90" s="1295">
        <v>13.6</v>
      </c>
      <c r="J90" s="1280"/>
      <c r="K90" s="1281">
        <f t="shared" si="11"/>
        <v>-13.6</v>
      </c>
      <c r="L90" s="1287"/>
    </row>
    <row r="91" spans="1:12" ht="57" customHeight="1">
      <c r="A91" s="1229" t="s">
        <v>478</v>
      </c>
      <c r="B91" s="1290" t="s">
        <v>73</v>
      </c>
      <c r="C91" s="1305">
        <f>C92</f>
        <v>8740.1</v>
      </c>
      <c r="D91" s="1292">
        <f>D92</f>
        <v>14369.3</v>
      </c>
      <c r="E91" s="1292">
        <f>E92</f>
        <v>9141.9</v>
      </c>
      <c r="F91" s="1289">
        <f>C91+D91+E91</f>
        <v>32251.300000000003</v>
      </c>
      <c r="J91" s="1280">
        <v>8740.1</v>
      </c>
      <c r="K91" s="1281">
        <f t="shared" si="11"/>
        <v>0</v>
      </c>
      <c r="L91" s="1287"/>
    </row>
    <row r="92" spans="1:12" ht="39" hidden="1">
      <c r="A92" s="1229" t="s">
        <v>730</v>
      </c>
      <c r="B92" s="1230" t="s">
        <v>502</v>
      </c>
      <c r="C92" s="1295">
        <f aca="true" t="shared" si="17" ref="C92:E93">C94</f>
        <v>8740.1</v>
      </c>
      <c r="D92" s="1310">
        <f t="shared" si="17"/>
        <v>14369.3</v>
      </c>
      <c r="E92" s="1310">
        <f t="shared" si="17"/>
        <v>9141.9</v>
      </c>
      <c r="J92" s="1280"/>
      <c r="K92" s="1281">
        <f t="shared" si="11"/>
        <v>-8740.1</v>
      </c>
      <c r="L92" s="1287"/>
    </row>
    <row r="93" spans="1:12" ht="66" hidden="1">
      <c r="A93" s="1229" t="s">
        <v>731</v>
      </c>
      <c r="B93" s="1230" t="s">
        <v>74</v>
      </c>
      <c r="C93" s="1295">
        <f t="shared" si="17"/>
        <v>8740.1</v>
      </c>
      <c r="D93" s="1310">
        <f t="shared" si="17"/>
        <v>14369.3</v>
      </c>
      <c r="E93" s="1310">
        <f t="shared" si="17"/>
        <v>9141.9</v>
      </c>
      <c r="J93" s="1280"/>
      <c r="K93" s="1281">
        <f t="shared" si="11"/>
        <v>-8740.1</v>
      </c>
      <c r="L93" s="1287"/>
    </row>
    <row r="94" spans="1:12" ht="26.25" hidden="1">
      <c r="A94" s="1229" t="s">
        <v>53</v>
      </c>
      <c r="B94" s="1230" t="s">
        <v>74</v>
      </c>
      <c r="C94" s="1295">
        <f>C95</f>
        <v>8740.1</v>
      </c>
      <c r="D94" s="1295">
        <f>D95</f>
        <v>14369.3</v>
      </c>
      <c r="E94" s="1295">
        <f>E95</f>
        <v>9141.9</v>
      </c>
      <c r="J94" s="1280"/>
      <c r="K94" s="1281">
        <f t="shared" si="11"/>
        <v>-8740.1</v>
      </c>
      <c r="L94" s="1287"/>
    </row>
    <row r="95" spans="1:12" ht="26.25" hidden="1">
      <c r="A95" s="1229" t="s">
        <v>55</v>
      </c>
      <c r="B95" s="1230" t="s">
        <v>74</v>
      </c>
      <c r="C95" s="1295">
        <v>8740.1</v>
      </c>
      <c r="D95" s="1295">
        <v>14369.3</v>
      </c>
      <c r="E95" s="1295">
        <v>9141.9</v>
      </c>
      <c r="J95" s="1280"/>
      <c r="K95" s="1281">
        <f t="shared" si="11"/>
        <v>-8740.1</v>
      </c>
      <c r="L95" s="1287"/>
    </row>
    <row r="96" spans="1:12" ht="69" customHeight="1">
      <c r="A96" s="1229" t="s">
        <v>476</v>
      </c>
      <c r="B96" s="1230" t="s">
        <v>75</v>
      </c>
      <c r="C96" s="1295">
        <f aca="true" t="shared" si="18" ref="C96:E99">C97</f>
        <v>745</v>
      </c>
      <c r="D96" s="1310">
        <f t="shared" si="18"/>
        <v>560</v>
      </c>
      <c r="E96" s="1310">
        <f t="shared" si="18"/>
        <v>560</v>
      </c>
      <c r="F96" s="1289">
        <f>C96+D96+E96</f>
        <v>1865</v>
      </c>
      <c r="J96" s="1280">
        <v>1312.5</v>
      </c>
      <c r="K96" s="1281">
        <f t="shared" si="11"/>
        <v>567.5</v>
      </c>
      <c r="L96" s="1287" t="s">
        <v>759</v>
      </c>
    </row>
    <row r="97" spans="1:12" ht="41.25" customHeight="1" hidden="1">
      <c r="A97" s="1229" t="s">
        <v>536</v>
      </c>
      <c r="B97" s="1230" t="s">
        <v>541</v>
      </c>
      <c r="C97" s="1295">
        <f t="shared" si="18"/>
        <v>745</v>
      </c>
      <c r="D97" s="1310">
        <f t="shared" si="18"/>
        <v>560</v>
      </c>
      <c r="E97" s="1310">
        <f t="shared" si="18"/>
        <v>560</v>
      </c>
      <c r="J97" s="1280"/>
      <c r="K97" s="1281">
        <f t="shared" si="11"/>
        <v>-745</v>
      </c>
      <c r="L97" s="1287"/>
    </row>
    <row r="98" spans="1:12" ht="66" hidden="1">
      <c r="A98" s="1229" t="s">
        <v>537</v>
      </c>
      <c r="B98" s="1230" t="s">
        <v>76</v>
      </c>
      <c r="C98" s="1295">
        <f t="shared" si="18"/>
        <v>745</v>
      </c>
      <c r="D98" s="1310">
        <f t="shared" si="18"/>
        <v>560</v>
      </c>
      <c r="E98" s="1310">
        <f t="shared" si="18"/>
        <v>560</v>
      </c>
      <c r="J98" s="1280"/>
      <c r="K98" s="1281">
        <f t="shared" si="11"/>
        <v>-745</v>
      </c>
      <c r="L98" s="1287"/>
    </row>
    <row r="99" spans="1:12" ht="26.25" hidden="1">
      <c r="A99" s="1229" t="s">
        <v>53</v>
      </c>
      <c r="B99" s="1230" t="s">
        <v>76</v>
      </c>
      <c r="C99" s="1295">
        <f t="shared" si="18"/>
        <v>745</v>
      </c>
      <c r="D99" s="1295">
        <f t="shared" si="18"/>
        <v>560</v>
      </c>
      <c r="E99" s="1295">
        <f t="shared" si="18"/>
        <v>560</v>
      </c>
      <c r="J99" s="1280"/>
      <c r="K99" s="1281">
        <f t="shared" si="11"/>
        <v>-745</v>
      </c>
      <c r="L99" s="1287"/>
    </row>
    <row r="100" spans="1:12" ht="26.25" hidden="1">
      <c r="A100" s="1229" t="s">
        <v>55</v>
      </c>
      <c r="B100" s="1230" t="s">
        <v>76</v>
      </c>
      <c r="C100" s="1295">
        <v>745</v>
      </c>
      <c r="D100" s="1295">
        <v>560</v>
      </c>
      <c r="E100" s="1295">
        <v>560</v>
      </c>
      <c r="J100" s="1280"/>
      <c r="K100" s="1281">
        <f t="shared" si="11"/>
        <v>-745</v>
      </c>
      <c r="L100" s="1287"/>
    </row>
    <row r="101" spans="1:12" ht="84" customHeight="1">
      <c r="A101" s="1229" t="s">
        <v>475</v>
      </c>
      <c r="B101" s="1230" t="s">
        <v>78</v>
      </c>
      <c r="C101" s="1295">
        <f>C116+C112+C102+C123</f>
        <v>2624</v>
      </c>
      <c r="D101" s="1310">
        <f>D116+D112+D102+D123</f>
        <v>2517.6000000000004</v>
      </c>
      <c r="E101" s="1310">
        <f>E116+E112+E102+E123</f>
        <v>2806.1000000000004</v>
      </c>
      <c r="F101" s="1289">
        <f>C101+D101+E101</f>
        <v>7947.700000000001</v>
      </c>
      <c r="J101" s="1280">
        <v>6082.4</v>
      </c>
      <c r="K101" s="1281">
        <f t="shared" si="11"/>
        <v>3458.3999999999996</v>
      </c>
      <c r="L101" s="1287" t="s">
        <v>760</v>
      </c>
    </row>
    <row r="102" spans="1:12" ht="22.5" customHeight="1" hidden="1">
      <c r="A102" s="1308" t="s">
        <v>513</v>
      </c>
      <c r="B102" s="1230" t="s">
        <v>505</v>
      </c>
      <c r="C102" s="1295">
        <f>C103+C106+C109</f>
        <v>121</v>
      </c>
      <c r="D102" s="1310">
        <f>D103</f>
        <v>0</v>
      </c>
      <c r="E102" s="1310">
        <f>E103</f>
        <v>0</v>
      </c>
      <c r="J102" s="1280"/>
      <c r="K102" s="1281">
        <f t="shared" si="11"/>
        <v>-121</v>
      </c>
      <c r="L102" s="1287"/>
    </row>
    <row r="103" spans="1:12" ht="51.75" customHeight="1" hidden="1">
      <c r="A103" s="1229" t="s">
        <v>514</v>
      </c>
      <c r="B103" s="1307" t="s">
        <v>506</v>
      </c>
      <c r="C103" s="1299">
        <f>C104</f>
        <v>20</v>
      </c>
      <c r="D103" s="1312">
        <v>0</v>
      </c>
      <c r="E103" s="1312">
        <v>0</v>
      </c>
      <c r="J103" s="1280"/>
      <c r="K103" s="1281">
        <f t="shared" si="11"/>
        <v>-20</v>
      </c>
      <c r="L103" s="1287"/>
    </row>
    <row r="104" spans="1:12" ht="26.25" hidden="1">
      <c r="A104" s="1229" t="s">
        <v>53</v>
      </c>
      <c r="B104" s="1307" t="s">
        <v>506</v>
      </c>
      <c r="C104" s="1299">
        <f>C105</f>
        <v>20</v>
      </c>
      <c r="D104" s="1299">
        <v>0</v>
      </c>
      <c r="E104" s="1299">
        <v>0</v>
      </c>
      <c r="J104" s="1280"/>
      <c r="K104" s="1281">
        <f t="shared" si="11"/>
        <v>-20</v>
      </c>
      <c r="L104" s="1287"/>
    </row>
    <row r="105" spans="1:12" ht="26.25" hidden="1">
      <c r="A105" s="1229" t="s">
        <v>55</v>
      </c>
      <c r="B105" s="1307" t="s">
        <v>506</v>
      </c>
      <c r="C105" s="1299">
        <f>20</f>
        <v>20</v>
      </c>
      <c r="D105" s="1299">
        <v>0</v>
      </c>
      <c r="E105" s="1299">
        <v>0</v>
      </c>
      <c r="J105" s="1280"/>
      <c r="K105" s="1281">
        <f t="shared" si="11"/>
        <v>-20</v>
      </c>
      <c r="L105" s="1287"/>
    </row>
    <row r="106" spans="1:12" ht="92.25" hidden="1">
      <c r="A106" s="1229" t="s">
        <v>733</v>
      </c>
      <c r="B106" s="1230" t="s">
        <v>659</v>
      </c>
      <c r="C106" s="1295">
        <f aca="true" t="shared" si="19" ref="C106:E107">C107</f>
        <v>100</v>
      </c>
      <c r="D106" s="1310">
        <f t="shared" si="19"/>
        <v>0</v>
      </c>
      <c r="E106" s="1310">
        <f t="shared" si="19"/>
        <v>0</v>
      </c>
      <c r="J106" s="1280"/>
      <c r="K106" s="1281">
        <f t="shared" si="11"/>
        <v>-100</v>
      </c>
      <c r="L106" s="1287"/>
    </row>
    <row r="107" spans="1:12" ht="26.25" hidden="1">
      <c r="A107" s="1229" t="s">
        <v>53</v>
      </c>
      <c r="B107" s="1230" t="s">
        <v>659</v>
      </c>
      <c r="C107" s="1295">
        <f t="shared" si="19"/>
        <v>100</v>
      </c>
      <c r="D107" s="1295">
        <f t="shared" si="19"/>
        <v>0</v>
      </c>
      <c r="E107" s="1295">
        <f t="shared" si="19"/>
        <v>0</v>
      </c>
      <c r="J107" s="1280"/>
      <c r="K107" s="1281">
        <f t="shared" si="11"/>
        <v>-100</v>
      </c>
      <c r="L107" s="1287"/>
    </row>
    <row r="108" spans="1:12" ht="26.25" hidden="1">
      <c r="A108" s="1229" t="s">
        <v>55</v>
      </c>
      <c r="B108" s="1230" t="s">
        <v>659</v>
      </c>
      <c r="C108" s="1295">
        <v>100</v>
      </c>
      <c r="D108" s="1295">
        <v>0</v>
      </c>
      <c r="E108" s="1295">
        <v>0</v>
      </c>
      <c r="J108" s="1280"/>
      <c r="K108" s="1281">
        <f t="shared" si="11"/>
        <v>-100</v>
      </c>
      <c r="L108" s="1287"/>
    </row>
    <row r="109" spans="1:12" ht="92.25" hidden="1">
      <c r="A109" s="1229" t="s">
        <v>734</v>
      </c>
      <c r="B109" s="1230" t="s">
        <v>660</v>
      </c>
      <c r="C109" s="1295">
        <f aca="true" t="shared" si="20" ref="C109:E110">C110</f>
        <v>1</v>
      </c>
      <c r="D109" s="1310">
        <f t="shared" si="20"/>
        <v>0</v>
      </c>
      <c r="E109" s="1310">
        <f t="shared" si="20"/>
        <v>0</v>
      </c>
      <c r="J109" s="1280"/>
      <c r="K109" s="1281">
        <f t="shared" si="11"/>
        <v>-1</v>
      </c>
      <c r="L109" s="1287"/>
    </row>
    <row r="110" spans="1:12" ht="26.25" hidden="1">
      <c r="A110" s="1229" t="s">
        <v>53</v>
      </c>
      <c r="B110" s="1230" t="s">
        <v>660</v>
      </c>
      <c r="C110" s="1295">
        <f t="shared" si="20"/>
        <v>1</v>
      </c>
      <c r="D110" s="1295">
        <f t="shared" si="20"/>
        <v>0</v>
      </c>
      <c r="E110" s="1295">
        <f t="shared" si="20"/>
        <v>0</v>
      </c>
      <c r="J110" s="1280"/>
      <c r="K110" s="1281">
        <f t="shared" si="11"/>
        <v>-1</v>
      </c>
      <c r="L110" s="1287"/>
    </row>
    <row r="111" spans="1:12" ht="26.25" hidden="1">
      <c r="A111" s="1229" t="s">
        <v>55</v>
      </c>
      <c r="B111" s="1230" t="s">
        <v>660</v>
      </c>
      <c r="C111" s="1295">
        <v>1</v>
      </c>
      <c r="D111" s="1295">
        <v>0</v>
      </c>
      <c r="E111" s="1295">
        <v>0</v>
      </c>
      <c r="J111" s="1280"/>
      <c r="K111" s="1281">
        <f t="shared" si="11"/>
        <v>-1</v>
      </c>
      <c r="L111" s="1287"/>
    </row>
    <row r="112" spans="1:12" ht="22.5" customHeight="1" hidden="1">
      <c r="A112" s="1308" t="s">
        <v>515</v>
      </c>
      <c r="B112" s="1230" t="s">
        <v>507</v>
      </c>
      <c r="C112" s="1295">
        <f>C113</f>
        <v>560</v>
      </c>
      <c r="D112" s="1310">
        <f>D113+D103</f>
        <v>560</v>
      </c>
      <c r="E112" s="1310">
        <f>E113+E103</f>
        <v>770.2</v>
      </c>
      <c r="J112" s="1280"/>
      <c r="K112" s="1281">
        <f t="shared" si="11"/>
        <v>-560</v>
      </c>
      <c r="L112" s="1287"/>
    </row>
    <row r="113" spans="1:12" ht="45" customHeight="1" hidden="1">
      <c r="A113" s="1229" t="s">
        <v>516</v>
      </c>
      <c r="B113" s="1230" t="s">
        <v>509</v>
      </c>
      <c r="C113" s="1295">
        <f aca="true" t="shared" si="21" ref="C113:E114">C114</f>
        <v>560</v>
      </c>
      <c r="D113" s="1310">
        <f t="shared" si="21"/>
        <v>560</v>
      </c>
      <c r="E113" s="1310">
        <f t="shared" si="21"/>
        <v>770.2</v>
      </c>
      <c r="J113" s="1280"/>
      <c r="K113" s="1281">
        <f t="shared" si="11"/>
        <v>-560</v>
      </c>
      <c r="L113" s="1287"/>
    </row>
    <row r="114" spans="1:12" ht="23.25" customHeight="1" hidden="1">
      <c r="A114" s="1229" t="s">
        <v>53</v>
      </c>
      <c r="B114" s="1230" t="s">
        <v>509</v>
      </c>
      <c r="C114" s="1295">
        <f t="shared" si="21"/>
        <v>560</v>
      </c>
      <c r="D114" s="1295">
        <f t="shared" si="21"/>
        <v>560</v>
      </c>
      <c r="E114" s="1295">
        <f t="shared" si="21"/>
        <v>770.2</v>
      </c>
      <c r="J114" s="1280"/>
      <c r="K114" s="1281">
        <f t="shared" si="11"/>
        <v>-560</v>
      </c>
      <c r="L114" s="1287"/>
    </row>
    <row r="115" spans="1:12" ht="25.5" customHeight="1" hidden="1">
      <c r="A115" s="1229" t="s">
        <v>55</v>
      </c>
      <c r="B115" s="1230" t="s">
        <v>509</v>
      </c>
      <c r="C115" s="1295">
        <v>560</v>
      </c>
      <c r="D115" s="1295">
        <v>560</v>
      </c>
      <c r="E115" s="1295">
        <v>770.2</v>
      </c>
      <c r="J115" s="1280"/>
      <c r="K115" s="1281">
        <f t="shared" si="11"/>
        <v>-560</v>
      </c>
      <c r="L115" s="1287"/>
    </row>
    <row r="116" spans="1:12" ht="36" customHeight="1" hidden="1">
      <c r="A116" s="1229" t="s">
        <v>511</v>
      </c>
      <c r="B116" s="1230" t="s">
        <v>508</v>
      </c>
      <c r="C116" s="1295">
        <f>C117+C120</f>
        <v>1882.4</v>
      </c>
      <c r="D116" s="1310">
        <f>D117+D120</f>
        <v>1957.6000000000001</v>
      </c>
      <c r="E116" s="1310">
        <f>E117+E120</f>
        <v>2035.9</v>
      </c>
      <c r="J116" s="1280"/>
      <c r="K116" s="1281">
        <f t="shared" si="11"/>
        <v>-1882.4</v>
      </c>
      <c r="L116" s="1287"/>
    </row>
    <row r="117" spans="1:12" ht="62.25" customHeight="1" hidden="1">
      <c r="A117" s="1229" t="s">
        <v>542</v>
      </c>
      <c r="B117" s="1230" t="s">
        <v>510</v>
      </c>
      <c r="C117" s="1295">
        <f aca="true" t="shared" si="22" ref="C117:E118">C118</f>
        <v>1882</v>
      </c>
      <c r="D117" s="1310">
        <f t="shared" si="22"/>
        <v>1957.2</v>
      </c>
      <c r="E117" s="1310">
        <f t="shared" si="22"/>
        <v>2035.5</v>
      </c>
      <c r="J117" s="1280"/>
      <c r="K117" s="1281">
        <f t="shared" si="11"/>
        <v>-1882</v>
      </c>
      <c r="L117" s="1287"/>
    </row>
    <row r="118" spans="1:12" ht="12.75" hidden="1">
      <c r="A118" s="1229" t="s">
        <v>45</v>
      </c>
      <c r="B118" s="1230" t="s">
        <v>510</v>
      </c>
      <c r="C118" s="1295">
        <f t="shared" si="22"/>
        <v>1882</v>
      </c>
      <c r="D118" s="1295">
        <f t="shared" si="22"/>
        <v>1957.2</v>
      </c>
      <c r="E118" s="1295">
        <f t="shared" si="22"/>
        <v>2035.5</v>
      </c>
      <c r="J118" s="1280"/>
      <c r="K118" s="1281">
        <f t="shared" si="11"/>
        <v>-1882</v>
      </c>
      <c r="L118" s="1287"/>
    </row>
    <row r="119" spans="1:12" ht="43.5" customHeight="1" hidden="1">
      <c r="A119" s="1313" t="s">
        <v>79</v>
      </c>
      <c r="B119" s="1230" t="s">
        <v>510</v>
      </c>
      <c r="C119" s="1295">
        <v>1882</v>
      </c>
      <c r="D119" s="1295">
        <v>1957.2</v>
      </c>
      <c r="E119" s="1295">
        <v>2035.5</v>
      </c>
      <c r="J119" s="1280"/>
      <c r="K119" s="1281">
        <f t="shared" si="11"/>
        <v>-1882</v>
      </c>
      <c r="L119" s="1287"/>
    </row>
    <row r="120" spans="1:12" ht="73.5" customHeight="1" hidden="1">
      <c r="A120" s="1229" t="s">
        <v>644</v>
      </c>
      <c r="B120" s="1230" t="s">
        <v>645</v>
      </c>
      <c r="C120" s="1295">
        <f aca="true" t="shared" si="23" ref="C120:E121">C121</f>
        <v>0.4</v>
      </c>
      <c r="D120" s="1310">
        <f t="shared" si="23"/>
        <v>0.4</v>
      </c>
      <c r="E120" s="1310">
        <f t="shared" si="23"/>
        <v>0.4</v>
      </c>
      <c r="J120" s="1280"/>
      <c r="K120" s="1281">
        <f t="shared" si="11"/>
        <v>-0.4</v>
      </c>
      <c r="L120" s="1287"/>
    </row>
    <row r="121" spans="1:12" ht="27" customHeight="1" hidden="1">
      <c r="A121" s="1229" t="s">
        <v>53</v>
      </c>
      <c r="B121" s="1230" t="s">
        <v>645</v>
      </c>
      <c r="C121" s="1295">
        <f t="shared" si="23"/>
        <v>0.4</v>
      </c>
      <c r="D121" s="1295">
        <f t="shared" si="23"/>
        <v>0.4</v>
      </c>
      <c r="E121" s="1295">
        <f t="shared" si="23"/>
        <v>0.4</v>
      </c>
      <c r="J121" s="1280"/>
      <c r="K121" s="1281">
        <f t="shared" si="11"/>
        <v>-0.4</v>
      </c>
      <c r="L121" s="1287"/>
    </row>
    <row r="122" spans="1:12" ht="27" customHeight="1" hidden="1">
      <c r="A122" s="1229" t="s">
        <v>55</v>
      </c>
      <c r="B122" s="1230" t="s">
        <v>645</v>
      </c>
      <c r="C122" s="1295">
        <v>0.4</v>
      </c>
      <c r="D122" s="1295">
        <v>0.4</v>
      </c>
      <c r="E122" s="1295">
        <v>0.4</v>
      </c>
      <c r="J122" s="1280"/>
      <c r="K122" s="1281">
        <f t="shared" si="11"/>
        <v>-0.4</v>
      </c>
      <c r="L122" s="1287"/>
    </row>
    <row r="123" spans="1:12" ht="22.5" customHeight="1" hidden="1">
      <c r="A123" s="1308" t="s">
        <v>646</v>
      </c>
      <c r="B123" s="1230" t="s">
        <v>647</v>
      </c>
      <c r="C123" s="1295">
        <f>C124</f>
        <v>60.6</v>
      </c>
      <c r="D123" s="1310">
        <f>D124</f>
        <v>0</v>
      </c>
      <c r="E123" s="1310">
        <f>E124</f>
        <v>0</v>
      </c>
      <c r="J123" s="1280"/>
      <c r="K123" s="1281">
        <f t="shared" si="11"/>
        <v>-60.6</v>
      </c>
      <c r="L123" s="1287"/>
    </row>
    <row r="124" spans="1:12" ht="51.75" customHeight="1" hidden="1">
      <c r="A124" s="1229" t="s">
        <v>648</v>
      </c>
      <c r="B124" s="1230" t="s">
        <v>647</v>
      </c>
      <c r="C124" s="1299">
        <f>C125</f>
        <v>60.6</v>
      </c>
      <c r="D124" s="1310">
        <f>D125</f>
        <v>0</v>
      </c>
      <c r="E124" s="1312">
        <v>0</v>
      </c>
      <c r="J124" s="1280"/>
      <c r="K124" s="1281">
        <f t="shared" si="11"/>
        <v>-60.6</v>
      </c>
      <c r="L124" s="1287"/>
    </row>
    <row r="125" spans="1:12" ht="26.25" hidden="1">
      <c r="A125" s="1229" t="s">
        <v>53</v>
      </c>
      <c r="B125" s="1230" t="s">
        <v>647</v>
      </c>
      <c r="C125" s="1299">
        <f>C126</f>
        <v>60.6</v>
      </c>
      <c r="D125" s="1295">
        <f>D126</f>
        <v>0</v>
      </c>
      <c r="E125" s="1299">
        <v>0</v>
      </c>
      <c r="J125" s="1280"/>
      <c r="K125" s="1281">
        <f t="shared" si="11"/>
        <v>-60.6</v>
      </c>
      <c r="L125" s="1287"/>
    </row>
    <row r="126" spans="1:12" ht="22.5" customHeight="1" hidden="1">
      <c r="A126" s="1229" t="s">
        <v>55</v>
      </c>
      <c r="B126" s="1230" t="s">
        <v>647</v>
      </c>
      <c r="C126" s="1299">
        <v>60.6</v>
      </c>
      <c r="D126" s="1295">
        <v>0</v>
      </c>
      <c r="E126" s="1299">
        <v>0</v>
      </c>
      <c r="J126" s="1280"/>
      <c r="K126" s="1281">
        <f t="shared" si="11"/>
        <v>-60.6</v>
      </c>
      <c r="L126" s="1287"/>
    </row>
    <row r="127" spans="1:12" ht="72" customHeight="1">
      <c r="A127" s="1229" t="s">
        <v>482</v>
      </c>
      <c r="B127" s="1230" t="s">
        <v>477</v>
      </c>
      <c r="C127" s="1295">
        <f aca="true" t="shared" si="24" ref="C127:E128">C128</f>
        <v>427.7</v>
      </c>
      <c r="D127" s="1310">
        <f t="shared" si="24"/>
        <v>407.7</v>
      </c>
      <c r="E127" s="1310">
        <f t="shared" si="24"/>
        <v>407.7</v>
      </c>
      <c r="F127" s="1289">
        <f>C127+D127+E127</f>
        <v>1243.1</v>
      </c>
      <c r="J127" s="1280">
        <v>441.9</v>
      </c>
      <c r="K127" s="1281">
        <f t="shared" si="11"/>
        <v>14.199999999999989</v>
      </c>
      <c r="L127" s="1287" t="s">
        <v>761</v>
      </c>
    </row>
    <row r="128" spans="1:12" ht="39.75" customHeight="1" hidden="1">
      <c r="A128" s="1308" t="s">
        <v>528</v>
      </c>
      <c r="B128" s="1230" t="s">
        <v>529</v>
      </c>
      <c r="C128" s="1295">
        <f t="shared" si="24"/>
        <v>427.7</v>
      </c>
      <c r="D128" s="1310">
        <f t="shared" si="24"/>
        <v>407.7</v>
      </c>
      <c r="E128" s="1310">
        <f t="shared" si="24"/>
        <v>407.7</v>
      </c>
      <c r="J128" s="1280"/>
      <c r="K128" s="1281">
        <f t="shared" si="11"/>
        <v>-427.7</v>
      </c>
      <c r="L128" s="1287"/>
    </row>
    <row r="129" spans="1:12" ht="66" hidden="1">
      <c r="A129" s="1229" t="s">
        <v>531</v>
      </c>
      <c r="B129" s="1230" t="s">
        <v>530</v>
      </c>
      <c r="C129" s="1295">
        <f>C130+C132</f>
        <v>427.7</v>
      </c>
      <c r="D129" s="1310">
        <f>D130+D132</f>
        <v>407.7</v>
      </c>
      <c r="E129" s="1310">
        <f>E130+E132</f>
        <v>407.7</v>
      </c>
      <c r="J129" s="1280"/>
      <c r="K129" s="1281">
        <f t="shared" si="11"/>
        <v>-427.7</v>
      </c>
      <c r="L129" s="1287"/>
    </row>
    <row r="130" spans="1:12" ht="66" hidden="1">
      <c r="A130" s="1229" t="s">
        <v>60</v>
      </c>
      <c r="B130" s="1230" t="s">
        <v>530</v>
      </c>
      <c r="C130" s="1295">
        <f>C131</f>
        <v>407.7</v>
      </c>
      <c r="D130" s="1295">
        <f>D131</f>
        <v>407.7</v>
      </c>
      <c r="E130" s="1295">
        <f>E131</f>
        <v>407.7</v>
      </c>
      <c r="J130" s="1280"/>
      <c r="K130" s="1281">
        <f t="shared" si="11"/>
        <v>-407.7</v>
      </c>
      <c r="L130" s="1287"/>
    </row>
    <row r="131" spans="1:12" ht="12.75" hidden="1">
      <c r="A131" s="1229" t="s">
        <v>61</v>
      </c>
      <c r="B131" s="1230" t="s">
        <v>530</v>
      </c>
      <c r="C131" s="1295">
        <v>407.7</v>
      </c>
      <c r="D131" s="1295">
        <v>407.7</v>
      </c>
      <c r="E131" s="1295">
        <v>407.7</v>
      </c>
      <c r="J131" s="1280"/>
      <c r="K131" s="1281">
        <f t="shared" si="11"/>
        <v>-407.7</v>
      </c>
      <c r="L131" s="1287"/>
    </row>
    <row r="132" spans="1:12" ht="26.25" hidden="1">
      <c r="A132" s="1229" t="s">
        <v>53</v>
      </c>
      <c r="B132" s="1230" t="s">
        <v>530</v>
      </c>
      <c r="C132" s="1295">
        <f>C133</f>
        <v>20</v>
      </c>
      <c r="D132" s="1295">
        <f>D133</f>
        <v>0</v>
      </c>
      <c r="E132" s="1295">
        <f>E133</f>
        <v>0</v>
      </c>
      <c r="J132" s="1280"/>
      <c r="K132" s="1281">
        <f t="shared" si="11"/>
        <v>-20</v>
      </c>
      <c r="L132" s="1287"/>
    </row>
    <row r="133" spans="1:12" ht="26.25" hidden="1">
      <c r="A133" s="1229" t="s">
        <v>55</v>
      </c>
      <c r="B133" s="1230" t="s">
        <v>530</v>
      </c>
      <c r="C133" s="1295">
        <v>20</v>
      </c>
      <c r="D133" s="1295">
        <v>0</v>
      </c>
      <c r="E133" s="1295">
        <v>0</v>
      </c>
      <c r="J133" s="1280"/>
      <c r="K133" s="1281">
        <f t="shared" si="11"/>
        <v>-20</v>
      </c>
      <c r="L133" s="1287"/>
    </row>
    <row r="134" spans="1:12" ht="66.75" customHeight="1">
      <c r="A134" s="1229" t="s">
        <v>483</v>
      </c>
      <c r="B134" s="1230" t="s">
        <v>479</v>
      </c>
      <c r="C134" s="1295">
        <f aca="true" t="shared" si="25" ref="C134:E135">C135</f>
        <v>8124.099999999999</v>
      </c>
      <c r="D134" s="1310">
        <f t="shared" si="25"/>
        <v>7044.799999999999</v>
      </c>
      <c r="E134" s="1310">
        <f t="shared" si="25"/>
        <v>7648.5</v>
      </c>
      <c r="F134" s="1289">
        <f>C134+D134+E134</f>
        <v>22817.399999999998</v>
      </c>
      <c r="J134" s="1280">
        <v>9260.8</v>
      </c>
      <c r="K134" s="1281">
        <f t="shared" si="11"/>
        <v>1136.6999999999998</v>
      </c>
      <c r="L134" s="1287" t="s">
        <v>762</v>
      </c>
    </row>
    <row r="135" spans="1:5" ht="39.75" customHeight="1" hidden="1">
      <c r="A135" s="1314" t="s">
        <v>520</v>
      </c>
      <c r="B135" s="1315" t="s">
        <v>521</v>
      </c>
      <c r="C135" s="1310">
        <f t="shared" si="25"/>
        <v>8124.099999999999</v>
      </c>
      <c r="D135" s="1310">
        <f t="shared" si="25"/>
        <v>7044.799999999999</v>
      </c>
      <c r="E135" s="1310">
        <f t="shared" si="25"/>
        <v>7648.5</v>
      </c>
    </row>
    <row r="136" spans="1:5" ht="105" hidden="1">
      <c r="A136" s="1316" t="s">
        <v>522</v>
      </c>
      <c r="B136" s="1315" t="s">
        <v>517</v>
      </c>
      <c r="C136" s="1310">
        <f>C137+C141+C143+C139</f>
        <v>8124.099999999999</v>
      </c>
      <c r="D136" s="1310">
        <f>D137+D141+D143+D139</f>
        <v>7044.799999999999</v>
      </c>
      <c r="E136" s="1310">
        <f>E137+E141+E143+E139</f>
        <v>7648.5</v>
      </c>
    </row>
    <row r="137" spans="1:5" ht="66" hidden="1">
      <c r="A137" s="1229" t="s">
        <v>60</v>
      </c>
      <c r="B137" s="1230" t="s">
        <v>517</v>
      </c>
      <c r="C137" s="1295">
        <f>C138</f>
        <v>5958.4</v>
      </c>
      <c r="D137" s="1295">
        <f>D138</f>
        <v>5843.4</v>
      </c>
      <c r="E137" s="1295">
        <f>E138</f>
        <v>5958.5</v>
      </c>
    </row>
    <row r="138" spans="1:5" ht="12.75" hidden="1">
      <c r="A138" s="1229" t="s">
        <v>61</v>
      </c>
      <c r="B138" s="1230" t="s">
        <v>517</v>
      </c>
      <c r="C138" s="1295">
        <v>5958.4</v>
      </c>
      <c r="D138" s="1295">
        <v>5843.4</v>
      </c>
      <c r="E138" s="1295">
        <v>5958.5</v>
      </c>
    </row>
    <row r="139" spans="1:11" ht="66" hidden="1">
      <c r="A139" s="1229" t="s">
        <v>60</v>
      </c>
      <c r="B139" s="1230" t="s">
        <v>517</v>
      </c>
      <c r="C139" s="1295">
        <f>C140</f>
        <v>347.5</v>
      </c>
      <c r="D139" s="1295">
        <f>D140</f>
        <v>0</v>
      </c>
      <c r="E139" s="1295">
        <f>E140</f>
        <v>0</v>
      </c>
      <c r="H139" s="1283"/>
      <c r="I139" s="1283"/>
      <c r="J139" s="1283"/>
      <c r="K139" s="1283"/>
    </row>
    <row r="140" spans="1:11" ht="12.75" hidden="1">
      <c r="A140" s="1229" t="s">
        <v>61</v>
      </c>
      <c r="B140" s="1230" t="s">
        <v>517</v>
      </c>
      <c r="C140" s="1295">
        <v>347.5</v>
      </c>
      <c r="D140" s="1295"/>
      <c r="E140" s="1295"/>
      <c r="H140" s="1283"/>
      <c r="I140" s="1283"/>
      <c r="J140" s="1283"/>
      <c r="K140" s="1283"/>
    </row>
    <row r="141" spans="1:5" ht="26.25" hidden="1">
      <c r="A141" s="1229" t="s">
        <v>53</v>
      </c>
      <c r="B141" s="1230" t="s">
        <v>517</v>
      </c>
      <c r="C141" s="1295">
        <f>C142</f>
        <v>1816.2</v>
      </c>
      <c r="D141" s="1295">
        <f>D142</f>
        <v>1201.4</v>
      </c>
      <c r="E141" s="1295">
        <f>E142</f>
        <v>1690</v>
      </c>
    </row>
    <row r="142" spans="1:5" ht="26.25" hidden="1">
      <c r="A142" s="1229" t="s">
        <v>55</v>
      </c>
      <c r="B142" s="1230" t="s">
        <v>517</v>
      </c>
      <c r="C142" s="1295">
        <f>1701.3+114.9</f>
        <v>1816.2</v>
      </c>
      <c r="D142" s="1295">
        <f>1301.4-100</f>
        <v>1201.4</v>
      </c>
      <c r="E142" s="1295">
        <f>1890-200</f>
        <v>1690</v>
      </c>
    </row>
    <row r="143" spans="1:5" ht="12.75" hidden="1">
      <c r="A143" s="1229" t="s">
        <v>45</v>
      </c>
      <c r="B143" s="1230" t="s">
        <v>517</v>
      </c>
      <c r="C143" s="1295">
        <f>C144</f>
        <v>2</v>
      </c>
      <c r="D143" s="1295">
        <v>0</v>
      </c>
      <c r="E143" s="1295">
        <v>0</v>
      </c>
    </row>
    <row r="144" spans="1:5" ht="12.75" hidden="1">
      <c r="A144" s="1308" t="s">
        <v>58</v>
      </c>
      <c r="B144" s="1230" t="s">
        <v>517</v>
      </c>
      <c r="C144" s="1295">
        <v>2</v>
      </c>
      <c r="D144" s="1295">
        <v>0</v>
      </c>
      <c r="E144" s="1295">
        <v>0</v>
      </c>
    </row>
    <row r="146" ht="12.75">
      <c r="B146" s="1284"/>
    </row>
  </sheetData>
  <sheetProtection/>
  <mergeCells count="3">
    <mergeCell ref="C1:E1"/>
    <mergeCell ref="C2:E2"/>
    <mergeCell ref="A3:E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ттттт</dc:creator>
  <cp:keywords/>
  <dc:description/>
  <cp:lastModifiedBy>Elena</cp:lastModifiedBy>
  <cp:lastPrinted>2020-03-10T18:01:57Z</cp:lastPrinted>
  <dcterms:created xsi:type="dcterms:W3CDTF">2010-11-01T11:35:27Z</dcterms:created>
  <dcterms:modified xsi:type="dcterms:W3CDTF">2020-03-10T18:08:06Z</dcterms:modified>
  <cp:category/>
  <cp:version/>
  <cp:contentType/>
  <cp:contentStatus/>
</cp:coreProperties>
</file>