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1520" windowHeight="9708"/>
  </bookViews>
  <sheets>
    <sheet name="по нов. 4 " sheetId="15" r:id="rId1"/>
    <sheet name="по нов.5" sheetId="20" r:id="rId2"/>
    <sheet name="по нов.6" sheetId="30" r:id="rId3"/>
    <sheet name="по нов.7" sheetId="19" r:id="rId4"/>
    <sheet name="0" sheetId="23" r:id="rId5"/>
  </sheets>
  <externalReferences>
    <externalReference r:id="rId6"/>
  </externalReferences>
  <definedNames>
    <definedName name="_xlnm.Print_Area" localSheetId="0">'по нов. 4 '!$A$1:$F$63</definedName>
  </definedNames>
  <calcPr calcId="145621"/>
</workbook>
</file>

<file path=xl/calcChain.xml><?xml version="1.0" encoding="utf-8"?>
<calcChain xmlns="http://schemas.openxmlformats.org/spreadsheetml/2006/main">
  <c r="L282" i="30" l="1"/>
  <c r="J282" i="30"/>
  <c r="M260" i="30"/>
  <c r="K260" i="30"/>
  <c r="I260" i="30"/>
  <c r="J256" i="30"/>
  <c r="H256" i="30"/>
  <c r="M255" i="30"/>
  <c r="K255" i="30"/>
  <c r="I255" i="30"/>
  <c r="K252" i="30"/>
  <c r="J252" i="30"/>
  <c r="I252" i="30"/>
  <c r="H252" i="30"/>
  <c r="M244" i="30"/>
  <c r="K244" i="30"/>
  <c r="I244" i="30"/>
  <c r="M237" i="30"/>
  <c r="K237" i="30"/>
  <c r="I237" i="30"/>
  <c r="M232" i="30"/>
  <c r="K232" i="30"/>
  <c r="M228" i="30"/>
  <c r="L228" i="30"/>
  <c r="K228" i="30"/>
  <c r="J228" i="30"/>
  <c r="I228" i="30"/>
  <c r="M227" i="30"/>
  <c r="L227" i="30"/>
  <c r="K227" i="30"/>
  <c r="J227" i="30"/>
  <c r="I227" i="30"/>
  <c r="M226" i="30"/>
  <c r="M225" i="30" s="1"/>
  <c r="L226" i="30"/>
  <c r="K226" i="30"/>
  <c r="K225" i="30" s="1"/>
  <c r="J226" i="30"/>
  <c r="I226" i="30"/>
  <c r="I225" i="30" s="1"/>
  <c r="M224" i="30"/>
  <c r="L224" i="30"/>
  <c r="K224" i="30"/>
  <c r="J224" i="30"/>
  <c r="I224" i="30"/>
  <c r="M223" i="30"/>
  <c r="L223" i="30"/>
  <c r="K223" i="30"/>
  <c r="J223" i="30"/>
  <c r="I223" i="30"/>
  <c r="M222" i="30"/>
  <c r="L222" i="30"/>
  <c r="K222" i="30"/>
  <c r="J222" i="30"/>
  <c r="I222" i="30"/>
  <c r="M221" i="30"/>
  <c r="L221" i="30"/>
  <c r="K221" i="30"/>
  <c r="J221" i="30"/>
  <c r="I221" i="30"/>
  <c r="M220" i="30"/>
  <c r="L220" i="30"/>
  <c r="K220" i="30"/>
  <c r="J220" i="30"/>
  <c r="I220" i="30"/>
  <c r="M219" i="30"/>
  <c r="L219" i="30"/>
  <c r="K219" i="30"/>
  <c r="J219" i="30"/>
  <c r="I219" i="30"/>
  <c r="M218" i="30"/>
  <c r="M195" i="30" s="1"/>
  <c r="M162" i="30" s="1"/>
  <c r="L218" i="30"/>
  <c r="K218" i="30"/>
  <c r="K195" i="30" s="1"/>
  <c r="K162" i="30" s="1"/>
  <c r="J218" i="30"/>
  <c r="I218" i="30"/>
  <c r="I195" i="30" s="1"/>
  <c r="I162" i="30" s="1"/>
  <c r="L217" i="30"/>
  <c r="L216" i="30" s="1"/>
  <c r="L215" i="30" s="1"/>
  <c r="J217" i="30"/>
  <c r="J216" i="30" s="1"/>
  <c r="J215" i="30" s="1"/>
  <c r="L213" i="30"/>
  <c r="L212" i="30" s="1"/>
  <c r="L211" i="30" s="1"/>
  <c r="J213" i="30"/>
  <c r="J212" i="30" s="1"/>
  <c r="J211" i="30" s="1"/>
  <c r="L210" i="30"/>
  <c r="L209" i="30" s="1"/>
  <c r="L208" i="30" s="1"/>
  <c r="J210" i="30"/>
  <c r="J209" i="30" s="1"/>
  <c r="J208" i="30" s="1"/>
  <c r="M199" i="30"/>
  <c r="K199" i="30"/>
  <c r="L193" i="30"/>
  <c r="L192" i="30" s="1"/>
  <c r="J193" i="30"/>
  <c r="J192" i="30" s="1"/>
  <c r="H193" i="30"/>
  <c r="H192" i="30" s="1"/>
  <c r="L191" i="30"/>
  <c r="L190" i="30" s="1"/>
  <c r="L189" i="30" s="1"/>
  <c r="J191" i="30"/>
  <c r="J190" i="30" s="1"/>
  <c r="J189" i="30" s="1"/>
  <c r="H190" i="30"/>
  <c r="H189" i="30" s="1"/>
  <c r="L177" i="30"/>
  <c r="L176" i="30" s="1"/>
  <c r="L175" i="30" s="1"/>
  <c r="J177" i="30"/>
  <c r="L147" i="30"/>
  <c r="L146" i="30" s="1"/>
  <c r="L145" i="30" s="1"/>
  <c r="J147" i="30"/>
  <c r="J146" i="30" s="1"/>
  <c r="J145" i="30" s="1"/>
  <c r="M140" i="30"/>
  <c r="M139" i="30" s="1"/>
  <c r="K140" i="30"/>
  <c r="K139" i="30" s="1"/>
  <c r="I140" i="30"/>
  <c r="I139" i="30" s="1"/>
  <c r="L136" i="30"/>
  <c r="L135" i="30" s="1"/>
  <c r="J136" i="30"/>
  <c r="J135" i="30" s="1"/>
  <c r="M129" i="30"/>
  <c r="K129" i="30"/>
  <c r="I129" i="30"/>
  <c r="L119" i="30"/>
  <c r="L118" i="30" s="1"/>
  <c r="J119" i="30"/>
  <c r="J118" i="30" s="1"/>
  <c r="L117" i="30"/>
  <c r="J117" i="30"/>
  <c r="L110" i="30"/>
  <c r="M110" i="30" s="1"/>
  <c r="M109" i="30" s="1"/>
  <c r="M108" i="30" s="1"/>
  <c r="J110" i="30"/>
  <c r="K110" i="30" s="1"/>
  <c r="K109" i="30" s="1"/>
  <c r="K108" i="30" s="1"/>
  <c r="H110" i="30"/>
  <c r="I110" i="30" s="1"/>
  <c r="I109" i="30" s="1"/>
  <c r="I108" i="30" s="1"/>
  <c r="L107" i="30"/>
  <c r="M107" i="30" s="1"/>
  <c r="M106" i="30" s="1"/>
  <c r="M105" i="30" s="1"/>
  <c r="J107" i="30"/>
  <c r="J106" i="30" s="1"/>
  <c r="J105" i="30" s="1"/>
  <c r="H107" i="30"/>
  <c r="I107" i="30" s="1"/>
  <c r="I106" i="30" s="1"/>
  <c r="I105" i="30" s="1"/>
  <c r="M97" i="30"/>
  <c r="L97" i="30"/>
  <c r="K97" i="30"/>
  <c r="J97" i="30"/>
  <c r="I97" i="30"/>
  <c r="H97" i="30"/>
  <c r="L89" i="30"/>
  <c r="L88" i="30" s="1"/>
  <c r="J89" i="30"/>
  <c r="J88" i="30" s="1"/>
  <c r="L84" i="30"/>
  <c r="J84" i="30"/>
  <c r="L70" i="30"/>
  <c r="L69" i="30"/>
  <c r="L67" i="30"/>
  <c r="L66" i="30" s="1"/>
  <c r="L61" i="30"/>
  <c r="L60" i="30" s="1"/>
  <c r="L59" i="30" s="1"/>
  <c r="L58" i="30" s="1"/>
  <c r="L56" i="30"/>
  <c r="J56" i="30"/>
  <c r="H56" i="30"/>
  <c r="M54" i="30"/>
  <c r="K54" i="30"/>
  <c r="I54" i="30"/>
  <c r="J50" i="30"/>
  <c r="J48" i="30" s="1"/>
  <c r="H50" i="30"/>
  <c r="H48" i="30" s="1"/>
  <c r="M48" i="30"/>
  <c r="K48" i="30"/>
  <c r="I48" i="30"/>
  <c r="L47" i="30"/>
  <c r="L46" i="30" s="1"/>
  <c r="J47" i="30"/>
  <c r="J46" i="30" s="1"/>
  <c r="H47" i="30"/>
  <c r="H46" i="30" s="1"/>
  <c r="H45" i="30" s="1"/>
  <c r="H44" i="30" s="1"/>
  <c r="H43" i="30" s="1"/>
  <c r="L34" i="30"/>
  <c r="J34" i="30"/>
  <c r="H34" i="30"/>
  <c r="M29" i="30"/>
  <c r="K29" i="30"/>
  <c r="I29" i="30"/>
  <c r="M25" i="30"/>
  <c r="M24" i="30" s="1"/>
  <c r="K25" i="30"/>
  <c r="K24" i="30" s="1"/>
  <c r="I25" i="30"/>
  <c r="I24" i="30" s="1"/>
  <c r="M21" i="30"/>
  <c r="M20" i="30" s="1"/>
  <c r="K21" i="30"/>
  <c r="K20" i="30" s="1"/>
  <c r="I21" i="30"/>
  <c r="I20" i="30" s="1"/>
  <c r="M104" i="30" l="1"/>
  <c r="M103" i="30" s="1"/>
  <c r="M102" i="30" s="1"/>
  <c r="H109" i="30"/>
  <c r="H108" i="30" s="1"/>
  <c r="J144" i="30"/>
  <c r="I19" i="30"/>
  <c r="L214" i="30"/>
  <c r="K19" i="30"/>
  <c r="H106" i="30"/>
  <c r="H105" i="30" s="1"/>
  <c r="H104" i="30" s="1"/>
  <c r="H103" i="30" s="1"/>
  <c r="K107" i="30"/>
  <c r="K106" i="30" s="1"/>
  <c r="K105" i="30" s="1"/>
  <c r="K104" i="30" s="1"/>
  <c r="K103" i="30" s="1"/>
  <c r="K102" i="30" s="1"/>
  <c r="I104" i="30"/>
  <c r="I103" i="30" s="1"/>
  <c r="I102" i="30" s="1"/>
  <c r="L68" i="30"/>
  <c r="L106" i="30"/>
  <c r="L105" i="30" s="1"/>
  <c r="L144" i="30"/>
  <c r="L174" i="30"/>
  <c r="M19" i="30"/>
  <c r="J174" i="30"/>
  <c r="J176" i="30"/>
  <c r="J175" i="30" s="1"/>
  <c r="J214" i="30"/>
  <c r="J105" i="20" l="1"/>
  <c r="J104" i="20" s="1"/>
  <c r="L105" i="20"/>
  <c r="L104" i="20" s="1"/>
  <c r="X60" i="23"/>
  <c r="R117" i="19"/>
  <c r="H78" i="30" s="1"/>
  <c r="X272" i="23"/>
  <c r="X84" i="23"/>
  <c r="X104" i="23"/>
  <c r="X134" i="23"/>
  <c r="V76" i="23"/>
  <c r="R130" i="19"/>
  <c r="H89" i="30" s="1"/>
  <c r="V134" i="23"/>
  <c r="X127" i="23"/>
  <c r="Z133" i="23"/>
  <c r="Z134" i="23"/>
  <c r="R119" i="19"/>
  <c r="H80" i="30" s="1"/>
  <c r="W73" i="23"/>
  <c r="W74" i="23"/>
  <c r="R131" i="19"/>
  <c r="X131" i="19"/>
  <c r="X129" i="19" s="1"/>
  <c r="W131" i="19"/>
  <c r="W129" i="19" s="1"/>
  <c r="X133" i="23"/>
  <c r="R88" i="19"/>
  <c r="H67" i="30" s="1"/>
  <c r="H66" i="30" s="1"/>
  <c r="W75" i="23" l="1"/>
  <c r="H106" i="20"/>
  <c r="H90" i="30"/>
  <c r="H88" i="30" s="1"/>
  <c r="R129" i="19"/>
  <c r="H105" i="20"/>
  <c r="Z84" i="23"/>
  <c r="Z137" i="23" s="1"/>
  <c r="X94" i="23"/>
  <c r="V381" i="23"/>
  <c r="V386" i="23" s="1"/>
  <c r="V375" i="23"/>
  <c r="V377" i="23" s="1"/>
  <c r="V367" i="23"/>
  <c r="X308" i="23"/>
  <c r="X316" i="23" s="1"/>
  <c r="X251" i="23"/>
  <c r="X80" i="23"/>
  <c r="X79" i="23"/>
  <c r="X78" i="23"/>
  <c r="X28" i="23"/>
  <c r="H104" i="20" l="1"/>
  <c r="Z352" i="23"/>
  <c r="V103" i="23"/>
  <c r="V91" i="23"/>
  <c r="V92" i="23" s="1"/>
  <c r="V84" i="23"/>
  <c r="X82" i="23"/>
  <c r="X81" i="23"/>
  <c r="V83" i="23"/>
  <c r="Z30" i="23"/>
  <c r="Y84" i="23" l="1"/>
  <c r="R121" i="19"/>
  <c r="V135" i="23"/>
  <c r="H82" i="30" l="1"/>
  <c r="Z31" i="23" l="1"/>
  <c r="X32" i="23"/>
  <c r="W458" i="23"/>
  <c r="X446" i="23" s="1"/>
  <c r="H57" i="20" l="1"/>
  <c r="L57" i="20"/>
  <c r="J57" i="20"/>
  <c r="L301" i="20"/>
  <c r="J301" i="20"/>
  <c r="R164" i="19"/>
  <c r="W314" i="23"/>
  <c r="R150" i="19"/>
  <c r="AD100" i="19"/>
  <c r="R148" i="19"/>
  <c r="R146" i="19"/>
  <c r="R170" i="19"/>
  <c r="R169" i="19"/>
  <c r="V316" i="23"/>
  <c r="R219" i="19"/>
  <c r="V272" i="23"/>
  <c r="R236" i="19"/>
  <c r="H249" i="30" l="1"/>
  <c r="H282" i="30"/>
  <c r="H177" i="30"/>
  <c r="H248" i="30"/>
  <c r="H261" i="30"/>
  <c r="H217" i="30"/>
  <c r="H277" i="30"/>
  <c r="H283" i="30"/>
  <c r="R168" i="19"/>
  <c r="H301" i="20"/>
  <c r="H302" i="20"/>
  <c r="H247" i="30" l="1"/>
  <c r="H214" i="30"/>
  <c r="H216" i="30"/>
  <c r="H215" i="30" s="1"/>
  <c r="H281" i="30"/>
  <c r="H174" i="30"/>
  <c r="H176" i="30"/>
  <c r="H175" i="30" s="1"/>
  <c r="H300" i="20"/>
  <c r="Z439" i="23"/>
  <c r="Z443" i="23" s="1"/>
  <c r="W272" i="23" l="1"/>
  <c r="R232" i="19"/>
  <c r="W437" i="23"/>
  <c r="Z316" i="23"/>
  <c r="H171" i="30" l="1"/>
  <c r="Z63" i="23"/>
  <c r="Z435" i="23"/>
  <c r="Z424" i="23"/>
  <c r="Z353" i="23"/>
  <c r="Z393" i="23" s="1"/>
  <c r="Z342" i="23"/>
  <c r="Z333" i="23"/>
  <c r="Z328" i="23"/>
  <c r="Z272" i="23"/>
  <c r="Z178" i="23"/>
  <c r="V320" i="23"/>
  <c r="H168" i="30" l="1"/>
  <c r="H170" i="30"/>
  <c r="H169" i="30" s="1"/>
  <c r="Z32" i="23"/>
  <c r="X176" i="23"/>
  <c r="X178" i="23" s="1"/>
  <c r="V174" i="23"/>
  <c r="V178" i="23" s="1"/>
  <c r="W178" i="23" l="1"/>
  <c r="W14" i="23"/>
  <c r="Q176" i="23"/>
  <c r="X118" i="23" l="1"/>
  <c r="X76" i="23"/>
  <c r="V390" i="23"/>
  <c r="V63" i="23"/>
  <c r="V435" i="23"/>
  <c r="V328" i="23"/>
  <c r="V443" i="23"/>
  <c r="V360" i="23"/>
  <c r="V342" i="23"/>
  <c r="V321" i="23"/>
  <c r="V305" i="23"/>
  <c r="V281" i="23"/>
  <c r="V160" i="23"/>
  <c r="V150" i="23"/>
  <c r="V123" i="23"/>
  <c r="V24" i="23"/>
  <c r="V32" i="23"/>
  <c r="V49" i="23"/>
  <c r="V54" i="23"/>
  <c r="V165" i="23"/>
  <c r="V251" i="23"/>
  <c r="V219" i="23"/>
  <c r="T423" i="23"/>
  <c r="U422" i="23"/>
  <c r="S422" i="23"/>
  <c r="S423" i="23" s="1"/>
  <c r="R422" i="23"/>
  <c r="T421" i="23"/>
  <c r="R421" i="23"/>
  <c r="U420" i="23"/>
  <c r="S420" i="23"/>
  <c r="R420" i="23"/>
  <c r="AC75" i="23"/>
  <c r="AB75" i="23"/>
  <c r="S75" i="23"/>
  <c r="R75" i="23"/>
  <c r="AC74" i="23"/>
  <c r="AB74" i="23"/>
  <c r="U74" i="23"/>
  <c r="U75" i="23" s="1"/>
  <c r="T74" i="23"/>
  <c r="T75" i="23" s="1"/>
  <c r="S74" i="23"/>
  <c r="R74" i="23"/>
  <c r="X135" i="23" l="1"/>
  <c r="R124" i="19" s="1"/>
  <c r="Q420" i="23"/>
  <c r="Q75" i="23"/>
  <c r="Q422" i="23"/>
  <c r="R423" i="23"/>
  <c r="S421" i="23"/>
  <c r="Q74" i="23"/>
  <c r="H83" i="30" l="1"/>
  <c r="H81" i="30" s="1"/>
  <c r="R120" i="19"/>
  <c r="U423" i="23"/>
  <c r="Q423" i="23" s="1"/>
  <c r="U421" i="23"/>
  <c r="Q421" i="23" s="1"/>
  <c r="M279" i="20" l="1"/>
  <c r="K279" i="20"/>
  <c r="I279" i="20"/>
  <c r="J275" i="20"/>
  <c r="H275" i="20"/>
  <c r="M274" i="20"/>
  <c r="K274" i="20"/>
  <c r="I274" i="20"/>
  <c r="K271" i="20"/>
  <c r="J271" i="20"/>
  <c r="I271" i="20"/>
  <c r="H271" i="20"/>
  <c r="M263" i="20"/>
  <c r="K263" i="20"/>
  <c r="I263" i="20"/>
  <c r="M256" i="20"/>
  <c r="K256" i="20"/>
  <c r="I256" i="20"/>
  <c r="M251" i="20"/>
  <c r="K251" i="20"/>
  <c r="M247" i="20"/>
  <c r="L247" i="20"/>
  <c r="K247" i="20"/>
  <c r="J247" i="20"/>
  <c r="I247" i="20"/>
  <c r="M246" i="20"/>
  <c r="L246" i="20"/>
  <c r="K246" i="20"/>
  <c r="J246" i="20"/>
  <c r="I246" i="20"/>
  <c r="M245" i="20"/>
  <c r="M244" i="20" s="1"/>
  <c r="L245" i="20"/>
  <c r="K245" i="20"/>
  <c r="K244" i="20" s="1"/>
  <c r="J245" i="20"/>
  <c r="I245" i="20"/>
  <c r="I244" i="20" s="1"/>
  <c r="M243" i="20"/>
  <c r="L243" i="20"/>
  <c r="K243" i="20"/>
  <c r="J243" i="20"/>
  <c r="I243" i="20"/>
  <c r="M242" i="20"/>
  <c r="L242" i="20"/>
  <c r="K242" i="20"/>
  <c r="J242" i="20"/>
  <c r="I242" i="20"/>
  <c r="M241" i="20"/>
  <c r="L241" i="20"/>
  <c r="K241" i="20"/>
  <c r="J241" i="20"/>
  <c r="I241" i="20"/>
  <c r="M240" i="20"/>
  <c r="L240" i="20"/>
  <c r="K240" i="20"/>
  <c r="J240" i="20"/>
  <c r="I240" i="20"/>
  <c r="M239" i="20"/>
  <c r="L239" i="20"/>
  <c r="K239" i="20"/>
  <c r="J239" i="20"/>
  <c r="I239" i="20"/>
  <c r="M238" i="20"/>
  <c r="L238" i="20"/>
  <c r="K238" i="20"/>
  <c r="J238" i="20"/>
  <c r="I238" i="20"/>
  <c r="M237" i="20"/>
  <c r="M214" i="20" s="1"/>
  <c r="M181" i="20" s="1"/>
  <c r="L237" i="20"/>
  <c r="K237" i="20"/>
  <c r="K214" i="20" s="1"/>
  <c r="K181" i="20" s="1"/>
  <c r="J237" i="20"/>
  <c r="I237" i="20"/>
  <c r="I214" i="20" s="1"/>
  <c r="I181" i="20" s="1"/>
  <c r="L236" i="20"/>
  <c r="J236" i="20"/>
  <c r="J233" i="20" s="1"/>
  <c r="L232" i="20"/>
  <c r="L231" i="20" s="1"/>
  <c r="L230" i="20" s="1"/>
  <c r="J232" i="20"/>
  <c r="J231" i="20" s="1"/>
  <c r="J230" i="20" s="1"/>
  <c r="L229" i="20"/>
  <c r="L228" i="20" s="1"/>
  <c r="L227" i="20" s="1"/>
  <c r="J229" i="20"/>
  <c r="J228" i="20" s="1"/>
  <c r="J227" i="20" s="1"/>
  <c r="M218" i="20"/>
  <c r="K218" i="20"/>
  <c r="L212" i="20"/>
  <c r="L211" i="20" s="1"/>
  <c r="J212" i="20"/>
  <c r="J211" i="20" s="1"/>
  <c r="H212" i="20"/>
  <c r="H211" i="20" s="1"/>
  <c r="L210" i="20"/>
  <c r="L209" i="20" s="1"/>
  <c r="L208" i="20" s="1"/>
  <c r="J210" i="20"/>
  <c r="J209" i="20" s="1"/>
  <c r="J208" i="20" s="1"/>
  <c r="H209" i="20"/>
  <c r="H208" i="20" s="1"/>
  <c r="L196" i="20"/>
  <c r="L193" i="20" s="1"/>
  <c r="J196" i="20"/>
  <c r="J195" i="20" s="1"/>
  <c r="J194" i="20" s="1"/>
  <c r="L166" i="20"/>
  <c r="L163" i="20" s="1"/>
  <c r="J166" i="20"/>
  <c r="M156" i="20"/>
  <c r="M155" i="20" s="1"/>
  <c r="K156" i="20"/>
  <c r="K155" i="20" s="1"/>
  <c r="I156" i="20"/>
  <c r="I155" i="20" s="1"/>
  <c r="L152" i="20"/>
  <c r="L151" i="20" s="1"/>
  <c r="J152" i="20"/>
  <c r="J151" i="20" s="1"/>
  <c r="M145" i="20"/>
  <c r="K145" i="20"/>
  <c r="I145" i="20"/>
  <c r="L135" i="20"/>
  <c r="L134" i="20" s="1"/>
  <c r="J135" i="20"/>
  <c r="J134" i="20" s="1"/>
  <c r="L133" i="20"/>
  <c r="J133" i="20"/>
  <c r="L126" i="20"/>
  <c r="J126" i="20"/>
  <c r="K126" i="20" s="1"/>
  <c r="K125" i="20" s="1"/>
  <c r="K124" i="20" s="1"/>
  <c r="H126" i="20"/>
  <c r="L123" i="20"/>
  <c r="M123" i="20" s="1"/>
  <c r="M122" i="20" s="1"/>
  <c r="M121" i="20" s="1"/>
  <c r="J123" i="20"/>
  <c r="H123" i="20"/>
  <c r="H122" i="20" s="1"/>
  <c r="H121" i="20" s="1"/>
  <c r="M113" i="20"/>
  <c r="L113" i="20"/>
  <c r="K113" i="20"/>
  <c r="J113" i="20"/>
  <c r="I113" i="20"/>
  <c r="H113" i="20"/>
  <c r="L100" i="20"/>
  <c r="J100" i="20"/>
  <c r="L84" i="20"/>
  <c r="L83" i="20"/>
  <c r="L81" i="20"/>
  <c r="L78" i="20" s="1"/>
  <c r="L73" i="20"/>
  <c r="L70" i="20" s="1"/>
  <c r="L69" i="20" s="1"/>
  <c r="L68" i="20" s="1"/>
  <c r="L66" i="20"/>
  <c r="J66" i="20"/>
  <c r="H66" i="20"/>
  <c r="M64" i="20"/>
  <c r="K64" i="20"/>
  <c r="I64" i="20"/>
  <c r="J60" i="20"/>
  <c r="J58" i="20" s="1"/>
  <c r="H60" i="20"/>
  <c r="H58" i="20" s="1"/>
  <c r="M58" i="20"/>
  <c r="K58" i="20"/>
  <c r="I58" i="20"/>
  <c r="L56" i="20"/>
  <c r="J56" i="20"/>
  <c r="H56" i="20"/>
  <c r="H55" i="20" s="1"/>
  <c r="H54" i="20" s="1"/>
  <c r="H53" i="20" s="1"/>
  <c r="L44" i="20"/>
  <c r="J44" i="20"/>
  <c r="H44" i="20"/>
  <c r="M39" i="20"/>
  <c r="K39" i="20"/>
  <c r="I39" i="20"/>
  <c r="M35" i="20"/>
  <c r="M34" i="20" s="1"/>
  <c r="K35" i="20"/>
  <c r="K34" i="20" s="1"/>
  <c r="I35" i="20"/>
  <c r="I34" i="20" s="1"/>
  <c r="M31" i="20"/>
  <c r="M30" i="20" s="1"/>
  <c r="K31" i="20"/>
  <c r="K30" i="20" s="1"/>
  <c r="I31" i="20"/>
  <c r="I30" i="20" s="1"/>
  <c r="AC413" i="23"/>
  <c r="AC375" i="23"/>
  <c r="AC73" i="23"/>
  <c r="AC72" i="23"/>
  <c r="W201" i="19"/>
  <c r="J232" i="30" s="1"/>
  <c r="AC316" i="23"/>
  <c r="AB316" i="23"/>
  <c r="AB375" i="23"/>
  <c r="AB219" i="23"/>
  <c r="AB73" i="23"/>
  <c r="AB72" i="23"/>
  <c r="AC31" i="23"/>
  <c r="AC30" i="23"/>
  <c r="AB31" i="23"/>
  <c r="AB30" i="23"/>
  <c r="AC23" i="23"/>
  <c r="AB23" i="23"/>
  <c r="AC22" i="23"/>
  <c r="AB22" i="23"/>
  <c r="R210" i="19"/>
  <c r="H182" i="30" s="1"/>
  <c r="H181" i="30" s="1"/>
  <c r="H180" i="30" s="1"/>
  <c r="H179" i="30" s="1"/>
  <c r="H178" i="30" s="1"/>
  <c r="H196" i="20"/>
  <c r="H195" i="20" s="1"/>
  <c r="H194" i="20" s="1"/>
  <c r="X216" i="19"/>
  <c r="X215" i="19" s="1"/>
  <c r="X214" i="19" s="1"/>
  <c r="W216" i="19"/>
  <c r="W215" i="19" s="1"/>
  <c r="W214" i="19" s="1"/>
  <c r="R216" i="19"/>
  <c r="V200" i="19"/>
  <c r="U200" i="19"/>
  <c r="T200" i="19"/>
  <c r="S200" i="19"/>
  <c r="X201" i="19"/>
  <c r="R201" i="19"/>
  <c r="H232" i="30" s="1"/>
  <c r="R66" i="19"/>
  <c r="H27" i="30" s="1"/>
  <c r="R78" i="19"/>
  <c r="H33" i="30" s="1"/>
  <c r="R80" i="19"/>
  <c r="H35" i="30" s="1"/>
  <c r="R86" i="19"/>
  <c r="H65" i="30" s="1"/>
  <c r="H64" i="30" s="1"/>
  <c r="H63" i="30" s="1"/>
  <c r="R90" i="19"/>
  <c r="H69" i="30" s="1"/>
  <c r="R91" i="19"/>
  <c r="H70" i="30" s="1"/>
  <c r="W160" i="23"/>
  <c r="S63" i="19"/>
  <c r="T63" i="19"/>
  <c r="U63" i="19"/>
  <c r="V63" i="19"/>
  <c r="V136" i="23"/>
  <c r="H94" i="20"/>
  <c r="R127" i="19"/>
  <c r="W127" i="19"/>
  <c r="H267" i="20"/>
  <c r="R141" i="19"/>
  <c r="H243" i="30" s="1"/>
  <c r="R143" i="19"/>
  <c r="H245" i="30" s="1"/>
  <c r="H296" i="20"/>
  <c r="R241" i="19"/>
  <c r="R240" i="19"/>
  <c r="R243" i="19"/>
  <c r="H137" i="30" s="1"/>
  <c r="R242" i="19"/>
  <c r="H136" i="30" s="1"/>
  <c r="H236" i="20"/>
  <c r="H235" i="20" s="1"/>
  <c r="H234" i="20" s="1"/>
  <c r="R60" i="19"/>
  <c r="R57" i="19"/>
  <c r="R61" i="19"/>
  <c r="X62" i="19"/>
  <c r="X61" i="19" s="1"/>
  <c r="W62" i="19"/>
  <c r="W61" i="19" s="1"/>
  <c r="X60" i="19"/>
  <c r="X59" i="19" s="1"/>
  <c r="W60" i="19"/>
  <c r="W59" i="19" s="1"/>
  <c r="X57" i="19"/>
  <c r="X56" i="19" s="1"/>
  <c r="W57" i="19"/>
  <c r="W56" i="19" s="1"/>
  <c r="X54" i="19"/>
  <c r="W54" i="19"/>
  <c r="H32" i="30" l="1"/>
  <c r="H224" i="30"/>
  <c r="H223" i="30" s="1"/>
  <c r="H222" i="30" s="1"/>
  <c r="H231" i="30"/>
  <c r="H230" i="30" s="1"/>
  <c r="H229" i="30"/>
  <c r="H221" i="30"/>
  <c r="H220" i="30" s="1"/>
  <c r="H219" i="30" s="1"/>
  <c r="H86" i="30"/>
  <c r="H68" i="30"/>
  <c r="H62" i="30" s="1"/>
  <c r="H228" i="30"/>
  <c r="H227" i="30" s="1"/>
  <c r="H226" i="30" s="1"/>
  <c r="H133" i="30"/>
  <c r="H134" i="30"/>
  <c r="H135" i="30"/>
  <c r="L232" i="30"/>
  <c r="J229" i="30"/>
  <c r="J225" i="30" s="1"/>
  <c r="J231" i="30"/>
  <c r="J230" i="30" s="1"/>
  <c r="H264" i="20"/>
  <c r="H77" i="20"/>
  <c r="H76" i="20" s="1"/>
  <c r="H251" i="20"/>
  <c r="H248" i="20" s="1"/>
  <c r="H152" i="20"/>
  <c r="H262" i="20"/>
  <c r="H45" i="20"/>
  <c r="H153" i="20"/>
  <c r="H83" i="20"/>
  <c r="H43" i="20"/>
  <c r="H201" i="20"/>
  <c r="H200" i="20" s="1"/>
  <c r="H199" i="20" s="1"/>
  <c r="H198" i="20" s="1"/>
  <c r="H197" i="20" s="1"/>
  <c r="D43" i="15" s="1"/>
  <c r="H96" i="20"/>
  <c r="H81" i="20"/>
  <c r="H78" i="20" s="1"/>
  <c r="H37" i="20"/>
  <c r="H84" i="20"/>
  <c r="J251" i="20"/>
  <c r="J248" i="20" s="1"/>
  <c r="J244" i="20" s="1"/>
  <c r="K29" i="20"/>
  <c r="H149" i="20"/>
  <c r="R239" i="19"/>
  <c r="I29" i="20"/>
  <c r="L122" i="20"/>
  <c r="L121" i="20" s="1"/>
  <c r="I123" i="20"/>
  <c r="I122" i="20" s="1"/>
  <c r="I121" i="20" s="1"/>
  <c r="H150" i="20"/>
  <c r="L195" i="20"/>
  <c r="L194" i="20" s="1"/>
  <c r="H193" i="20"/>
  <c r="H233" i="20"/>
  <c r="J193" i="20"/>
  <c r="L82" i="20"/>
  <c r="J235" i="20"/>
  <c r="J234" i="20" s="1"/>
  <c r="R215" i="19"/>
  <c r="R214" i="19" s="1"/>
  <c r="H247" i="20"/>
  <c r="H246" i="20" s="1"/>
  <c r="H245" i="20" s="1"/>
  <c r="X200" i="19"/>
  <c r="L251" i="20"/>
  <c r="J165" i="20"/>
  <c r="J164" i="20" s="1"/>
  <c r="J163" i="20"/>
  <c r="R56" i="19"/>
  <c r="R55" i="19" s="1"/>
  <c r="H240" i="20"/>
  <c r="H239" i="20" s="1"/>
  <c r="H238" i="20" s="1"/>
  <c r="R59" i="19"/>
  <c r="R58" i="19" s="1"/>
  <c r="H243" i="20"/>
  <c r="H242" i="20" s="1"/>
  <c r="H241" i="20" s="1"/>
  <c r="W200" i="19"/>
  <c r="R200" i="19"/>
  <c r="H102" i="20"/>
  <c r="L233" i="20"/>
  <c r="L235" i="20"/>
  <c r="L234" i="20" s="1"/>
  <c r="L165" i="20"/>
  <c r="L164" i="20" s="1"/>
  <c r="M29" i="20"/>
  <c r="J122" i="20"/>
  <c r="J121" i="20" s="1"/>
  <c r="K123" i="20"/>
  <c r="K122" i="20" s="1"/>
  <c r="K121" i="20" s="1"/>
  <c r="K120" i="20" s="1"/>
  <c r="K119" i="20" s="1"/>
  <c r="K118" i="20" s="1"/>
  <c r="M126" i="20"/>
  <c r="M125" i="20" s="1"/>
  <c r="M124" i="20" s="1"/>
  <c r="M120" i="20" s="1"/>
  <c r="M119" i="20" s="1"/>
  <c r="M118" i="20" s="1"/>
  <c r="H125" i="20"/>
  <c r="H124" i="20" s="1"/>
  <c r="H120" i="20" s="1"/>
  <c r="H119" i="20" s="1"/>
  <c r="D30" i="15" s="1"/>
  <c r="I126" i="20"/>
  <c r="I125" i="20" s="1"/>
  <c r="I124" i="20" s="1"/>
  <c r="H42" i="20" l="1"/>
  <c r="H218" i="30"/>
  <c r="H225" i="30"/>
  <c r="L229" i="30"/>
  <c r="L225" i="30" s="1"/>
  <c r="L231" i="30"/>
  <c r="L230" i="30" s="1"/>
  <c r="H132" i="30"/>
  <c r="H131" i="30" s="1"/>
  <c r="H130" i="30" s="1"/>
  <c r="J250" i="20"/>
  <c r="J249" i="20" s="1"/>
  <c r="H151" i="20"/>
  <c r="H244" i="20"/>
  <c r="D48" i="15" s="1"/>
  <c r="D47" i="15" s="1"/>
  <c r="H250" i="20"/>
  <c r="H249" i="20" s="1"/>
  <c r="H75" i="20"/>
  <c r="H82" i="20"/>
  <c r="H148" i="20"/>
  <c r="H147" i="20" s="1"/>
  <c r="I120" i="20"/>
  <c r="I119" i="20" s="1"/>
  <c r="I118" i="20" s="1"/>
  <c r="H237" i="20"/>
  <c r="R54" i="19"/>
  <c r="L250" i="20"/>
  <c r="L249" i="20" s="1"/>
  <c r="L248" i="20"/>
  <c r="L244" i="20" s="1"/>
  <c r="Y54" i="19" l="1"/>
  <c r="H146" i="20"/>
  <c r="D35" i="15" s="1"/>
  <c r="H74" i="20"/>
  <c r="S197" i="19"/>
  <c r="S176" i="19" s="1"/>
  <c r="S244" i="19" s="1"/>
  <c r="T197" i="19"/>
  <c r="T176" i="19" s="1"/>
  <c r="T244" i="19" s="1"/>
  <c r="U197" i="19"/>
  <c r="U176" i="19" s="1"/>
  <c r="U244" i="19" s="1"/>
  <c r="V197" i="19"/>
  <c r="V176" i="19" s="1"/>
  <c r="V244" i="19" s="1"/>
  <c r="X53" i="19"/>
  <c r="X52" i="19" s="1"/>
  <c r="X51" i="19" s="1"/>
  <c r="X46" i="19" s="1"/>
  <c r="W53" i="19"/>
  <c r="J61" i="30" s="1"/>
  <c r="J60" i="30" s="1"/>
  <c r="J59" i="30" s="1"/>
  <c r="J58" i="30" s="1"/>
  <c r="R53" i="19"/>
  <c r="H61" i="30" s="1"/>
  <c r="H60" i="30" s="1"/>
  <c r="H59" i="30" s="1"/>
  <c r="H58" i="30" s="1"/>
  <c r="X49" i="19"/>
  <c r="W49" i="19"/>
  <c r="R49" i="19"/>
  <c r="W66" i="19"/>
  <c r="J27" i="30" s="1"/>
  <c r="X66" i="19"/>
  <c r="L27" i="30" s="1"/>
  <c r="W70" i="19"/>
  <c r="J28" i="30" s="1"/>
  <c r="X70" i="19"/>
  <c r="L28" i="30" s="1"/>
  <c r="J23" i="30" l="1"/>
  <c r="J22" i="30" s="1"/>
  <c r="J21" i="30" s="1"/>
  <c r="J20" i="30" s="1"/>
  <c r="L23" i="30"/>
  <c r="L22" i="30" s="1"/>
  <c r="L21" i="30" s="1"/>
  <c r="L20" i="30" s="1"/>
  <c r="L38" i="20"/>
  <c r="J73" i="20"/>
  <c r="J70" i="20" s="1"/>
  <c r="J69" i="20" s="1"/>
  <c r="J68" i="20" s="1"/>
  <c r="J38" i="20"/>
  <c r="L37" i="20"/>
  <c r="J37" i="20"/>
  <c r="J33" i="20" s="1"/>
  <c r="J32" i="20" s="1"/>
  <c r="J31" i="20" s="1"/>
  <c r="J30" i="20" s="1"/>
  <c r="H73" i="20"/>
  <c r="H70" i="20" s="1"/>
  <c r="H69" i="20" s="1"/>
  <c r="H68" i="20" s="1"/>
  <c r="R52" i="19"/>
  <c r="R51" i="19" s="1"/>
  <c r="W52" i="19"/>
  <c r="W51" i="19" s="1"/>
  <c r="W46" i="19" s="1"/>
  <c r="X65" i="19"/>
  <c r="X64" i="19" s="1"/>
  <c r="W65" i="19"/>
  <c r="W64" i="19" s="1"/>
  <c r="R46" i="19"/>
  <c r="L33" i="20" l="1"/>
  <c r="L32" i="20" s="1"/>
  <c r="L31" i="20" s="1"/>
  <c r="L30" i="20" s="1"/>
  <c r="Q5" i="23"/>
  <c r="G6" i="23"/>
  <c r="G9" i="23" s="1"/>
  <c r="S6" i="23"/>
  <c r="S9" i="23" s="1"/>
  <c r="Y7" i="23"/>
  <c r="D9" i="23"/>
  <c r="F9" i="23"/>
  <c r="H9" i="23"/>
  <c r="M9" i="23"/>
  <c r="O9" i="23"/>
  <c r="AB9" i="23"/>
  <c r="AC9" i="23"/>
  <c r="H13" i="23"/>
  <c r="R22" i="23"/>
  <c r="Q22" i="23" s="1"/>
  <c r="T22" i="23"/>
  <c r="S23" i="23"/>
  <c r="T23" i="23"/>
  <c r="Q24" i="23"/>
  <c r="AB24" i="23"/>
  <c r="AC24" i="23"/>
  <c r="R26" i="23"/>
  <c r="R27" i="23" s="1"/>
  <c r="T26" i="23"/>
  <c r="S27" i="23"/>
  <c r="T27" i="23"/>
  <c r="Q28" i="23"/>
  <c r="V28" i="23"/>
  <c r="AB28" i="23"/>
  <c r="AC28" i="23"/>
  <c r="R30" i="23"/>
  <c r="U30" i="23"/>
  <c r="U31" i="23" s="1"/>
  <c r="U32" i="23" s="1"/>
  <c r="S31" i="23"/>
  <c r="S32" i="23" s="1"/>
  <c r="T31" i="23"/>
  <c r="T32" i="23" s="1"/>
  <c r="AB32" i="23"/>
  <c r="AC32" i="23"/>
  <c r="B32" i="23"/>
  <c r="Q34" i="23"/>
  <c r="Q35" i="23"/>
  <c r="Q36" i="23"/>
  <c r="Q37" i="23"/>
  <c r="R39" i="23"/>
  <c r="S39" i="23"/>
  <c r="T39" i="23"/>
  <c r="U39" i="23"/>
  <c r="AB39" i="23"/>
  <c r="AB41" i="23" s="1"/>
  <c r="AC39" i="23"/>
  <c r="AC41" i="23" s="1"/>
  <c r="P41" i="23"/>
  <c r="R41" i="23"/>
  <c r="S41" i="23"/>
  <c r="T41" i="23"/>
  <c r="U41" i="23"/>
  <c r="V41" i="23"/>
  <c r="X41" i="23"/>
  <c r="Q44" i="23"/>
  <c r="Q45" i="23"/>
  <c r="Q46" i="23"/>
  <c r="Q47" i="23"/>
  <c r="Q48" i="23"/>
  <c r="R49" i="23"/>
  <c r="S49" i="23"/>
  <c r="T49" i="23"/>
  <c r="U49" i="23"/>
  <c r="Q53" i="23"/>
  <c r="AC53" i="23"/>
  <c r="AC54" i="23" s="1"/>
  <c r="R54" i="23"/>
  <c r="S54" i="23"/>
  <c r="T54" i="23"/>
  <c r="U54" i="23"/>
  <c r="X54" i="23"/>
  <c r="AB54" i="23"/>
  <c r="Q60" i="23"/>
  <c r="R63" i="23"/>
  <c r="S63" i="23"/>
  <c r="T63" i="23"/>
  <c r="U63" i="23"/>
  <c r="X63" i="23"/>
  <c r="AB63" i="23"/>
  <c r="AC63" i="23"/>
  <c r="Q66" i="23"/>
  <c r="Q69" i="23"/>
  <c r="AB69" i="23"/>
  <c r="AB70" i="23" s="1"/>
  <c r="R70" i="23"/>
  <c r="S70" i="23"/>
  <c r="T70" i="23"/>
  <c r="V70" i="23"/>
  <c r="X70" i="23"/>
  <c r="X137" i="23" s="1"/>
  <c r="AC70" i="23"/>
  <c r="R72" i="23"/>
  <c r="S72" i="23"/>
  <c r="T72" i="23"/>
  <c r="U72" i="23"/>
  <c r="R73" i="23"/>
  <c r="R76" i="23" s="1"/>
  <c r="U73" i="23"/>
  <c r="U76" i="23" s="1"/>
  <c r="AB76" i="23"/>
  <c r="AC76" i="23"/>
  <c r="Q78" i="23"/>
  <c r="Q79" i="23"/>
  <c r="Q80" i="23"/>
  <c r="Q81" i="23"/>
  <c r="Q82" i="23"/>
  <c r="R84" i="23"/>
  <c r="S84" i="23"/>
  <c r="T84" i="23"/>
  <c r="U84" i="23"/>
  <c r="AB84" i="23"/>
  <c r="AC84" i="23"/>
  <c r="Q86" i="23"/>
  <c r="Q87" i="23"/>
  <c r="Q88" i="23"/>
  <c r="Q89" i="23"/>
  <c r="Q90" i="23"/>
  <c r="R92" i="23"/>
  <c r="S92" i="23"/>
  <c r="T92" i="23"/>
  <c r="U92" i="23"/>
  <c r="AB92" i="23"/>
  <c r="AC92" i="23"/>
  <c r="Q93" i="23"/>
  <c r="Q94" i="23"/>
  <c r="Q95" i="23"/>
  <c r="Q96" i="23"/>
  <c r="Q97" i="23"/>
  <c r="Q98" i="23"/>
  <c r="Q99" i="23"/>
  <c r="Q100" i="23"/>
  <c r="Q101" i="23"/>
  <c r="Q102" i="23"/>
  <c r="R104" i="23"/>
  <c r="S104" i="23"/>
  <c r="T104" i="23"/>
  <c r="U104" i="23"/>
  <c r="AB104" i="23"/>
  <c r="AC104" i="23"/>
  <c r="Q105" i="23"/>
  <c r="Q106" i="23"/>
  <c r="AB106" i="23"/>
  <c r="AC106" i="23"/>
  <c r="AC118" i="23" s="1"/>
  <c r="Q107" i="23"/>
  <c r="Q108" i="23"/>
  <c r="Q109" i="23"/>
  <c r="Q110" i="23"/>
  <c r="Q111" i="23"/>
  <c r="Q112" i="23"/>
  <c r="Q113" i="23"/>
  <c r="Q114" i="23"/>
  <c r="Q115" i="23"/>
  <c r="Q116" i="23"/>
  <c r="Q117" i="23"/>
  <c r="R118" i="23"/>
  <c r="S118" i="23"/>
  <c r="T118" i="23"/>
  <c r="U118" i="23"/>
  <c r="AB118" i="23"/>
  <c r="Q119" i="23"/>
  <c r="Q120" i="23"/>
  <c r="Q121" i="23"/>
  <c r="Q122" i="23"/>
  <c r="R123" i="23"/>
  <c r="S123" i="23"/>
  <c r="T123" i="23"/>
  <c r="U123" i="23"/>
  <c r="AB123" i="23"/>
  <c r="AC123" i="23"/>
  <c r="Q128" i="23"/>
  <c r="Q129" i="23"/>
  <c r="Q130" i="23"/>
  <c r="Q131" i="23"/>
  <c r="Q132" i="23"/>
  <c r="R133" i="23"/>
  <c r="S133" i="23"/>
  <c r="T133" i="23"/>
  <c r="T137" i="23" s="1"/>
  <c r="U133" i="23"/>
  <c r="AB133" i="23"/>
  <c r="AC133" i="23"/>
  <c r="Q134" i="23"/>
  <c r="AK135" i="23"/>
  <c r="AC140" i="23"/>
  <c r="AC141" i="23" s="1"/>
  <c r="AB141" i="23"/>
  <c r="J74" i="30" s="1"/>
  <c r="J73" i="30" s="1"/>
  <c r="J72" i="30" s="1"/>
  <c r="J71" i="30" s="1"/>
  <c r="Q148" i="23"/>
  <c r="Q149" i="23"/>
  <c r="R150" i="23"/>
  <c r="Q150" i="23" s="1"/>
  <c r="AB150" i="23"/>
  <c r="AC150" i="23"/>
  <c r="W158" i="23"/>
  <c r="R160" i="23"/>
  <c r="Q160" i="23" s="1"/>
  <c r="AB160" i="23"/>
  <c r="AC160" i="23"/>
  <c r="Q163" i="23"/>
  <c r="Q164" i="23"/>
  <c r="R165" i="23"/>
  <c r="Q165" i="23" s="1"/>
  <c r="AB165" i="23"/>
  <c r="AC165" i="23"/>
  <c r="Q168" i="23"/>
  <c r="Q173" i="23"/>
  <c r="Q175" i="23"/>
  <c r="Q177" i="23"/>
  <c r="R178" i="23"/>
  <c r="S178" i="23"/>
  <c r="T178" i="23"/>
  <c r="U178" i="23"/>
  <c r="AB178" i="23"/>
  <c r="AC178" i="23"/>
  <c r="S187" i="23"/>
  <c r="V187" i="23"/>
  <c r="Q191" i="23"/>
  <c r="R192" i="23"/>
  <c r="Q192" i="23" s="1"/>
  <c r="V192" i="23"/>
  <c r="AB192" i="23"/>
  <c r="AC192" i="23"/>
  <c r="Q219" i="23"/>
  <c r="AB220" i="23"/>
  <c r="T220" i="23"/>
  <c r="Q220" i="23" s="1"/>
  <c r="V220" i="23"/>
  <c r="X220" i="23"/>
  <c r="AC220" i="23"/>
  <c r="Q222" i="23"/>
  <c r="T223" i="23"/>
  <c r="Q223" i="23" s="1"/>
  <c r="V223" i="23"/>
  <c r="AB223" i="23"/>
  <c r="AC223" i="23"/>
  <c r="R228" i="23"/>
  <c r="Q228" i="23" s="1"/>
  <c r="V228" i="23"/>
  <c r="V231" i="23"/>
  <c r="Q238" i="23"/>
  <c r="Q239" i="23"/>
  <c r="R240" i="23"/>
  <c r="S240" i="23"/>
  <c r="T240" i="23"/>
  <c r="U240" i="23"/>
  <c r="V240" i="23"/>
  <c r="AB240" i="23"/>
  <c r="AC240" i="23"/>
  <c r="Q245" i="23"/>
  <c r="Q246" i="23"/>
  <c r="R247" i="23"/>
  <c r="S247" i="23"/>
  <c r="T247" i="23"/>
  <c r="U247" i="23"/>
  <c r="V247" i="23"/>
  <c r="Q251" i="23"/>
  <c r="X252" i="23"/>
  <c r="R252" i="23"/>
  <c r="S252" i="23"/>
  <c r="T252" i="23"/>
  <c r="U252" i="23"/>
  <c r="V252" i="23"/>
  <c r="AB252" i="23"/>
  <c r="AC252" i="23"/>
  <c r="R255" i="23"/>
  <c r="V255" i="23"/>
  <c r="S258" i="23"/>
  <c r="R258" i="23" s="1"/>
  <c r="R259" i="23" s="1"/>
  <c r="T258" i="23"/>
  <c r="U258" i="23"/>
  <c r="U259" i="23" s="1"/>
  <c r="T259" i="23"/>
  <c r="V259" i="23"/>
  <c r="AB259" i="23"/>
  <c r="AC259" i="23"/>
  <c r="Q262" i="23"/>
  <c r="Q263" i="23"/>
  <c r="Q266" i="23"/>
  <c r="Q267" i="23"/>
  <c r="Q268" i="23"/>
  <c r="Q269" i="23"/>
  <c r="Q270" i="23"/>
  <c r="Q271" i="23"/>
  <c r="R272" i="23"/>
  <c r="S272" i="23"/>
  <c r="T272" i="23"/>
  <c r="U272" i="23"/>
  <c r="AB272" i="23"/>
  <c r="AC272" i="23"/>
  <c r="R279" i="23"/>
  <c r="S279" i="23"/>
  <c r="T279" i="23"/>
  <c r="U279" i="23"/>
  <c r="R280" i="23"/>
  <c r="S280" i="23"/>
  <c r="S281" i="23" s="1"/>
  <c r="T280" i="23"/>
  <c r="T281" i="23" s="1"/>
  <c r="U280" i="23"/>
  <c r="R281" i="23"/>
  <c r="U281" i="23"/>
  <c r="AB281" i="23"/>
  <c r="AC281" i="23"/>
  <c r="Q300" i="23"/>
  <c r="Q301" i="23"/>
  <c r="Q302" i="23"/>
  <c r="Q303" i="23"/>
  <c r="R305" i="23"/>
  <c r="S305" i="23"/>
  <c r="T305" i="23"/>
  <c r="U305" i="23"/>
  <c r="X305" i="23"/>
  <c r="R307" i="23"/>
  <c r="S307" i="23"/>
  <c r="T307" i="23"/>
  <c r="T308" i="23" s="1"/>
  <c r="U307" i="23"/>
  <c r="U308" i="23" s="1"/>
  <c r="R308" i="23"/>
  <c r="T310" i="23"/>
  <c r="T313" i="23" s="1"/>
  <c r="U310" i="23"/>
  <c r="U313" i="23" s="1"/>
  <c r="T311" i="23"/>
  <c r="U311" i="23"/>
  <c r="Q314" i="23"/>
  <c r="Q315" i="23"/>
  <c r="W316" i="23"/>
  <c r="R318" i="23"/>
  <c r="S318" i="23"/>
  <c r="T318" i="23"/>
  <c r="U318" i="23"/>
  <c r="R319" i="23"/>
  <c r="S319" i="23"/>
  <c r="T319" i="23"/>
  <c r="U319" i="23"/>
  <c r="Q320" i="23"/>
  <c r="R321" i="23"/>
  <c r="S321" i="23"/>
  <c r="T321" i="23"/>
  <c r="U321" i="23"/>
  <c r="Q321" i="23" s="1"/>
  <c r="X321" i="23"/>
  <c r="AC321" i="23"/>
  <c r="Q325" i="23"/>
  <c r="Q326" i="23"/>
  <c r="R328" i="23"/>
  <c r="S328" i="23"/>
  <c r="T328" i="23"/>
  <c r="U328" i="23"/>
  <c r="X328" i="23"/>
  <c r="AB328" i="23"/>
  <c r="AC328" i="23"/>
  <c r="R330" i="23"/>
  <c r="Q330" i="23" s="1"/>
  <c r="V333" i="23"/>
  <c r="R333" i="23" s="1"/>
  <c r="Q333" i="23" s="1"/>
  <c r="X333" i="23"/>
  <c r="AB333" i="23"/>
  <c r="AC333" i="23"/>
  <c r="X342" i="23"/>
  <c r="AB342" i="23"/>
  <c r="AC342" i="23"/>
  <c r="Q349" i="23"/>
  <c r="V349" i="23"/>
  <c r="E449" i="23" s="1"/>
  <c r="AB349" i="23"/>
  <c r="AC349" i="23"/>
  <c r="Q350" i="23"/>
  <c r="AO350" i="23"/>
  <c r="Q351" i="23"/>
  <c r="R352" i="23"/>
  <c r="R353" i="23" s="1"/>
  <c r="S352" i="23"/>
  <c r="S353" i="23" s="1"/>
  <c r="T352" i="23"/>
  <c r="T353" i="23" s="1"/>
  <c r="U352" i="23"/>
  <c r="U353" i="23" s="1"/>
  <c r="AB352" i="23"/>
  <c r="AC352" i="23"/>
  <c r="X353" i="23"/>
  <c r="Q355" i="23"/>
  <c r="R356" i="23"/>
  <c r="S356" i="23"/>
  <c r="T356" i="23"/>
  <c r="U356" i="23"/>
  <c r="V356" i="23"/>
  <c r="X356" i="23"/>
  <c r="Y356" i="23"/>
  <c r="AB356" i="23"/>
  <c r="AC356" i="23"/>
  <c r="Q358" i="23"/>
  <c r="Q359" i="23"/>
  <c r="R360" i="23"/>
  <c r="S360" i="23"/>
  <c r="T360" i="23"/>
  <c r="U360" i="23"/>
  <c r="X360" i="23"/>
  <c r="AB360" i="23"/>
  <c r="AC360" i="23"/>
  <c r="R363" i="23"/>
  <c r="Q363" i="23" s="1"/>
  <c r="U364" i="23"/>
  <c r="Q364" i="23" s="1"/>
  <c r="Q365" i="23"/>
  <c r="Q366" i="23"/>
  <c r="S367" i="23"/>
  <c r="T367" i="23"/>
  <c r="X367" i="23"/>
  <c r="AB367" i="23"/>
  <c r="AC367" i="23"/>
  <c r="Q368" i="23"/>
  <c r="Q369" i="23"/>
  <c r="Q370" i="23"/>
  <c r="Q371" i="23"/>
  <c r="Q372" i="23"/>
  <c r="Q374" i="23"/>
  <c r="Q375" i="23"/>
  <c r="AC377" i="23"/>
  <c r="Q376" i="23"/>
  <c r="R377" i="23"/>
  <c r="S377" i="23"/>
  <c r="T377" i="23"/>
  <c r="U377" i="23"/>
  <c r="AB377" i="23"/>
  <c r="Q379" i="23"/>
  <c r="Q380" i="23"/>
  <c r="Q381" i="23"/>
  <c r="A385" i="23"/>
  <c r="Q385" i="23"/>
  <c r="R386" i="23"/>
  <c r="S386" i="23"/>
  <c r="T386" i="23"/>
  <c r="U386" i="23"/>
  <c r="AB386" i="23"/>
  <c r="AC386" i="23"/>
  <c r="Q387" i="23"/>
  <c r="Q388" i="23"/>
  <c r="R390" i="23"/>
  <c r="S390" i="23"/>
  <c r="T390" i="23"/>
  <c r="U390" i="23"/>
  <c r="X390" i="23"/>
  <c r="AB390" i="23"/>
  <c r="AC390" i="23"/>
  <c r="Q392" i="23"/>
  <c r="S399" i="23"/>
  <c r="Q399" i="23" s="1"/>
  <c r="U399" i="23"/>
  <c r="X399" i="23"/>
  <c r="S400" i="23"/>
  <c r="Q400" i="23" s="1"/>
  <c r="U400" i="23"/>
  <c r="X400" i="23"/>
  <c r="R401" i="23"/>
  <c r="S401" i="23"/>
  <c r="T401" i="23"/>
  <c r="U401" i="23"/>
  <c r="V401" i="23"/>
  <c r="AB401" i="23"/>
  <c r="AC401" i="23"/>
  <c r="S404" i="23"/>
  <c r="S405" i="23" s="1"/>
  <c r="S406" i="23" s="1"/>
  <c r="U404" i="23"/>
  <c r="T405" i="23"/>
  <c r="T406" i="23" s="1"/>
  <c r="V405" i="23"/>
  <c r="V406" i="23" s="1"/>
  <c r="AB406" i="23"/>
  <c r="AC406" i="23"/>
  <c r="U408" i="23"/>
  <c r="R409" i="23"/>
  <c r="S409" i="23"/>
  <c r="T409" i="23"/>
  <c r="U409" i="23"/>
  <c r="V409" i="23"/>
  <c r="AB409" i="23"/>
  <c r="AC409" i="23"/>
  <c r="Q413" i="23"/>
  <c r="X414" i="23"/>
  <c r="AC414" i="23"/>
  <c r="R414" i="23"/>
  <c r="S414" i="23"/>
  <c r="T414" i="23"/>
  <c r="U414" i="23"/>
  <c r="V414" i="23"/>
  <c r="AB414" i="23"/>
  <c r="R418" i="23"/>
  <c r="S418" i="23"/>
  <c r="S419" i="23" s="1"/>
  <c r="S424" i="23" s="1"/>
  <c r="U418" i="23"/>
  <c r="V418" i="23"/>
  <c r="T419" i="23"/>
  <c r="T424" i="23" s="1"/>
  <c r="AB424" i="23"/>
  <c r="AC424" i="23"/>
  <c r="U426" i="23"/>
  <c r="U427" i="23" s="1"/>
  <c r="R427" i="23"/>
  <c r="S427" i="23"/>
  <c r="T427" i="23"/>
  <c r="V427" i="23"/>
  <c r="AB427" i="23"/>
  <c r="AC427" i="23"/>
  <c r="Q429" i="23"/>
  <c r="R430" i="23"/>
  <c r="S430" i="23"/>
  <c r="T430" i="23"/>
  <c r="U430" i="23"/>
  <c r="V430" i="23"/>
  <c r="X430" i="23"/>
  <c r="AB430" i="23"/>
  <c r="AC430" i="23"/>
  <c r="Q432" i="23"/>
  <c r="Q433" i="23"/>
  <c r="Q434" i="23"/>
  <c r="Q435" i="23" s="1"/>
  <c r="R435" i="23"/>
  <c r="T435" i="23"/>
  <c r="X435" i="23"/>
  <c r="AB435" i="23"/>
  <c r="AC435" i="23"/>
  <c r="R437" i="23"/>
  <c r="S437" i="23"/>
  <c r="T437" i="23"/>
  <c r="U437" i="23"/>
  <c r="U438" i="23" s="1"/>
  <c r="R438" i="23"/>
  <c r="S438" i="23"/>
  <c r="T438" i="23"/>
  <c r="R439" i="23"/>
  <c r="S439" i="23"/>
  <c r="S440" i="23" s="1"/>
  <c r="S443" i="23" s="1"/>
  <c r="T439" i="23"/>
  <c r="T440" i="23" s="1"/>
  <c r="U439" i="23"/>
  <c r="U440" i="23"/>
  <c r="U443" i="23" s="1"/>
  <c r="R441" i="23"/>
  <c r="S441" i="23"/>
  <c r="T441" i="23"/>
  <c r="U441" i="23"/>
  <c r="U442" i="23" s="1"/>
  <c r="R442" i="23"/>
  <c r="S442" i="23"/>
  <c r="X443" i="23"/>
  <c r="W443" i="23" s="1"/>
  <c r="AB443" i="23"/>
  <c r="AC443" i="23"/>
  <c r="E452" i="23"/>
  <c r="E453" i="23"/>
  <c r="E461" i="23"/>
  <c r="Q386" i="23" l="1"/>
  <c r="AO353" i="23"/>
  <c r="Y349" i="23"/>
  <c r="X393" i="23"/>
  <c r="V14" i="23"/>
  <c r="V15" i="23" s="1"/>
  <c r="Q401" i="23"/>
  <c r="R118" i="19"/>
  <c r="V137" i="23"/>
  <c r="AO137" i="23" s="1"/>
  <c r="AH114" i="19" s="1"/>
  <c r="G135" i="23"/>
  <c r="V393" i="23"/>
  <c r="AO406" i="23" s="1"/>
  <c r="S137" i="23"/>
  <c r="Q367" i="23"/>
  <c r="U312" i="23"/>
  <c r="U316" i="23"/>
  <c r="T443" i="23"/>
  <c r="Q441" i="23"/>
  <c r="Q439" i="23"/>
  <c r="R367" i="23"/>
  <c r="R393" i="23" s="1"/>
  <c r="AB353" i="23"/>
  <c r="R182" i="19"/>
  <c r="H167" i="30" s="1"/>
  <c r="H166" i="30" s="1"/>
  <c r="R225" i="19"/>
  <c r="W252" i="23"/>
  <c r="Z251" i="23"/>
  <c r="Z252" i="23" s="1"/>
  <c r="Z445" i="23" s="1"/>
  <c r="J88" i="20"/>
  <c r="J87" i="20" s="1"/>
  <c r="J86" i="20" s="1"/>
  <c r="J85" i="20" s="1"/>
  <c r="Q92" i="23"/>
  <c r="W41" i="23"/>
  <c r="Q437" i="23"/>
  <c r="Q430" i="23"/>
  <c r="R162" i="19"/>
  <c r="V424" i="23"/>
  <c r="U367" i="23"/>
  <c r="U393" i="23" s="1"/>
  <c r="AO349" i="23"/>
  <c r="AO346" i="23" s="1"/>
  <c r="Q328" i="23"/>
  <c r="Q252" i="23"/>
  <c r="Q178" i="23"/>
  <c r="Y154" i="23"/>
  <c r="U137" i="23"/>
  <c r="W135" i="23"/>
  <c r="Q70" i="23"/>
  <c r="Q49" i="23"/>
  <c r="Q30" i="23"/>
  <c r="R151" i="19"/>
  <c r="H263" i="30" s="1"/>
  <c r="H260" i="30" s="1"/>
  <c r="H258" i="30" s="1"/>
  <c r="W393" i="23"/>
  <c r="Y160" i="23"/>
  <c r="Q360" i="23"/>
  <c r="AC353" i="23"/>
  <c r="AC393" i="23" s="1"/>
  <c r="V353" i="23"/>
  <c r="Q272" i="23"/>
  <c r="S259" i="23"/>
  <c r="Q259" i="23" s="1"/>
  <c r="Q104" i="23"/>
  <c r="R31" i="23"/>
  <c r="R23" i="23"/>
  <c r="U23" i="23" s="1"/>
  <c r="Q23" i="23" s="1"/>
  <c r="Y177" i="23"/>
  <c r="R179" i="19"/>
  <c r="R229" i="19"/>
  <c r="H120" i="30" s="1"/>
  <c r="H190" i="20"/>
  <c r="E460" i="23"/>
  <c r="R199" i="19"/>
  <c r="H213" i="30" s="1"/>
  <c r="H212" i="30" s="1"/>
  <c r="H211" i="30" s="1"/>
  <c r="R196" i="19"/>
  <c r="H210" i="30" s="1"/>
  <c r="H209" i="30" s="1"/>
  <c r="H208" i="30" s="1"/>
  <c r="R185" i="19"/>
  <c r="R193" i="19"/>
  <c r="H206" i="30" s="1"/>
  <c r="H205" i="30" s="1"/>
  <c r="H204" i="30" s="1"/>
  <c r="R167" i="19"/>
  <c r="H280" i="30" s="1"/>
  <c r="R106" i="19"/>
  <c r="H269" i="30" s="1"/>
  <c r="R140" i="19"/>
  <c r="H242" i="30" s="1"/>
  <c r="R175" i="19"/>
  <c r="H115" i="30" s="1"/>
  <c r="AO63" i="23"/>
  <c r="Q305" i="23"/>
  <c r="Q281" i="23"/>
  <c r="Q356" i="23"/>
  <c r="Q353" i="23"/>
  <c r="Q247" i="23"/>
  <c r="R312" i="23"/>
  <c r="R316" i="23"/>
  <c r="S73" i="23"/>
  <c r="Q404" i="23"/>
  <c r="Q418" i="23"/>
  <c r="R419" i="23"/>
  <c r="R424" i="23" s="1"/>
  <c r="U405" i="23"/>
  <c r="U406" i="23" s="1"/>
  <c r="S308" i="23"/>
  <c r="S312" i="23" s="1"/>
  <c r="S311" i="23"/>
  <c r="S310" i="23"/>
  <c r="S313" i="23" s="1"/>
  <c r="Q63" i="23"/>
  <c r="T442" i="23"/>
  <c r="Q442" i="23" s="1"/>
  <c r="AB393" i="23"/>
  <c r="Q31" i="23"/>
  <c r="R32" i="23"/>
  <c r="Q377" i="23"/>
  <c r="T393" i="23"/>
  <c r="Q307" i="23"/>
  <c r="R310" i="23"/>
  <c r="AB137" i="23"/>
  <c r="R440" i="23"/>
  <c r="Q438" i="23"/>
  <c r="X401" i="23"/>
  <c r="S393" i="23"/>
  <c r="AO354" i="23"/>
  <c r="E451" i="23"/>
  <c r="Q352" i="23"/>
  <c r="R311" i="23"/>
  <c r="Q280" i="23"/>
  <c r="Q240" i="23"/>
  <c r="Q123" i="23"/>
  <c r="R137" i="23"/>
  <c r="E455" i="23"/>
  <c r="Q41" i="23"/>
  <c r="Q279" i="23"/>
  <c r="W223" i="23"/>
  <c r="Q133" i="23"/>
  <c r="Q118" i="23"/>
  <c r="Q72" i="23"/>
  <c r="Q54" i="23"/>
  <c r="Q26" i="23"/>
  <c r="Q414" i="23"/>
  <c r="Q390" i="23"/>
  <c r="Q319" i="23"/>
  <c r="Q318" i="23"/>
  <c r="T312" i="23"/>
  <c r="T316" i="23"/>
  <c r="Q258" i="23"/>
  <c r="AC135" i="23"/>
  <c r="AC137" i="23"/>
  <c r="AB135" i="23"/>
  <c r="Q84" i="23"/>
  <c r="T73" i="23"/>
  <c r="T76" i="23" s="1"/>
  <c r="T445" i="23" s="1"/>
  <c r="T447" i="23" s="1"/>
  <c r="X24" i="23"/>
  <c r="X445" i="23" s="1"/>
  <c r="U27" i="23"/>
  <c r="Q27" i="23" s="1"/>
  <c r="R42" i="19"/>
  <c r="H125" i="30" s="1"/>
  <c r="H124" i="30" s="1"/>
  <c r="H123" i="30" s="1"/>
  <c r="AO22" i="23" l="1"/>
  <c r="AH63" i="19" s="1"/>
  <c r="Q311" i="23"/>
  <c r="AB445" i="23"/>
  <c r="S316" i="23"/>
  <c r="H79" i="30"/>
  <c r="H77" i="30" s="1"/>
  <c r="R116" i="19"/>
  <c r="H275" i="30"/>
  <c r="H278" i="30"/>
  <c r="H279" i="30"/>
  <c r="H156" i="30"/>
  <c r="H165" i="30"/>
  <c r="H164" i="30" s="1"/>
  <c r="H163" i="30"/>
  <c r="I199" i="30"/>
  <c r="H199" i="30"/>
  <c r="H267" i="30"/>
  <c r="H266" i="30" s="1"/>
  <c r="H265" i="30" s="1"/>
  <c r="H268" i="30"/>
  <c r="H264" i="30"/>
  <c r="H119" i="30"/>
  <c r="H118" i="30" s="1"/>
  <c r="H117" i="30"/>
  <c r="H161" i="30"/>
  <c r="H114" i="30"/>
  <c r="H113" i="30" s="1"/>
  <c r="H112" i="30"/>
  <c r="H257" i="30"/>
  <c r="H259" i="30"/>
  <c r="Q393" i="23"/>
  <c r="V445" i="23"/>
  <c r="W447" i="23" s="1"/>
  <c r="Q73" i="23"/>
  <c r="H93" i="20"/>
  <c r="H261" i="20"/>
  <c r="H288" i="20"/>
  <c r="H286" i="20" s="1"/>
  <c r="H285" i="20" s="1"/>
  <c r="H284" i="20" s="1"/>
  <c r="D53" i="15" s="1"/>
  <c r="H225" i="20"/>
  <c r="H224" i="20" s="1"/>
  <c r="H223" i="20" s="1"/>
  <c r="H229" i="20"/>
  <c r="H228" i="20" s="1"/>
  <c r="H227" i="20" s="1"/>
  <c r="W435" i="23"/>
  <c r="H186" i="20"/>
  <c r="H185" i="20" s="1"/>
  <c r="H184" i="20" s="1"/>
  <c r="H183" i="20" s="1"/>
  <c r="H141" i="20"/>
  <c r="H140" i="20" s="1"/>
  <c r="H139" i="20" s="1"/>
  <c r="Q316" i="23"/>
  <c r="AC445" i="23"/>
  <c r="AC447" i="23" s="1"/>
  <c r="H131" i="20"/>
  <c r="H128" i="20" s="1"/>
  <c r="H299" i="20"/>
  <c r="H298" i="20" s="1"/>
  <c r="R166" i="19"/>
  <c r="H282" i="20"/>
  <c r="R405" i="23"/>
  <c r="H232" i="20"/>
  <c r="H231" i="20" s="1"/>
  <c r="H230" i="20" s="1"/>
  <c r="H136" i="20"/>
  <c r="H135" i="20" s="1"/>
  <c r="H134" i="20" s="1"/>
  <c r="R144" i="19"/>
  <c r="H246" i="30" s="1"/>
  <c r="H244" i="30" s="1"/>
  <c r="Y390" i="23"/>
  <c r="H175" i="20"/>
  <c r="H174" i="20" s="1"/>
  <c r="H173" i="20" s="1"/>
  <c r="W15" i="23"/>
  <c r="H189" i="20"/>
  <c r="H188" i="20" s="1"/>
  <c r="H187" i="20"/>
  <c r="I218" i="20"/>
  <c r="H218" i="20"/>
  <c r="Q312" i="23"/>
  <c r="H287" i="20"/>
  <c r="X447" i="23"/>
  <c r="R70" i="19"/>
  <c r="W406" i="23"/>
  <c r="Y393" i="23"/>
  <c r="Q405" i="23"/>
  <c r="R406" i="23"/>
  <c r="Q406" i="23" s="1"/>
  <c r="Q440" i="23"/>
  <c r="R443" i="23"/>
  <c r="Q443" i="23" s="1"/>
  <c r="Q32" i="23"/>
  <c r="R445" i="23"/>
  <c r="S76" i="23"/>
  <c r="Q310" i="23"/>
  <c r="R313" i="23"/>
  <c r="Q313" i="23" s="1"/>
  <c r="Q137" i="23"/>
  <c r="U18" i="23"/>
  <c r="U419" i="23"/>
  <c r="U424" i="23" s="1"/>
  <c r="Q424" i="23" s="1"/>
  <c r="Q308" i="23"/>
  <c r="H111" i="30" l="1"/>
  <c r="H28" i="30"/>
  <c r="H23" i="30" s="1"/>
  <c r="H22" i="30" s="1"/>
  <c r="H21" i="30" s="1"/>
  <c r="H20" i="30" s="1"/>
  <c r="H198" i="30"/>
  <c r="H197" i="30" s="1"/>
  <c r="H196" i="30"/>
  <c r="H195" i="30" s="1"/>
  <c r="H162" i="30" s="1"/>
  <c r="H153" i="30"/>
  <c r="H152" i="30" s="1"/>
  <c r="H155" i="30"/>
  <c r="H154" i="30" s="1"/>
  <c r="H160" i="30"/>
  <c r="H159" i="30"/>
  <c r="V447" i="23"/>
  <c r="W445" i="23"/>
  <c r="H297" i="20"/>
  <c r="H133" i="20"/>
  <c r="H127" i="20" s="1"/>
  <c r="D31" i="15" s="1"/>
  <c r="H130" i="20"/>
  <c r="H129" i="20" s="1"/>
  <c r="H283" i="20"/>
  <c r="H182" i="20"/>
  <c r="D40" i="15" s="1"/>
  <c r="H265" i="20"/>
  <c r="H263" i="20" s="1"/>
  <c r="H172" i="20"/>
  <c r="H171" i="20" s="1"/>
  <c r="D37" i="15" s="1"/>
  <c r="H217" i="20"/>
  <c r="H216" i="20" s="1"/>
  <c r="H215" i="20"/>
  <c r="H214" i="20" s="1"/>
  <c r="H38" i="20"/>
  <c r="H33" i="20" s="1"/>
  <c r="H32" i="20" s="1"/>
  <c r="H31" i="20" s="1"/>
  <c r="H30" i="20" s="1"/>
  <c r="R65" i="19"/>
  <c r="R64" i="19" s="1"/>
  <c r="Q419" i="23"/>
  <c r="S445" i="23"/>
  <c r="S447" i="23" s="1"/>
  <c r="Q76" i="23"/>
  <c r="R447" i="23"/>
  <c r="U445" i="23"/>
  <c r="U447" i="23" s="1"/>
  <c r="H158" i="30" l="1"/>
  <c r="H157" i="30"/>
  <c r="D46" i="15"/>
  <c r="H181" i="20"/>
  <c r="D19" i="15"/>
  <c r="Q445" i="23"/>
  <c r="X102" i="19" l="1"/>
  <c r="X101" i="19" s="1"/>
  <c r="W102" i="19"/>
  <c r="W101" i="19" s="1"/>
  <c r="R102" i="19"/>
  <c r="R101" i="19" s="1"/>
  <c r="R73" i="19" l="1"/>
  <c r="X140" i="19" l="1"/>
  <c r="W140" i="19"/>
  <c r="X135" i="19"/>
  <c r="W148" i="19"/>
  <c r="X148" i="19"/>
  <c r="J249" i="30" l="1"/>
  <c r="L239" i="30"/>
  <c r="J242" i="30"/>
  <c r="L249" i="30"/>
  <c r="L242" i="30"/>
  <c r="H268" i="20"/>
  <c r="H266" i="20" s="1"/>
  <c r="L258" i="20"/>
  <c r="L268" i="20"/>
  <c r="J261" i="20"/>
  <c r="J268" i="20"/>
  <c r="L261" i="20"/>
  <c r="W154" i="19" l="1"/>
  <c r="R154" i="19"/>
  <c r="X155" i="19"/>
  <c r="X158" i="19"/>
  <c r="X74" i="19"/>
  <c r="X73" i="19" s="1"/>
  <c r="W74" i="19"/>
  <c r="W73" i="19" s="1"/>
  <c r="L253" i="30" l="1"/>
  <c r="L252" i="30" s="1"/>
  <c r="L251" i="30" s="1"/>
  <c r="L256" i="30"/>
  <c r="L255" i="30" s="1"/>
  <c r="L254" i="30" s="1"/>
  <c r="L275" i="20"/>
  <c r="L274" i="20" s="1"/>
  <c r="L273" i="20" s="1"/>
  <c r="L272" i="20"/>
  <c r="L271" i="20" s="1"/>
  <c r="L270" i="20" s="1"/>
  <c r="X153" i="19"/>
  <c r="X157" i="19"/>
  <c r="X154" i="19"/>
  <c r="X156" i="19"/>
  <c r="D24" i="15"/>
  <c r="S254" i="19"/>
  <c r="T254" i="19"/>
  <c r="U254" i="19"/>
  <c r="V254" i="19"/>
  <c r="L250" i="30" l="1"/>
  <c r="L269" i="20"/>
  <c r="X152" i="19"/>
  <c r="R31" i="19" l="1"/>
  <c r="H143" i="30" l="1"/>
  <c r="H142" i="30" s="1"/>
  <c r="H141" i="30" s="1"/>
  <c r="H159" i="20"/>
  <c r="H158" i="20" s="1"/>
  <c r="H157" i="20" s="1"/>
  <c r="H140" i="30" l="1"/>
  <c r="H139" i="30" s="1"/>
  <c r="H156" i="20"/>
  <c r="H155" i="20" s="1"/>
  <c r="X229" i="19" l="1"/>
  <c r="X228" i="19" s="1"/>
  <c r="X227" i="19" s="1"/>
  <c r="W229" i="19"/>
  <c r="W228" i="19" s="1"/>
  <c r="W227" i="19" s="1"/>
  <c r="R139" i="19" l="1"/>
  <c r="X139" i="19"/>
  <c r="W139" i="19"/>
  <c r="J241" i="30" l="1"/>
  <c r="L241" i="30"/>
  <c r="H241" i="30"/>
  <c r="H260" i="20"/>
  <c r="J260" i="20"/>
  <c r="L260" i="20"/>
  <c r="W138" i="19"/>
  <c r="X138" i="19"/>
  <c r="R138" i="19"/>
  <c r="X137" i="19" l="1"/>
  <c r="W137" i="19"/>
  <c r="R137" i="19"/>
  <c r="H240" i="30" l="1"/>
  <c r="J240" i="30"/>
  <c r="L240" i="30"/>
  <c r="H259" i="20"/>
  <c r="J259" i="20"/>
  <c r="L259" i="20"/>
  <c r="W136" i="19"/>
  <c r="R136" i="19"/>
  <c r="X136" i="19"/>
  <c r="T112" i="19" l="1"/>
  <c r="T111" i="19" s="1"/>
  <c r="S112" i="19"/>
  <c r="S111" i="19" s="1"/>
  <c r="R112" i="19"/>
  <c r="R111" i="19" s="1"/>
  <c r="R107" i="19" s="1"/>
  <c r="X248" i="19"/>
  <c r="W241" i="19"/>
  <c r="X241" i="19"/>
  <c r="X240" i="19"/>
  <c r="X225" i="19"/>
  <c r="X205" i="19"/>
  <c r="X163" i="19"/>
  <c r="X151" i="19"/>
  <c r="X150" i="19"/>
  <c r="X146" i="19"/>
  <c r="X143" i="19"/>
  <c r="X141" i="19"/>
  <c r="X128" i="19"/>
  <c r="X126" i="19"/>
  <c r="X124" i="19"/>
  <c r="X95" i="19"/>
  <c r="X94" i="19"/>
  <c r="X88" i="19"/>
  <c r="X87" i="19" s="1"/>
  <c r="X86" i="19"/>
  <c r="X91" i="19"/>
  <c r="X90" i="19"/>
  <c r="X83" i="19"/>
  <c r="X78" i="19"/>
  <c r="X80" i="19"/>
  <c r="X45" i="19"/>
  <c r="X37" i="19"/>
  <c r="X31" i="19"/>
  <c r="W240" i="19"/>
  <c r="W225" i="19"/>
  <c r="W205" i="19"/>
  <c r="J42" i="30" s="1"/>
  <c r="J41" i="30" s="1"/>
  <c r="J40" i="30" s="1"/>
  <c r="J39" i="30" s="1"/>
  <c r="W164" i="19"/>
  <c r="W163" i="19"/>
  <c r="W162" i="19"/>
  <c r="W151" i="19"/>
  <c r="W150" i="19"/>
  <c r="W146" i="19"/>
  <c r="W141" i="19"/>
  <c r="W135" i="19"/>
  <c r="W128" i="19"/>
  <c r="W126" i="19"/>
  <c r="W95" i="19"/>
  <c r="W94" i="19"/>
  <c r="W88" i="19"/>
  <c r="W86" i="19"/>
  <c r="W91" i="19"/>
  <c r="W90" i="19"/>
  <c r="W83" i="19"/>
  <c r="W80" i="19"/>
  <c r="W78" i="19"/>
  <c r="W37" i="19"/>
  <c r="W31" i="19"/>
  <c r="X236" i="19"/>
  <c r="X235" i="19" s="1"/>
  <c r="X234" i="19" s="1"/>
  <c r="X233" i="19" s="1"/>
  <c r="W236" i="19"/>
  <c r="W235" i="19" s="1"/>
  <c r="W234" i="19" s="1"/>
  <c r="W233" i="19" s="1"/>
  <c r="X232" i="19"/>
  <c r="X222" i="19"/>
  <c r="W222" i="19"/>
  <c r="X219" i="19"/>
  <c r="X218" i="19" s="1"/>
  <c r="X217" i="19" s="1"/>
  <c r="W219" i="19"/>
  <c r="W218" i="19" s="1"/>
  <c r="W217" i="19" s="1"/>
  <c r="X213" i="19"/>
  <c r="X212" i="19" s="1"/>
  <c r="X211" i="19" s="1"/>
  <c r="W213" i="19"/>
  <c r="W212" i="19" s="1"/>
  <c r="W211" i="19" s="1"/>
  <c r="X206" i="19"/>
  <c r="W206" i="19"/>
  <c r="X199" i="19"/>
  <c r="X198" i="19" s="1"/>
  <c r="X197" i="19" s="1"/>
  <c r="W198" i="19"/>
  <c r="W197" i="19" s="1"/>
  <c r="X196" i="19"/>
  <c r="X195" i="19" s="1"/>
  <c r="X194" i="19" s="1"/>
  <c r="W196" i="19"/>
  <c r="W195" i="19" s="1"/>
  <c r="W194" i="19" s="1"/>
  <c r="X179" i="19"/>
  <c r="L156" i="30" s="1"/>
  <c r="R205" i="19"/>
  <c r="H42" i="30" s="1"/>
  <c r="H41" i="30" s="1"/>
  <c r="H40" i="30" s="1"/>
  <c r="H39" i="30" s="1"/>
  <c r="R163" i="19"/>
  <c r="R83" i="19"/>
  <c r="R94" i="19"/>
  <c r="R95" i="19"/>
  <c r="R128" i="19"/>
  <c r="R126" i="19"/>
  <c r="H85" i="30" s="1"/>
  <c r="R135" i="19"/>
  <c r="H239" i="30" s="1"/>
  <c r="H238" i="30" s="1"/>
  <c r="H236" i="30" s="1"/>
  <c r="J33" i="30" l="1"/>
  <c r="J99" i="30"/>
  <c r="K99" i="30" s="1"/>
  <c r="J243" i="30"/>
  <c r="J161" i="30"/>
  <c r="J160" i="30" s="1"/>
  <c r="J159" i="30" s="1"/>
  <c r="H99" i="30"/>
  <c r="I99" i="30" s="1"/>
  <c r="J65" i="30"/>
  <c r="J64" i="30" s="1"/>
  <c r="J248" i="30"/>
  <c r="J247" i="30" s="1"/>
  <c r="L35" i="30"/>
  <c r="L99" i="30"/>
  <c r="M99" i="30" s="1"/>
  <c r="L243" i="30"/>
  <c r="L238" i="30" s="1"/>
  <c r="L133" i="30"/>
  <c r="H237" i="30"/>
  <c r="H234" i="30"/>
  <c r="H233" i="30" s="1"/>
  <c r="H96" i="30"/>
  <c r="L153" i="30"/>
  <c r="L152" i="30" s="1"/>
  <c r="L155" i="30"/>
  <c r="L154" i="30" s="1"/>
  <c r="J143" i="30"/>
  <c r="J142" i="30" s="1"/>
  <c r="J141" i="30" s="1"/>
  <c r="J38" i="30"/>
  <c r="J37" i="30" s="1"/>
  <c r="J67" i="30"/>
  <c r="J66" i="30" s="1"/>
  <c r="J261" i="30"/>
  <c r="J277" i="30"/>
  <c r="L143" i="30"/>
  <c r="L142" i="30" s="1"/>
  <c r="L141" i="30" s="1"/>
  <c r="L33" i="30"/>
  <c r="L65" i="30"/>
  <c r="L64" i="30" s="1"/>
  <c r="L63" i="30" s="1"/>
  <c r="L62" i="30" s="1"/>
  <c r="L83" i="30"/>
  <c r="L245" i="30"/>
  <c r="L244" i="30" s="1"/>
  <c r="L276" i="30"/>
  <c r="L134" i="30"/>
  <c r="H87" i="30"/>
  <c r="H84" i="30" s="1"/>
  <c r="H76" i="30" s="1"/>
  <c r="H75" i="30" s="1"/>
  <c r="H54" i="30" s="1"/>
  <c r="H276" i="30"/>
  <c r="H274" i="30" s="1"/>
  <c r="H273" i="30" s="1"/>
  <c r="H272" i="30" s="1"/>
  <c r="J70" i="30"/>
  <c r="J275" i="30"/>
  <c r="L128" i="30"/>
  <c r="L96" i="30"/>
  <c r="L261" i="30"/>
  <c r="L161" i="30"/>
  <c r="J35" i="30"/>
  <c r="J276" i="30"/>
  <c r="J133" i="30"/>
  <c r="L263" i="30"/>
  <c r="H38" i="30"/>
  <c r="H37" i="30" s="1"/>
  <c r="H31" i="30" s="1"/>
  <c r="H30" i="30" s="1"/>
  <c r="H29" i="30" s="1"/>
  <c r="L171" i="30"/>
  <c r="J151" i="30"/>
  <c r="J150" i="30" s="1"/>
  <c r="J149" i="30" s="1"/>
  <c r="J148" i="30" s="1"/>
  <c r="J69" i="30"/>
  <c r="J96" i="30"/>
  <c r="J239" i="30"/>
  <c r="J263" i="30"/>
  <c r="L151" i="30"/>
  <c r="L150" i="30" s="1"/>
  <c r="L149" i="30" s="1"/>
  <c r="L148" i="30" s="1"/>
  <c r="L38" i="30"/>
  <c r="L37" i="30" s="1"/>
  <c r="L248" i="30"/>
  <c r="L247" i="30" s="1"/>
  <c r="L42" i="30"/>
  <c r="L41" i="30" s="1"/>
  <c r="L40" i="30" s="1"/>
  <c r="L39" i="30" s="1"/>
  <c r="J134" i="30"/>
  <c r="L175" i="20"/>
  <c r="L172" i="20" s="1"/>
  <c r="L171" i="20" s="1"/>
  <c r="J52" i="20"/>
  <c r="J51" i="20" s="1"/>
  <c r="J50" i="20" s="1"/>
  <c r="J49" i="20" s="1"/>
  <c r="H52" i="20"/>
  <c r="H51" i="20" s="1"/>
  <c r="H50" i="20" s="1"/>
  <c r="H49" i="20" s="1"/>
  <c r="H101" i="20"/>
  <c r="R134" i="19"/>
  <c r="H48" i="20"/>
  <c r="H47" i="20" s="1"/>
  <c r="H41" i="20" s="1"/>
  <c r="H40" i="20" s="1"/>
  <c r="J159" i="20"/>
  <c r="J158" i="20" s="1"/>
  <c r="J157" i="20" s="1"/>
  <c r="J77" i="20"/>
  <c r="J76" i="20" s="1"/>
  <c r="J267" i="20"/>
  <c r="J266" i="20" s="1"/>
  <c r="J149" i="20"/>
  <c r="L48" i="20"/>
  <c r="L47" i="20" s="1"/>
  <c r="L52" i="20"/>
  <c r="L51" i="20" s="1"/>
  <c r="L50" i="20" s="1"/>
  <c r="L49" i="20" s="1"/>
  <c r="L190" i="20"/>
  <c r="J170" i="20"/>
  <c r="J169" i="20" s="1"/>
  <c r="J168" i="20" s="1"/>
  <c r="J167" i="20" s="1"/>
  <c r="J81" i="20"/>
  <c r="J78" i="20" s="1"/>
  <c r="J296" i="20"/>
  <c r="L112" i="20"/>
  <c r="L180" i="20"/>
  <c r="H280" i="20"/>
  <c r="H279" i="20" s="1"/>
  <c r="H277" i="20" s="1"/>
  <c r="H92" i="20"/>
  <c r="H91" i="20" s="1"/>
  <c r="H115" i="20"/>
  <c r="I115" i="20" s="1"/>
  <c r="J83" i="20"/>
  <c r="J112" i="20"/>
  <c r="J258" i="20"/>
  <c r="J282" i="20"/>
  <c r="L159" i="20"/>
  <c r="L158" i="20" s="1"/>
  <c r="L157" i="20" s="1"/>
  <c r="L45" i="20"/>
  <c r="L115" i="20"/>
  <c r="M115" i="20" s="1"/>
  <c r="L262" i="20"/>
  <c r="L257" i="20" s="1"/>
  <c r="L282" i="20"/>
  <c r="L149" i="20"/>
  <c r="H294" i="20"/>
  <c r="J45" i="20"/>
  <c r="J295" i="20"/>
  <c r="L144" i="20"/>
  <c r="L267" i="20"/>
  <c r="L266" i="20" s="1"/>
  <c r="J150" i="20"/>
  <c r="H258" i="20"/>
  <c r="H257" i="20" s="1"/>
  <c r="H255" i="20" s="1"/>
  <c r="H103" i="20"/>
  <c r="H295" i="20"/>
  <c r="J48" i="20"/>
  <c r="J47" i="20" s="1"/>
  <c r="J280" i="20"/>
  <c r="L280" i="20"/>
  <c r="H112" i="20"/>
  <c r="J43" i="20"/>
  <c r="J84" i="20"/>
  <c r="J115" i="20"/>
  <c r="K115" i="20" s="1"/>
  <c r="J262" i="20"/>
  <c r="J294" i="20"/>
  <c r="J180" i="20"/>
  <c r="J179" i="20" s="1"/>
  <c r="J178" i="20" s="1"/>
  <c r="L170" i="20"/>
  <c r="L169" i="20" s="1"/>
  <c r="L168" i="20" s="1"/>
  <c r="L167" i="20" s="1"/>
  <c r="L43" i="20"/>
  <c r="L77" i="20"/>
  <c r="L76" i="20" s="1"/>
  <c r="L75" i="20" s="1"/>
  <c r="L74" i="20" s="1"/>
  <c r="L99" i="20"/>
  <c r="L264" i="20"/>
  <c r="L295" i="20"/>
  <c r="L150" i="20"/>
  <c r="X221" i="19"/>
  <c r="X220" i="19" s="1"/>
  <c r="W221" i="19"/>
  <c r="W220" i="19" s="1"/>
  <c r="R125" i="19"/>
  <c r="R115" i="19" s="1"/>
  <c r="R114" i="19" s="1"/>
  <c r="R145" i="19"/>
  <c r="X134" i="19"/>
  <c r="W232" i="19"/>
  <c r="X162" i="19"/>
  <c r="X121" i="19"/>
  <c r="W117" i="19"/>
  <c r="X119" i="19"/>
  <c r="W119" i="19"/>
  <c r="X193" i="19"/>
  <c r="W175" i="19"/>
  <c r="X117" i="19"/>
  <c r="X164" i="19"/>
  <c r="W121" i="19"/>
  <c r="R97" i="19"/>
  <c r="R85" i="19"/>
  <c r="R84" i="19" s="1"/>
  <c r="R77" i="19"/>
  <c r="R76" i="19" s="1"/>
  <c r="X178" i="19"/>
  <c r="X177" i="19" s="1"/>
  <c r="W30" i="19"/>
  <c r="W29" i="19" s="1"/>
  <c r="W28" i="19" s="1"/>
  <c r="W204" i="19"/>
  <c r="W203" i="19" s="1"/>
  <c r="X43" i="19"/>
  <c r="W85" i="19"/>
  <c r="W84" i="19" s="1"/>
  <c r="X82" i="19"/>
  <c r="W134" i="19"/>
  <c r="X204" i="19"/>
  <c r="X203" i="19" s="1"/>
  <c r="X149" i="19"/>
  <c r="X145" i="19"/>
  <c r="X36" i="19"/>
  <c r="X35" i="19" s="1"/>
  <c r="X224" i="19"/>
  <c r="X223" i="19" s="1"/>
  <c r="W82" i="19"/>
  <c r="W99" i="19"/>
  <c r="W98" i="19" s="1"/>
  <c r="X85" i="19"/>
  <c r="X84" i="19" s="1"/>
  <c r="X231" i="19"/>
  <c r="X230" i="19" s="1"/>
  <c r="X226" i="19" s="1"/>
  <c r="W36" i="19"/>
  <c r="W35" i="19" s="1"/>
  <c r="W87" i="19"/>
  <c r="W149" i="19"/>
  <c r="W224" i="19"/>
  <c r="W223" i="19" s="1"/>
  <c r="X30" i="19"/>
  <c r="X29" i="19" s="1"/>
  <c r="X28" i="19" s="1"/>
  <c r="W125" i="19"/>
  <c r="W145" i="19"/>
  <c r="W77" i="19"/>
  <c r="W76" i="19" s="1"/>
  <c r="W89" i="19"/>
  <c r="X44" i="19"/>
  <c r="X239" i="19"/>
  <c r="X238" i="19" s="1"/>
  <c r="X237" i="19" s="1"/>
  <c r="X125" i="19"/>
  <c r="X93" i="19"/>
  <c r="X89" i="19"/>
  <c r="X77" i="19"/>
  <c r="X76" i="19" s="1"/>
  <c r="W239" i="19"/>
  <c r="W238" i="19" s="1"/>
  <c r="W237" i="19" s="1"/>
  <c r="W161" i="19"/>
  <c r="W160" i="19" s="1"/>
  <c r="W93" i="19"/>
  <c r="R89" i="19"/>
  <c r="R93" i="19"/>
  <c r="J260" i="30" l="1"/>
  <c r="J258" i="30" s="1"/>
  <c r="J259" i="30" s="1"/>
  <c r="J63" i="30"/>
  <c r="J238" i="30"/>
  <c r="J68" i="30"/>
  <c r="L159" i="30"/>
  <c r="L160" i="30"/>
  <c r="H270" i="30"/>
  <c r="H271" i="30"/>
  <c r="L140" i="30"/>
  <c r="L139" i="30" s="1"/>
  <c r="L138" i="30"/>
  <c r="L78" i="30"/>
  <c r="J171" i="30"/>
  <c r="J95" i="30"/>
  <c r="K96" i="30"/>
  <c r="J115" i="30"/>
  <c r="J78" i="30"/>
  <c r="J132" i="30"/>
  <c r="J131" i="30" s="1"/>
  <c r="J130" i="30" s="1"/>
  <c r="L260" i="30"/>
  <c r="L258" i="30" s="1"/>
  <c r="L127" i="30"/>
  <c r="L126" i="30"/>
  <c r="L32" i="30"/>
  <c r="L31" i="30" s="1"/>
  <c r="L30" i="30" s="1"/>
  <c r="L29" i="30" s="1"/>
  <c r="J140" i="30"/>
  <c r="J139" i="30" s="1"/>
  <c r="J138" i="30"/>
  <c r="I96" i="30"/>
  <c r="H95" i="30"/>
  <c r="L132" i="30"/>
  <c r="L131" i="30" s="1"/>
  <c r="L130" i="30" s="1"/>
  <c r="J32" i="30"/>
  <c r="J31" i="30" s="1"/>
  <c r="J30" i="30" s="1"/>
  <c r="J29" i="30" s="1"/>
  <c r="L277" i="30"/>
  <c r="J80" i="30"/>
  <c r="L275" i="30"/>
  <c r="L274" i="30" s="1"/>
  <c r="L273" i="30" s="1"/>
  <c r="M96" i="30"/>
  <c r="L95" i="30"/>
  <c r="J274" i="30"/>
  <c r="J273" i="30" s="1"/>
  <c r="J257" i="30"/>
  <c r="L236" i="30"/>
  <c r="J157" i="30"/>
  <c r="J158" i="30"/>
  <c r="L80" i="30"/>
  <c r="J82" i="30"/>
  <c r="L206" i="30"/>
  <c r="L205" i="30" s="1"/>
  <c r="L204" i="30" s="1"/>
  <c r="L82" i="30"/>
  <c r="L81" i="30" s="1"/>
  <c r="L170" i="30"/>
  <c r="L169" i="30" s="1"/>
  <c r="L168" i="30"/>
  <c r="H19" i="30"/>
  <c r="AH115" i="19"/>
  <c r="H100" i="20"/>
  <c r="L279" i="20"/>
  <c r="L277" i="20" s="1"/>
  <c r="L276" i="20" s="1"/>
  <c r="L174" i="20"/>
  <c r="L173" i="20" s="1"/>
  <c r="L42" i="20"/>
  <c r="L41" i="20" s="1"/>
  <c r="L40" i="20" s="1"/>
  <c r="L39" i="20" s="1"/>
  <c r="J279" i="20"/>
  <c r="J277" i="20" s="1"/>
  <c r="J278" i="20" s="1"/>
  <c r="L148" i="20"/>
  <c r="L147" i="20" s="1"/>
  <c r="L146" i="20" s="1"/>
  <c r="J75" i="20"/>
  <c r="L143" i="20"/>
  <c r="L142" i="20"/>
  <c r="J148" i="20"/>
  <c r="J147" i="20" s="1"/>
  <c r="J146" i="20" s="1"/>
  <c r="L94" i="20"/>
  <c r="J96" i="20"/>
  <c r="L92" i="20"/>
  <c r="J92" i="20"/>
  <c r="J190" i="20"/>
  <c r="J293" i="20"/>
  <c r="J292" i="20" s="1"/>
  <c r="J42" i="20"/>
  <c r="J41" i="20" s="1"/>
  <c r="J40" i="20" s="1"/>
  <c r="J39" i="20" s="1"/>
  <c r="H256" i="20"/>
  <c r="H253" i="20"/>
  <c r="H293" i="20"/>
  <c r="H292" i="20" s="1"/>
  <c r="H291" i="20" s="1"/>
  <c r="H290" i="20" s="1"/>
  <c r="L154" i="20"/>
  <c r="L156" i="20"/>
  <c r="L155" i="20" s="1"/>
  <c r="J111" i="20"/>
  <c r="K112" i="20"/>
  <c r="H278" i="20"/>
  <c r="H276" i="20"/>
  <c r="D51" i="15" s="1"/>
  <c r="M112" i="20"/>
  <c r="L111" i="20"/>
  <c r="L187" i="20"/>
  <c r="L189" i="20"/>
  <c r="L188" i="20" s="1"/>
  <c r="J154" i="20"/>
  <c r="J156" i="20"/>
  <c r="J155" i="20" s="1"/>
  <c r="H39" i="20"/>
  <c r="L296" i="20"/>
  <c r="J176" i="20"/>
  <c r="J177" i="20"/>
  <c r="H111" i="20"/>
  <c r="I112" i="20"/>
  <c r="J257" i="20"/>
  <c r="J82" i="20"/>
  <c r="L179" i="20"/>
  <c r="L178" i="20"/>
  <c r="L225" i="20"/>
  <c r="L224" i="20" s="1"/>
  <c r="L223" i="20" s="1"/>
  <c r="L294" i="20"/>
  <c r="J131" i="20"/>
  <c r="J94" i="20"/>
  <c r="L96" i="20"/>
  <c r="L95" i="20" s="1"/>
  <c r="X147" i="19"/>
  <c r="W147" i="19"/>
  <c r="W231" i="19"/>
  <c r="W230" i="19" s="1"/>
  <c r="W226" i="19" s="1"/>
  <c r="X192" i="19"/>
  <c r="X191" i="19" s="1"/>
  <c r="X175" i="19"/>
  <c r="X99" i="19"/>
  <c r="X98" i="19" s="1"/>
  <c r="X185" i="19"/>
  <c r="W106" i="19"/>
  <c r="W171" i="19"/>
  <c r="J283" i="30" s="1"/>
  <c r="J281" i="30" s="1"/>
  <c r="X161" i="19"/>
  <c r="X160" i="19" s="1"/>
  <c r="X120" i="19"/>
  <c r="W174" i="19"/>
  <c r="W173" i="19" s="1"/>
  <c r="W185" i="19"/>
  <c r="W179" i="19"/>
  <c r="J156" i="30" s="1"/>
  <c r="X106" i="19"/>
  <c r="X182" i="19"/>
  <c r="W182" i="19"/>
  <c r="R37" i="19"/>
  <c r="X81" i="19"/>
  <c r="W27" i="19"/>
  <c r="X27" i="19"/>
  <c r="W81" i="19"/>
  <c r="J62" i="30" l="1"/>
  <c r="L167" i="30"/>
  <c r="L166" i="30" s="1"/>
  <c r="L165" i="30" s="1"/>
  <c r="L164" i="30" s="1"/>
  <c r="L269" i="30"/>
  <c r="M95" i="30"/>
  <c r="J170" i="30"/>
  <c r="J169" i="30" s="1"/>
  <c r="J168" i="30"/>
  <c r="J163" i="30" s="1"/>
  <c r="H151" i="30"/>
  <c r="H150" i="30" s="1"/>
  <c r="H149" i="30" s="1"/>
  <c r="J155" i="30"/>
  <c r="J154" i="30" s="1"/>
  <c r="J153" i="30"/>
  <c r="J152" i="30" s="1"/>
  <c r="J129" i="30" s="1"/>
  <c r="L259" i="30"/>
  <c r="L257" i="30"/>
  <c r="L158" i="30"/>
  <c r="L157" i="30"/>
  <c r="L129" i="30" s="1"/>
  <c r="J269" i="30"/>
  <c r="L234" i="30"/>
  <c r="L233" i="30" s="1"/>
  <c r="L237" i="30"/>
  <c r="J112" i="30"/>
  <c r="J111" i="30" s="1"/>
  <c r="J114" i="30"/>
  <c r="J113" i="30" s="1"/>
  <c r="J109" i="30" s="1"/>
  <c r="J108" i="30" s="1"/>
  <c r="J104" i="30" s="1"/>
  <c r="J103" i="30" s="1"/>
  <c r="L199" i="30"/>
  <c r="J167" i="30"/>
  <c r="J166" i="30" s="1"/>
  <c r="J165" i="30" s="1"/>
  <c r="J164" i="30" s="1"/>
  <c r="J199" i="30"/>
  <c r="L115" i="30"/>
  <c r="L163" i="30"/>
  <c r="I95" i="30"/>
  <c r="K95" i="30"/>
  <c r="L278" i="20"/>
  <c r="J175" i="20"/>
  <c r="J172" i="20" s="1"/>
  <c r="J171" i="20" s="1"/>
  <c r="J302" i="20"/>
  <c r="J300" i="20" s="1"/>
  <c r="J74" i="20"/>
  <c r="J276" i="20"/>
  <c r="K111" i="20"/>
  <c r="H252" i="20"/>
  <c r="D50" i="15"/>
  <c r="L186" i="20"/>
  <c r="L185" i="20" s="1"/>
  <c r="J174" i="20"/>
  <c r="J173" i="20" s="1"/>
  <c r="J288" i="20"/>
  <c r="L131" i="20"/>
  <c r="L293" i="20"/>
  <c r="L292" i="20" s="1"/>
  <c r="L288" i="20"/>
  <c r="J218" i="20"/>
  <c r="L218" i="20"/>
  <c r="J189" i="20"/>
  <c r="J188" i="20" s="1"/>
  <c r="J187" i="20"/>
  <c r="H180" i="20"/>
  <c r="I111" i="20"/>
  <c r="H170" i="20"/>
  <c r="H169" i="20" s="1"/>
  <c r="H168" i="20" s="1"/>
  <c r="J186" i="20"/>
  <c r="J185" i="20" s="1"/>
  <c r="J128" i="20"/>
  <c r="J127" i="20" s="1"/>
  <c r="J130" i="20"/>
  <c r="J129" i="20" s="1"/>
  <c r="J125" i="20" s="1"/>
  <c r="J124" i="20" s="1"/>
  <c r="J120" i="20" s="1"/>
  <c r="J119" i="20" s="1"/>
  <c r="L176" i="20"/>
  <c r="L145" i="20" s="1"/>
  <c r="L177" i="20"/>
  <c r="M111" i="20"/>
  <c r="H289" i="20"/>
  <c r="D55" i="15"/>
  <c r="W178" i="19"/>
  <c r="W177" i="19" s="1"/>
  <c r="W184" i="19"/>
  <c r="W183" i="19" s="1"/>
  <c r="W105" i="19"/>
  <c r="W104" i="19"/>
  <c r="X184" i="19"/>
  <c r="X183" i="19" s="1"/>
  <c r="X104" i="19"/>
  <c r="X171" i="19"/>
  <c r="L283" i="30" s="1"/>
  <c r="L281" i="30" s="1"/>
  <c r="X174" i="19"/>
  <c r="X173" i="19" s="1"/>
  <c r="X105" i="19"/>
  <c r="X181" i="19"/>
  <c r="W181" i="19"/>
  <c r="W180" i="19" s="1"/>
  <c r="R36" i="19"/>
  <c r="R35" i="19" s="1"/>
  <c r="L112" i="30" l="1"/>
  <c r="L111" i="30" s="1"/>
  <c r="L114" i="30"/>
  <c r="L113" i="30" s="1"/>
  <c r="L109" i="30" s="1"/>
  <c r="L108" i="30" s="1"/>
  <c r="L104" i="30" s="1"/>
  <c r="L103" i="30" s="1"/>
  <c r="J268" i="30"/>
  <c r="J267" i="30"/>
  <c r="J266" i="30" s="1"/>
  <c r="J265" i="30" s="1"/>
  <c r="J264" i="30"/>
  <c r="H148" i="30"/>
  <c r="H138" i="30"/>
  <c r="H129" i="30" s="1"/>
  <c r="L268" i="30"/>
  <c r="L264" i="30"/>
  <c r="L267" i="30"/>
  <c r="L266" i="30" s="1"/>
  <c r="L265" i="30" s="1"/>
  <c r="J196" i="30"/>
  <c r="J198" i="30"/>
  <c r="J197" i="30" s="1"/>
  <c r="L196" i="30"/>
  <c r="L195" i="30" s="1"/>
  <c r="L198" i="30"/>
  <c r="L197" i="30" s="1"/>
  <c r="L302" i="20"/>
  <c r="L300" i="20" s="1"/>
  <c r="L217" i="20"/>
  <c r="L216" i="20" s="1"/>
  <c r="L215" i="20"/>
  <c r="L214" i="20" s="1"/>
  <c r="L287" i="20"/>
  <c r="L286" i="20"/>
  <c r="L285" i="20" s="1"/>
  <c r="L284" i="20" s="1"/>
  <c r="L283" i="20"/>
  <c r="L130" i="20"/>
  <c r="L129" i="20" s="1"/>
  <c r="L125" i="20" s="1"/>
  <c r="L124" i="20" s="1"/>
  <c r="L120" i="20" s="1"/>
  <c r="L119" i="20" s="1"/>
  <c r="L128" i="20"/>
  <c r="L127" i="20" s="1"/>
  <c r="L263" i="20"/>
  <c r="L255" i="20" s="1"/>
  <c r="J215" i="20"/>
  <c r="J217" i="20"/>
  <c r="J216" i="20" s="1"/>
  <c r="J287" i="20"/>
  <c r="J283" i="20"/>
  <c r="J286" i="20"/>
  <c r="J285" i="20" s="1"/>
  <c r="J284" i="20" s="1"/>
  <c r="J184" i="20"/>
  <c r="J183" i="20" s="1"/>
  <c r="J182" i="20"/>
  <c r="H167" i="20"/>
  <c r="H154" i="20"/>
  <c r="H178" i="20"/>
  <c r="H179" i="20"/>
  <c r="L184" i="20"/>
  <c r="L183" i="20" s="1"/>
  <c r="L182" i="20"/>
  <c r="J145" i="20"/>
  <c r="X180" i="19"/>
  <c r="X176" i="19"/>
  <c r="X142" i="19"/>
  <c r="D36" i="15" l="1"/>
  <c r="L256" i="20"/>
  <c r="L253" i="20"/>
  <c r="H176" i="20"/>
  <c r="D38" i="15" s="1"/>
  <c r="H177" i="20"/>
  <c r="X133" i="19"/>
  <c r="X132" i="19"/>
  <c r="H145" i="20" l="1"/>
  <c r="L252" i="20"/>
  <c r="R224" i="19" l="1"/>
  <c r="R223" i="19" s="1"/>
  <c r="R222" i="19"/>
  <c r="I232" i="30" s="1"/>
  <c r="R213" i="19"/>
  <c r="H147" i="30" l="1"/>
  <c r="I251" i="20"/>
  <c r="H166" i="20"/>
  <c r="R221" i="19"/>
  <c r="R220" i="19" s="1"/>
  <c r="R212" i="19"/>
  <c r="R211" i="19" s="1"/>
  <c r="R218" i="19"/>
  <c r="R217" i="19" s="1"/>
  <c r="R161" i="19"/>
  <c r="R198" i="19"/>
  <c r="R197" i="19" s="1"/>
  <c r="R238" i="19"/>
  <c r="R237" i="19" s="1"/>
  <c r="H144" i="30" l="1"/>
  <c r="H146" i="30"/>
  <c r="H145" i="30" s="1"/>
  <c r="H163" i="20"/>
  <c r="H165" i="20"/>
  <c r="H164" i="20" s="1"/>
  <c r="W124" i="19"/>
  <c r="X113" i="19"/>
  <c r="W110" i="19"/>
  <c r="X110" i="19"/>
  <c r="R110" i="19"/>
  <c r="W45" i="19"/>
  <c r="W113" i="19"/>
  <c r="W112" i="19" s="1"/>
  <c r="W111" i="19" s="1"/>
  <c r="W107" i="19" s="1"/>
  <c r="X210" i="19"/>
  <c r="W210" i="19"/>
  <c r="W42" i="19"/>
  <c r="X42" i="19"/>
  <c r="R45" i="19"/>
  <c r="X97" i="19"/>
  <c r="X96" i="19" s="1"/>
  <c r="W97" i="19"/>
  <c r="W96" i="19" s="1"/>
  <c r="W143" i="19"/>
  <c r="W118" i="19"/>
  <c r="X118" i="19"/>
  <c r="X167" i="19"/>
  <c r="W167" i="19"/>
  <c r="W193" i="19"/>
  <c r="R87" i="19"/>
  <c r="R82" i="19"/>
  <c r="R81" i="19" s="1"/>
  <c r="R235" i="19"/>
  <c r="R234" i="19" s="1"/>
  <c r="R233" i="19" s="1"/>
  <c r="J206" i="30" l="1"/>
  <c r="J205" i="30" s="1"/>
  <c r="J204" i="30" s="1"/>
  <c r="J195" i="30" s="1"/>
  <c r="J245" i="30"/>
  <c r="J244" i="30" s="1"/>
  <c r="J236" i="30" s="1"/>
  <c r="J53" i="30"/>
  <c r="L280" i="30"/>
  <c r="J101" i="30"/>
  <c r="J125" i="30"/>
  <c r="J124" i="30" s="1"/>
  <c r="J123" i="30" s="1"/>
  <c r="J128" i="30"/>
  <c r="L74" i="30"/>
  <c r="L73" i="30" s="1"/>
  <c r="L72" i="30" s="1"/>
  <c r="L71" i="30" s="1"/>
  <c r="J79" i="30"/>
  <c r="J77" i="30" s="1"/>
  <c r="H128" i="30"/>
  <c r="L182" i="30"/>
  <c r="L181" i="30" s="1"/>
  <c r="L180" i="30" s="1"/>
  <c r="L179" i="30" s="1"/>
  <c r="L178" i="30" s="1"/>
  <c r="L162" i="30" s="1"/>
  <c r="L53" i="30"/>
  <c r="L52" i="30" s="1"/>
  <c r="L51" i="30" s="1"/>
  <c r="L50" i="30" s="1"/>
  <c r="L48" i="30" s="1"/>
  <c r="J280" i="30"/>
  <c r="L125" i="30"/>
  <c r="L124" i="30" s="1"/>
  <c r="L123" i="30" s="1"/>
  <c r="L122" i="30" s="1"/>
  <c r="L121" i="30" s="1"/>
  <c r="L102" i="30" s="1"/>
  <c r="L79" i="30"/>
  <c r="L77" i="30" s="1"/>
  <c r="L76" i="30" s="1"/>
  <c r="L75" i="30" s="1"/>
  <c r="L101" i="30"/>
  <c r="J182" i="30"/>
  <c r="J181" i="30" s="1"/>
  <c r="J180" i="30" s="1"/>
  <c r="J179" i="30" s="1"/>
  <c r="J178" i="30" s="1"/>
  <c r="J162" i="30" s="1"/>
  <c r="H53" i="30"/>
  <c r="J83" i="30"/>
  <c r="J81" i="30" s="1"/>
  <c r="J299" i="20"/>
  <c r="L63" i="20"/>
  <c r="L62" i="20" s="1"/>
  <c r="L61" i="20" s="1"/>
  <c r="L60" i="20" s="1"/>
  <c r="L58" i="20" s="1"/>
  <c r="L299" i="20"/>
  <c r="L117" i="20"/>
  <c r="J201" i="20"/>
  <c r="J200" i="20" s="1"/>
  <c r="J199" i="20" s="1"/>
  <c r="J198" i="20" s="1"/>
  <c r="J197" i="20" s="1"/>
  <c r="L93" i="20"/>
  <c r="L91" i="20" s="1"/>
  <c r="L90" i="20" s="1"/>
  <c r="L89" i="20" s="1"/>
  <c r="L141" i="20"/>
  <c r="L140" i="20" s="1"/>
  <c r="L139" i="20" s="1"/>
  <c r="L138" i="20" s="1"/>
  <c r="L137" i="20" s="1"/>
  <c r="J141" i="20"/>
  <c r="J140" i="20" s="1"/>
  <c r="J139" i="20" s="1"/>
  <c r="H63" i="20"/>
  <c r="J264" i="20"/>
  <c r="J263" i="20" s="1"/>
  <c r="J255" i="20" s="1"/>
  <c r="J63" i="20"/>
  <c r="L88" i="20"/>
  <c r="L87" i="20" s="1"/>
  <c r="L86" i="20" s="1"/>
  <c r="L85" i="20" s="1"/>
  <c r="J225" i="20"/>
  <c r="J224" i="20" s="1"/>
  <c r="J223" i="20" s="1"/>
  <c r="J214" i="20" s="1"/>
  <c r="J93" i="20"/>
  <c r="J91" i="20" s="1"/>
  <c r="J117" i="20"/>
  <c r="H144" i="20"/>
  <c r="L201" i="20"/>
  <c r="L200" i="20" s="1"/>
  <c r="L199" i="20" s="1"/>
  <c r="L198" i="20" s="1"/>
  <c r="L197" i="20" s="1"/>
  <c r="L181" i="20" s="1"/>
  <c r="J144" i="20"/>
  <c r="J99" i="20"/>
  <c r="J95" i="20" s="1"/>
  <c r="X109" i="19"/>
  <c r="X108" i="19" s="1"/>
  <c r="W43" i="19"/>
  <c r="W120" i="19"/>
  <c r="W44" i="19"/>
  <c r="X112" i="19"/>
  <c r="X111" i="19" s="1"/>
  <c r="R105" i="19"/>
  <c r="X41" i="19"/>
  <c r="X40" i="19" s="1"/>
  <c r="X39" i="19" s="1"/>
  <c r="X209" i="19"/>
  <c r="X208" i="19"/>
  <c r="W209" i="19"/>
  <c r="W208" i="19"/>
  <c r="R208" i="19"/>
  <c r="R207" i="19" s="1"/>
  <c r="W41" i="19"/>
  <c r="W40" i="19" s="1"/>
  <c r="R44" i="19"/>
  <c r="W92" i="19"/>
  <c r="W63" i="19" s="1"/>
  <c r="X92" i="19"/>
  <c r="X63" i="19" s="1"/>
  <c r="R99" i="19"/>
  <c r="R228" i="19"/>
  <c r="R227" i="19" s="1"/>
  <c r="W192" i="19"/>
  <c r="W191" i="19" s="1"/>
  <c r="W176" i="19" s="1"/>
  <c r="X116" i="19"/>
  <c r="X115" i="19" s="1"/>
  <c r="X114" i="19" s="1"/>
  <c r="W142" i="19"/>
  <c r="W132" i="19" s="1"/>
  <c r="W165" i="19"/>
  <c r="W159" i="19" s="1"/>
  <c r="W116" i="19"/>
  <c r="X166" i="19"/>
  <c r="W166" i="19"/>
  <c r="X165" i="19"/>
  <c r="X159" i="19" s="1"/>
  <c r="R30" i="19"/>
  <c r="M101" i="30" l="1"/>
  <c r="M100" i="30" s="1"/>
  <c r="L100" i="30"/>
  <c r="L94" i="30" s="1"/>
  <c r="H127" i="30"/>
  <c r="H126" i="30"/>
  <c r="H122" i="30" s="1"/>
  <c r="H121" i="30" s="1"/>
  <c r="H102" i="30" s="1"/>
  <c r="L279" i="30"/>
  <c r="L278" i="30"/>
  <c r="L272" i="30" s="1"/>
  <c r="L54" i="30"/>
  <c r="L19" i="30" s="1"/>
  <c r="J279" i="30"/>
  <c r="J278" i="30"/>
  <c r="J272" i="30" s="1"/>
  <c r="J76" i="30"/>
  <c r="J75" i="30" s="1"/>
  <c r="J54" i="30" s="1"/>
  <c r="J19" i="30" s="1"/>
  <c r="J126" i="30"/>
  <c r="J122" i="30" s="1"/>
  <c r="J121" i="30" s="1"/>
  <c r="J102" i="30" s="1"/>
  <c r="J127" i="30"/>
  <c r="J100" i="30"/>
  <c r="J94" i="30" s="1"/>
  <c r="K101" i="30"/>
  <c r="K100" i="30" s="1"/>
  <c r="J237" i="30"/>
  <c r="J234" i="30"/>
  <c r="J233" i="30" s="1"/>
  <c r="J90" i="20"/>
  <c r="J89" i="20" s="1"/>
  <c r="J64" i="20" s="1"/>
  <c r="J29" i="20" s="1"/>
  <c r="J256" i="20"/>
  <c r="J253" i="20"/>
  <c r="K117" i="20"/>
  <c r="K116" i="20" s="1"/>
  <c r="J116" i="20"/>
  <c r="J110" i="20" s="1"/>
  <c r="L118" i="20"/>
  <c r="J181" i="20"/>
  <c r="L298" i="20"/>
  <c r="L297" i="20"/>
  <c r="L291" i="20" s="1"/>
  <c r="J297" i="20"/>
  <c r="J291" i="20" s="1"/>
  <c r="J298" i="20"/>
  <c r="J143" i="20"/>
  <c r="J142" i="20"/>
  <c r="J138" i="20" s="1"/>
  <c r="J137" i="20" s="1"/>
  <c r="H142" i="20"/>
  <c r="H138" i="20" s="1"/>
  <c r="H137" i="20" s="1"/>
  <c r="H143" i="20"/>
  <c r="L64" i="20"/>
  <c r="L29" i="20" s="1"/>
  <c r="M117" i="20"/>
  <c r="M116" i="20" s="1"/>
  <c r="L116" i="20"/>
  <c r="L110" i="20" s="1"/>
  <c r="X107" i="19"/>
  <c r="W115" i="19"/>
  <c r="W114" i="19" s="1"/>
  <c r="W39" i="19"/>
  <c r="W38" i="19"/>
  <c r="X38" i="19"/>
  <c r="R142" i="19"/>
  <c r="X207" i="19"/>
  <c r="X202" i="19"/>
  <c r="W207" i="19"/>
  <c r="W202" i="19"/>
  <c r="W133" i="19"/>
  <c r="R29" i="19"/>
  <c r="R28" i="19" s="1"/>
  <c r="R27" i="19"/>
  <c r="J93" i="30" l="1"/>
  <c r="K94" i="30"/>
  <c r="L270" i="30"/>
  <c r="L271" i="30"/>
  <c r="M94" i="30"/>
  <c r="L93" i="30"/>
  <c r="J271" i="30"/>
  <c r="J270" i="30"/>
  <c r="K110" i="20"/>
  <c r="J109" i="20"/>
  <c r="M110" i="20"/>
  <c r="L109" i="20"/>
  <c r="D33" i="15"/>
  <c r="H118" i="20"/>
  <c r="J290" i="20"/>
  <c r="J289" i="20"/>
  <c r="J252" i="20"/>
  <c r="J118" i="20"/>
  <c r="L289" i="20"/>
  <c r="L290" i="20"/>
  <c r="X244" i="19"/>
  <c r="X259" i="19" s="1"/>
  <c r="W244" i="19"/>
  <c r="L92" i="30" l="1"/>
  <c r="L91" i="30" s="1"/>
  <c r="L284" i="30" s="1"/>
  <c r="L18" i="30" s="1"/>
  <c r="M93" i="30"/>
  <c r="M92" i="30" s="1"/>
  <c r="M91" i="30" s="1"/>
  <c r="M284" i="30" s="1"/>
  <c r="M18" i="30" s="1"/>
  <c r="K93" i="30"/>
  <c r="K92" i="30" s="1"/>
  <c r="K91" i="30" s="1"/>
  <c r="K284" i="30" s="1"/>
  <c r="K18" i="30" s="1"/>
  <c r="J92" i="30"/>
  <c r="J91" i="30" s="1"/>
  <c r="J284" i="30" s="1"/>
  <c r="J18" i="30" s="1"/>
  <c r="J108" i="20"/>
  <c r="K109" i="20"/>
  <c r="K108" i="20" s="1"/>
  <c r="K107" i="20" s="1"/>
  <c r="K303" i="20" s="1"/>
  <c r="K28" i="20" s="1"/>
  <c r="M109" i="20"/>
  <c r="M108" i="20" s="1"/>
  <c r="M107" i="20" s="1"/>
  <c r="M303" i="20" s="1"/>
  <c r="M28" i="20" s="1"/>
  <c r="L108" i="20"/>
  <c r="W259" i="19"/>
  <c r="X256" i="19"/>
  <c r="W256" i="19"/>
  <c r="W254" i="19"/>
  <c r="X249" i="19"/>
  <c r="X254" i="19"/>
  <c r="R160" i="19"/>
  <c r="R96" i="19"/>
  <c r="H101" i="30" l="1"/>
  <c r="H117" i="20"/>
  <c r="L107" i="20"/>
  <c r="L303" i="20" s="1"/>
  <c r="J107" i="20"/>
  <c r="J303" i="20" s="1"/>
  <c r="R92" i="19"/>
  <c r="I101" i="30" l="1"/>
  <c r="I100" i="30" s="1"/>
  <c r="H100" i="30"/>
  <c r="H94" i="30" s="1"/>
  <c r="J306" i="20"/>
  <c r="J307" i="20"/>
  <c r="J28" i="20"/>
  <c r="I117" i="20"/>
  <c r="I116" i="20" s="1"/>
  <c r="H116" i="20"/>
  <c r="H110" i="20" s="1"/>
  <c r="L28" i="20"/>
  <c r="L307" i="20"/>
  <c r="L306" i="20"/>
  <c r="R149" i="19"/>
  <c r="I94" i="30" l="1"/>
  <c r="H93" i="30"/>
  <c r="R132" i="19"/>
  <c r="R133" i="19"/>
  <c r="H109" i="20"/>
  <c r="I110" i="20"/>
  <c r="D25" i="15"/>
  <c r="D52" i="15"/>
  <c r="R209" i="19"/>
  <c r="R206" i="19" s="1"/>
  <c r="R195" i="19"/>
  <c r="R194" i="19" s="1"/>
  <c r="R204" i="19"/>
  <c r="R203" i="19" s="1"/>
  <c r="R202" i="19" s="1"/>
  <c r="R98" i="19"/>
  <c r="R104" i="19"/>
  <c r="R165" i="19"/>
  <c r="R159" i="19" s="1"/>
  <c r="R181" i="19"/>
  <c r="R184" i="19"/>
  <c r="R183" i="19" s="1"/>
  <c r="R192" i="19"/>
  <c r="R191" i="19" s="1"/>
  <c r="R231" i="19"/>
  <c r="R230" i="19" s="1"/>
  <c r="R226" i="19" s="1"/>
  <c r="R171" i="19"/>
  <c r="R41" i="19"/>
  <c r="R40" i="19" s="1"/>
  <c r="R43" i="19"/>
  <c r="R178" i="19"/>
  <c r="R177" i="19" s="1"/>
  <c r="R174" i="19"/>
  <c r="R173" i="19" s="1"/>
  <c r="H92" i="30" l="1"/>
  <c r="H91" i="30" s="1"/>
  <c r="H284" i="30" s="1"/>
  <c r="H18" i="30" s="1"/>
  <c r="I93" i="30"/>
  <c r="I92" i="30" s="1"/>
  <c r="I91" i="30" s="1"/>
  <c r="I284" i="30" s="1"/>
  <c r="I18" i="30" s="1"/>
  <c r="R176" i="19"/>
  <c r="R63" i="19"/>
  <c r="I109" i="20"/>
  <c r="I108" i="20" s="1"/>
  <c r="I107" i="20" s="1"/>
  <c r="I303" i="20" s="1"/>
  <c r="I28" i="20" s="1"/>
  <c r="H108" i="20"/>
  <c r="D21" i="15"/>
  <c r="R180" i="19"/>
  <c r="R38" i="19"/>
  <c r="R39" i="19"/>
  <c r="AH64" i="19" l="1"/>
  <c r="H107" i="20"/>
  <c r="D28" i="15"/>
  <c r="D34" i="15"/>
  <c r="D49" i="15"/>
  <c r="D29" i="15"/>
  <c r="D39" i="15"/>
  <c r="D54" i="15" l="1"/>
  <c r="D27" i="15"/>
  <c r="W248" i="19" l="1"/>
  <c r="W249" i="19" s="1"/>
  <c r="AB447" i="23"/>
  <c r="Y137" i="23" l="1"/>
  <c r="Y135" i="23"/>
  <c r="E459" i="23"/>
  <c r="H99" i="20" l="1"/>
  <c r="H95" i="20" s="1"/>
  <c r="H90" i="20" s="1"/>
  <c r="H89" i="20" l="1"/>
  <c r="H64" i="20" s="1"/>
  <c r="H29" i="20" s="1"/>
  <c r="H303" i="20" s="1"/>
  <c r="H315" i="20" s="1"/>
  <c r="R244" i="19"/>
  <c r="R265" i="19" s="1"/>
  <c r="D26" i="15" l="1"/>
  <c r="D18" i="15" s="1"/>
  <c r="D56" i="15" s="1"/>
  <c r="R249" i="19"/>
  <c r="R254" i="19"/>
  <c r="R247" i="19"/>
  <c r="H307" i="20"/>
  <c r="H306" i="20"/>
  <c r="H28" i="20"/>
  <c r="D58" i="15" l="1"/>
  <c r="D17" i="15"/>
</calcChain>
</file>

<file path=xl/comments1.xml><?xml version="1.0" encoding="utf-8"?>
<comments xmlns="http://schemas.openxmlformats.org/spreadsheetml/2006/main">
  <authors>
    <author>Elena</author>
  </authors>
  <commentList>
    <comment ref="W13" authorId="0">
      <text>
        <r>
          <rPr>
            <b/>
            <sz val="9"/>
            <color indexed="81"/>
            <rFont val="Tahoma"/>
            <family val="2"/>
            <charset val="204"/>
          </rPr>
          <t>Elena: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<sst xmlns="http://schemas.openxmlformats.org/spreadsheetml/2006/main" count="2829" uniqueCount="708">
  <si>
    <t xml:space="preserve">Муниципальная  программа «Профилактика правонарушений в сфере общественного порядка в сельском поселении Зайцева Речка на 2014-2020 годы»
</t>
  </si>
  <si>
    <t>Бюджет</t>
  </si>
  <si>
    <t>Наименование</t>
  </si>
  <si>
    <t>структура расходов</t>
  </si>
  <si>
    <t>раздел</t>
  </si>
  <si>
    <t>подраздел</t>
  </si>
  <si>
    <t>целевая статья</t>
  </si>
  <si>
    <t>вид расхода</t>
  </si>
  <si>
    <t>экономической классификации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</si>
  <si>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</si>
  <si>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</si>
  <si>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</si>
  <si>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</si>
  <si>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</si>
  <si>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>Выполнение функции органами местного самоуправления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</si>
  <si>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</si>
  <si>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</si>
  <si>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</si>
  <si>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</si>
  <si>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</si>
  <si>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Итого:</t>
  </si>
  <si>
    <t>(рубли РФ)</t>
  </si>
  <si>
    <t>ИТОГО</t>
  </si>
  <si>
    <t>Приложение 7</t>
  </si>
  <si>
    <t>к решению Совета депутатов</t>
  </si>
  <si>
    <t>от __________ 2007 года № ____</t>
  </si>
  <si>
    <t>Национальная оборона</t>
  </si>
  <si>
    <t>Мобилизационная и вневойсковая подготовка</t>
  </si>
  <si>
    <t>Совета депутатов</t>
  </si>
  <si>
    <t>Рз</t>
  </si>
  <si>
    <t>ПР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</si>
  <si>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</si>
  <si>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</si>
  <si>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Культура</t>
  </si>
  <si>
    <t>Кинематография</t>
  </si>
  <si>
    <t>Физическая культура и спорт</t>
  </si>
  <si>
    <t>ВСЕГО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</si>
  <si>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</si>
  <si>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</si>
  <si>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Благоустройство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</si>
  <si>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</si>
  <si>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органовгосударственной власти субьектов Российской Федерации и органов местного самоуправления</t>
  </si>
  <si>
    <t>Приложение 5  к решению</t>
  </si>
  <si>
    <t>от 16.12.2008года № 15</t>
  </si>
  <si>
    <t>Всего</t>
  </si>
  <si>
    <t>Жилищное хозяйство(пониж.коэф.)</t>
  </si>
  <si>
    <t>Социальная политика</t>
  </si>
  <si>
    <t>10</t>
  </si>
  <si>
    <t>Пенсионное обеспечение</t>
  </si>
  <si>
    <t>01</t>
  </si>
  <si>
    <t>Жилищное хозяйство</t>
  </si>
  <si>
    <t>0939900</t>
  </si>
  <si>
    <t>0920305</t>
  </si>
  <si>
    <t>Прочие выплаты(исполнительные органы местного самоуправления)</t>
  </si>
  <si>
    <t>Другие вопросы в области национальной экономики</t>
  </si>
  <si>
    <t>Органы юстиции</t>
  </si>
  <si>
    <t>Жилищное хозяйство (подвоз воды 241)</t>
  </si>
  <si>
    <t>Коммунальное хозяйство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</si>
  <si>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</si>
  <si>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</si>
  <si>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</si>
  <si>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Резервные средства</t>
  </si>
  <si>
    <t>Уличное освещение</t>
  </si>
  <si>
    <t>Иные межбюджетные трансферты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</si>
  <si>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</si>
  <si>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национальной безопасности и правоохранительной деятельности</t>
  </si>
  <si>
    <t>Физическая культура</t>
  </si>
  <si>
    <t>Администрация сельского поселения Зайцева Речка</t>
  </si>
  <si>
    <t>Дорожное хозяйство (дорожные фонды)</t>
  </si>
  <si>
    <t>Дорожное хозяйство (дорожные фрнды)</t>
  </si>
  <si>
    <t>Муниципальная программа "Развитие транспортной системы сельского поселения Зайцева Речка на 2014-2020г."</t>
  </si>
  <si>
    <t>52.0.0059</t>
  </si>
  <si>
    <t>50.0.0000</t>
  </si>
  <si>
    <t>53.0.0059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</si>
  <si>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</si>
  <si>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</si>
  <si>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субьектов  Российской Федерации , местных администраций</t>
  </si>
  <si>
    <t xml:space="preserve"> Закупка товаров, работ и услуг для государственных (муниципальных) нужд</t>
  </si>
  <si>
    <t>Иные бюджетные ассигнования</t>
  </si>
  <si>
    <t xml:space="preserve">Культура </t>
  </si>
  <si>
    <t>Социальное обеспечение и иные выплаты населению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</si>
  <si>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</si>
  <si>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</si>
  <si>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ЦСР</t>
  </si>
  <si>
    <t>ВР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</si>
  <si>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</si>
  <si>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</si>
  <si>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</si>
  <si>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Культура,  кинематография</t>
  </si>
  <si>
    <t>за счет субвенций</t>
  </si>
  <si>
    <t>Подпрограмма " Создание условий для обеспечения качественными коммунальными услугами"" муниципальной программы "Развитие жилищно-коммунального комплекса и повышение энергитической эффективности в Нижневартовском районе на 2014-2020гг"в рамках ведомственной целевой программы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2014 - 2016 годах."</t>
  </si>
  <si>
    <t>11.1.0000</t>
  </si>
  <si>
    <t>Приложение 4  к решению</t>
  </si>
  <si>
    <t>40.0.00.00000</t>
  </si>
  <si>
    <t>40.0.01.00000</t>
  </si>
  <si>
    <t>40.0.01.99990</t>
  </si>
  <si>
    <t>Расходы на реализацию основного мероприятия "Содержание муниципальных внутрипоселковых автомобильных дорог" муниципальной программы «Развитие транспортной системы с.п. Зайцева Речка на 2014-2020 годы»</t>
  </si>
  <si>
    <t>41.0.00.00000</t>
  </si>
  <si>
    <t>41.0.01.S2300</t>
  </si>
  <si>
    <t>41.0.01.00000</t>
  </si>
  <si>
    <t>41.0.01.82300</t>
  </si>
  <si>
    <t>50.0.00.02040</t>
  </si>
  <si>
    <t>50.0.00.00000</t>
  </si>
  <si>
    <t>50.0.00.02030</t>
  </si>
  <si>
    <t>50.0.00.02400</t>
  </si>
  <si>
    <t>50.0.00.51180</t>
  </si>
  <si>
    <t>50.0.00.D9300</t>
  </si>
  <si>
    <t>51.0.00.00000</t>
  </si>
  <si>
    <t>51.0.00.20610</t>
  </si>
  <si>
    <t>52.0.00.00000</t>
  </si>
  <si>
    <t>52.0.00.00590</t>
  </si>
  <si>
    <t>53.0.00.00590</t>
  </si>
  <si>
    <t>53.0.00.00000</t>
  </si>
  <si>
    <t>54.0.00.00000</t>
  </si>
  <si>
    <t>54.0.00.00590</t>
  </si>
  <si>
    <t>55.0.00.0000</t>
  </si>
  <si>
    <t>55.0.00.99990</t>
  </si>
  <si>
    <t>56.0.00.00000</t>
  </si>
  <si>
    <t>57.0.00.89240</t>
  </si>
  <si>
    <t>57.0.00.89020</t>
  </si>
  <si>
    <t>58.0.00.99991</t>
  </si>
  <si>
    <t>58.0.0.00000</t>
  </si>
  <si>
    <t>0000000000</t>
  </si>
  <si>
    <t>57.0.00.00000</t>
  </si>
  <si>
    <t>55.0.00.00000</t>
  </si>
  <si>
    <t>58.0.00.00000</t>
  </si>
  <si>
    <t>Приложение 5 к решению</t>
  </si>
  <si>
    <t>Основное мероприятие:  Организация деятельности Межведомственного патруля по профилактике правонарушений и охране общественного порядка в сельском поселении Зайцева Речка</t>
  </si>
  <si>
    <t xml:space="preserve"> Закупка товаров, работ и услуг для обеспечения государственных (муниципальных) нужд</t>
  </si>
  <si>
    <t>56.0.00.20601</t>
  </si>
  <si>
    <t>56.0.00.20602</t>
  </si>
  <si>
    <t>56.0.00.20603</t>
  </si>
  <si>
    <t>56.0.00.20600</t>
  </si>
  <si>
    <t>56.0.00.20604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</si>
  <si>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</si>
  <si>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казенных учреждений, за исключением фонда оплаты труда</t>
  </si>
  <si>
    <t>Фонд оплаты труда казенных учреждений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</si>
  <si>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</si>
  <si>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(муниципальных) органов</t>
  </si>
  <si>
    <t xml:space="preserve">Фонд оплаты труда государственных (муниципальных) органов </t>
  </si>
  <si>
    <t xml:space="preserve">Физическая культура </t>
  </si>
  <si>
    <t>Резервный фонд в рамках ведомственной целевой программы «Организация бюджетного процесса в администрации с.п. Зайцева Речка на 2016-2018гг.».</t>
  </si>
  <si>
    <t>Ведомственная целевая программа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2016 -2018  год"</t>
  </si>
  <si>
    <t>Реализация мероприятий расходов на отлов собак и дезинсекцию в рамках ведомственной целевой программы"Мероприятия в области жилищно- коммунального хозяйства в сельском поселении Зайцева Речка на 2016 - 2018 годы"</t>
  </si>
  <si>
    <t>Прочие мероприятия органов местного самоуправления в рамках ведомственной целевой программы "Обеспечение отдельных  реализации отдельных  полномочий администрации с.п. Зайцева Речка на 2016-2018 гг"</t>
  </si>
  <si>
    <t>Общеэкономические вопросы</t>
  </si>
  <si>
    <t>Ведомственная целевая программа "Энергосбережение и повышение энергической эффективности в с.п. Зайцева Речка на 2016-2018 годы"</t>
  </si>
  <si>
    <t>59.0.00.20020</t>
  </si>
  <si>
    <t>59.0.0.00000</t>
  </si>
  <si>
    <t>70.0.0.00000</t>
  </si>
  <si>
    <t>дох-ная часть</t>
  </si>
  <si>
    <t>расх.часть</t>
  </si>
  <si>
    <t>Приложение №14</t>
  </si>
  <si>
    <t xml:space="preserve">в 2015г </t>
  </si>
  <si>
    <t>в 2016гг</t>
  </si>
  <si>
    <t>наши полномочия</t>
  </si>
  <si>
    <t>из ЗР бюджета МБТ</t>
  </si>
  <si>
    <t>в 2016г</t>
  </si>
  <si>
    <t>по 191п ХМАО</t>
  </si>
  <si>
    <t>передаваемые полномочия в район</t>
  </si>
  <si>
    <t>доходы наши</t>
  </si>
  <si>
    <t>норма</t>
  </si>
  <si>
    <t>из бюдж.р-на</t>
  </si>
  <si>
    <t>доходы</t>
  </si>
  <si>
    <t>всего расходов</t>
  </si>
  <si>
    <t>МБТ с р-на</t>
  </si>
  <si>
    <t>налог.и ненал.</t>
  </si>
  <si>
    <t>МБТ</t>
  </si>
  <si>
    <t>251ст</t>
  </si>
  <si>
    <t>дефициит</t>
  </si>
  <si>
    <t>ВУС</t>
  </si>
  <si>
    <t>итого расходов</t>
  </si>
  <si>
    <t>итого</t>
  </si>
  <si>
    <t>на нужды поселения</t>
  </si>
  <si>
    <t>наши р-ды</t>
  </si>
  <si>
    <t xml:space="preserve">остаток от нормы </t>
  </si>
  <si>
    <t>рубли</t>
  </si>
  <si>
    <t>Лицевой счет</t>
  </si>
  <si>
    <t>Бюджетная классификация</t>
  </si>
  <si>
    <t>Лимит</t>
  </si>
  <si>
    <t>Квартал 1</t>
  </si>
  <si>
    <t>Квартал 2</t>
  </si>
  <si>
    <t>Квартал 3</t>
  </si>
  <si>
    <t>Квартал 4</t>
  </si>
  <si>
    <t>1кв.2014</t>
  </si>
  <si>
    <t>2кв.2014</t>
  </si>
  <si>
    <t>3кв.2014</t>
  </si>
  <si>
    <t>4кв.2014</t>
  </si>
  <si>
    <t>значение оплаты</t>
  </si>
  <si>
    <t>Приход</t>
  </si>
  <si>
    <t>уменьшение прих</t>
  </si>
  <si>
    <t>Расход реестр</t>
  </si>
  <si>
    <t>Уменьш расход</t>
  </si>
  <si>
    <t>Неденежн</t>
  </si>
  <si>
    <t>%</t>
  </si>
  <si>
    <t/>
  </si>
  <si>
    <t>ФКР</t>
  </si>
  <si>
    <t>ППП</t>
  </si>
  <si>
    <t>КЦСР</t>
  </si>
  <si>
    <t>КВР</t>
  </si>
  <si>
    <t>ЭКР</t>
  </si>
  <si>
    <t>Суб КЭСР</t>
  </si>
  <si>
    <t>включая текущий месяц</t>
  </si>
  <si>
    <t>за мес</t>
  </si>
  <si>
    <t>на нач мес</t>
  </si>
  <si>
    <t>расход за мес</t>
  </si>
  <si>
    <t>исполнения</t>
  </si>
  <si>
    <t>Ведомственная целевая программа "Обеспечение реализации отдельных полномочий администрации сельского поселения З.Р.на 2016-2018г."</t>
  </si>
  <si>
    <t>Общегосударственные вопросы 01 раздел</t>
  </si>
  <si>
    <t>Функционирование высшего должностного лица (разд.подр.0102) (фонд оплаты труда и страховые взносы) разд.подр.0102</t>
  </si>
  <si>
    <t>Функционирование высшего должностного лица (фонд оплаты труда и страховые взносы)</t>
  </si>
  <si>
    <t>121</t>
  </si>
  <si>
    <t>Итого по организации</t>
  </si>
  <si>
    <t>Функционирование исполнительных органов местного самоуправления (разд.подр.0104) (фонд оплаты труда и страховые взносы)</t>
  </si>
  <si>
    <t>Функционирование исполнительных органов местного самоуправления (фонд оплаты труда и страховые взносы)</t>
  </si>
  <si>
    <t>Функционирование исполнительных органов местного самоуправления (прочая закупка товаров, работ и услуг для государственных нужд)</t>
  </si>
  <si>
    <t>Центральнный аппарат</t>
  </si>
  <si>
    <t>122</t>
  </si>
  <si>
    <t>суточн.,ком.р-ды,</t>
  </si>
  <si>
    <t>244</t>
  </si>
  <si>
    <t>тр.усл</t>
  </si>
  <si>
    <t>кн.сир.Северсв.</t>
  </si>
  <si>
    <t>292</t>
  </si>
  <si>
    <t>опл.налога на имущ.</t>
  </si>
  <si>
    <t>Ведомственная целевая программа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2016 - 2018 годах."</t>
  </si>
  <si>
    <t>Иные межбюджетные трансферты на содержание работников ОМС района</t>
  </si>
  <si>
    <t>540</t>
  </si>
  <si>
    <t>разд.подр. 0111 Резерв. Фонды</t>
  </si>
  <si>
    <t>870</t>
  </si>
  <si>
    <t>разд.подр.0113 Другие общегосударственные вопросы</t>
  </si>
  <si>
    <t>Расходы на оплату дополнительных гарантий и компенсаций</t>
  </si>
  <si>
    <t>медкомиссия</t>
  </si>
  <si>
    <t>Ведомственная целевая программа "Осуществление материально-технического обеспечения деятельности органов местного самоуправления Зайцева Речка на 2016-2018г."</t>
  </si>
  <si>
    <t>МКУ "Содружество" (иные выплаты персоналу)</t>
  </si>
  <si>
    <t>112</t>
  </si>
  <si>
    <t>МКУ "Содружество" (фонд оплаты труда и страховые взносы)</t>
  </si>
  <si>
    <t>111</t>
  </si>
  <si>
    <t>МКУ "Содружество" (закупка товаров, работ, услуг в сфере ИКТ)</t>
  </si>
  <si>
    <t>242</t>
  </si>
  <si>
    <t>МКУ "Содружество" (прочая закупка товаров, работ и услуг для муниципальных нужд)</t>
  </si>
  <si>
    <t xml:space="preserve">суточные </t>
  </si>
  <si>
    <t>по 223ст</t>
  </si>
  <si>
    <t>обслуж. электр.</t>
  </si>
  <si>
    <t>обслуживание машины</t>
  </si>
  <si>
    <t>по 225ст</t>
  </si>
  <si>
    <t>пред.мед.осмотр</t>
  </si>
  <si>
    <t>обучение, курсы</t>
  </si>
  <si>
    <t>контур</t>
  </si>
  <si>
    <t>по 226ст</t>
  </si>
  <si>
    <t>по 290ст</t>
  </si>
  <si>
    <t>бензин, запчасти полгода (всего114тр в 15г)</t>
  </si>
  <si>
    <t>бумага+канцел</t>
  </si>
  <si>
    <t>хоз.товары</t>
  </si>
  <si>
    <t>материалы</t>
  </si>
  <si>
    <t>по 340ст.</t>
  </si>
  <si>
    <t>Условно утвержденные расходы</t>
  </si>
  <si>
    <t>Ведомственная целевая программа "Обеспечение реализации отдельных полномочий администрации сельского поселения Зайцева Речка на 2016-2018г."</t>
  </si>
  <si>
    <t>Мобилизационная и вневойсковая подготовка (разд.подр. 0203)</t>
  </si>
  <si>
    <t>Осуществление первичного воинского учета на территориях, где отсутствуют военные комиссариаты (фонд оплаты труда и страховые взносы)</t>
  </si>
  <si>
    <t>Осуществление первичного воинского учета на территориях, где отсутствуют военные комиссариаты (прочая закупка товаров, работ и услуг для муниципальных нужд)</t>
  </si>
  <si>
    <t>0</t>
  </si>
  <si>
    <t>344</t>
  </si>
  <si>
    <t>Органы юстиции ( разд.подр.м 0304)</t>
  </si>
  <si>
    <t>Субвенции на осуществление федеральных полномочий по ЗАГС  (прочая закупка товаров, работ и услуг для муниципальных нужд)</t>
  </si>
  <si>
    <t>призы</t>
  </si>
  <si>
    <t>Ведомств. Прогр. (В.Е. Дорофеев) ЦП "Комплексные меры пожарной безопасности на территории сельского поселения Зайцева Речка на 2016-2018   (Защита населения и территории от последствий чрезвычайных ситуаций природного и техногенного характера, гражданская оборона (прочая зауупка товаров, работ и услуг для муниципальных нужд)</t>
  </si>
  <si>
    <t>Защита населения и территории от чрезвычайных ситуаций природного и техногенного характера, гражданская оборона (разд.подр. 0309)</t>
  </si>
  <si>
    <t>Защита населения и территории от последствий чрезвычайных ситуаций природного и техногенного характера, гражданская оборона (прочая зауупка товаров, работ и услуг для муниципальных нужд)</t>
  </si>
  <si>
    <t>ЦП "Снижение рисков и последствий чрезвычайных ситуаций природного и техногенного харкктера на территории Нижневартовского района на 2012-2015 гг" (Прочая закупка товаров, работ и услуг для государственных (муниципальных) нужд)</t>
  </si>
  <si>
    <t>Программа ХМАО-Югры "Снижение рисков и последствий чрезвычайных ситуаций природного и техногенного характера в ХМАО-Югре 2012-2014 гг" (Прочая закупка товаров, работ и услуг для государственных (муниципальных) нужд)</t>
  </si>
  <si>
    <t>Субсидия в целях обеспечения страхования имущества в рамках государственной программы "Управление государственным имуществом ХМАО-Югры 2014-2020 гг"  (Бюджет округа)</t>
  </si>
  <si>
    <t>Субсидия в целях обеспечения страхования имущества в рамках государственной программы "Управление государственным имуществом ХМАО-Югры 2014-2020 гг" (бюджет поселения)</t>
  </si>
  <si>
    <t>ЦП "Комплексные меры пожарной безопасности на объектах социального значения и жилищного фонда в районе на 2013-2015гг" (Иные межбюджетные трансферты)</t>
  </si>
  <si>
    <t>ЦП ХМАО-Югры "Укрепление пожарной бехопасности в ХМАО-Югре в 2011-2013 и на период до 2015 г" (иные межбюджетные трансферты)</t>
  </si>
  <si>
    <t>ЦП "Комплексные меры пожарной безопасности на территории сельского поселения Зайцева Речка на 2013-2015</t>
  </si>
  <si>
    <t>311</t>
  </si>
  <si>
    <t>ЦП "Профилактика правонарушений и преступности в Нижневартовском районе на 2011-2013 годы"подпрограмма "Прафилактика правонарушений в плановом периоде 2013-2014гг. (Иные межбюджетные трансферты)</t>
  </si>
  <si>
    <t>Целевая программа "Профилактика правонарушений и преступности в Нижневартовском районе на 2011-2013 годы" (прочая закупка товаров, работ и услуг для муниципальных нужд)</t>
  </si>
  <si>
    <t>ЦП "Профилактика правонарушений и преступности в Нижн районе на 2011-2015 годы"Прафилактика правонарушений в плановом периоде 2013-2014ггпрочая закупка товаров, работ и услуг для муниципальных нужд).</t>
  </si>
  <si>
    <t>ЦП "Профилактика правонарушений и преступности в Нижневартовском районе на 2011-2015 годы"Прафилактика правонарушений в плановом периоде 2013-2014ггпрочая закупка товаров, работ и услуг для муниципальных нужд).</t>
  </si>
  <si>
    <t>Муниципальная  программа «Профилактика правонарушений в сфере общественного порядка в сельском поселении Зайцева Речка на 2014-2020 годы»</t>
  </si>
  <si>
    <t>Другие вопросы в области национальной безопасности и правоохранительной деятельности (разд.подр 0314)</t>
  </si>
  <si>
    <t>Субсидия в рамках государственной программы "Профилактика правонарушений в сфере общ.порядка,безопасн.дорож.движения,незаконного оборота и злоупотребления наркотиками в ХМАО-Югре на 2014-2020гг"(создание общественных формирований правоохранительной направленности) Бюджет поселения(30%).</t>
  </si>
  <si>
    <t>охрана общ.порядка</t>
  </si>
  <si>
    <t>Субсидия в рамках государственной программы "Профилактика правонарушений в сфере общ.порядка,безопасн.дорож.движения,незаконного оборота и злоупотребления наркотиками в ХМАО-Югре на 2014-2020гг"(создание общественных формирований правоохранительной направленности). Бюджет автономного округа (70%)</t>
  </si>
  <si>
    <t>Проектирование строительств, капитальный ремонт, реконструкция объектов капитального строительства (инженерные сети, здания, строения, сооружения и иные) на территории поселения</t>
  </si>
  <si>
    <t>расходы в рамках подпрограммы"профилактика правонарушений" государственной программы "Обеспечение прав и законных интересов населения  ХМАО-Югры в отдельных сферах жизнедеятельности на 2014-2020 годах" в рамках муниципальной программы "Профилактика правонарушений в сфере общественного порядка в Нижневартовском районе на 2014-2016 годы", в том числе</t>
  </si>
  <si>
    <t>11.1.21.01</t>
  </si>
  <si>
    <t>11.1.54.41</t>
  </si>
  <si>
    <t>Софинансирование субсидии на содействие местному самоуправлению в развитиии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2014-2020гг" (1% бюджет поселения)</t>
  </si>
  <si>
    <t>Содержание и управление дорожным хозяйством (Иные межбюджетные трансферты)</t>
  </si>
  <si>
    <t>Дорожное хозяйство (дорожные фонды) (разд.подр. 0409)</t>
  </si>
  <si>
    <t>Содержание и управление дорожным хозяйством (Дорожный фонд)</t>
  </si>
  <si>
    <t>Содержание и управление дорожным хозяйством</t>
  </si>
  <si>
    <t>финансир.района</t>
  </si>
  <si>
    <t>финансир.поселения</t>
  </si>
  <si>
    <t>Связь и информатика (закупка товаров, работ, услуг в сфере ИКТ)</t>
  </si>
  <si>
    <t>Ведомственная целевая программа "Мероприятия в области жилищно- коммунального хозяйства в сельском поселении Зайцева Речка на 2016-2018 годы"</t>
  </si>
  <si>
    <t>Связь и информатика (разд.подр 0410)</t>
  </si>
  <si>
    <t>Связь и информатика (субсидии юридическим лицам (кроме государственных (муниципальных) учреждений) и физическим лицам - производителям товаров, работ, услуг)</t>
  </si>
  <si>
    <t>810</t>
  </si>
  <si>
    <t>подпрограмма "Градостроительная деятельность" муниципальной программы "Обеспечение доступным и комфортным жильем жителей Нижневартовского района в 2014-2020гг" (иные межбюджетные трансферты)</t>
  </si>
  <si>
    <t>ЦП "Мероприятия в области градостроительной деятельности Нижневартовского района" на 2011-2012гг (иные межбюджетные трансферты)</t>
  </si>
  <si>
    <t>Жилищное хозяйство (разд.подр 0501)</t>
  </si>
  <si>
    <t>Жилищное хозяйство (субсидии юридическитм лицам (кроме государственных (муниципальных учреждений) и физическим лицам - производителям товаров, работ, услуг)</t>
  </si>
  <si>
    <t xml:space="preserve">Ведомственная целевая программа «Управление муниципальным имуществом на территории с.п. Зайцева Речка на 2016-2018 годы» </t>
  </si>
  <si>
    <t>Выполнение функций органами местного самоуправления (прочая закупка товаров, работ и услуг для муниципальных нужд)</t>
  </si>
  <si>
    <t>Целевая программа "Комплексная программа капитального строительства,реконструкции,капитального ремонта и подготовки обьектов жилищно-коммунального хозяйства к работе в ОЗП на территории нижневартовского района на 2009-2014 годы"</t>
  </si>
  <si>
    <t>Коммунальное хозяйство (разд.подр.0502)</t>
  </si>
  <si>
    <t>Мероприятия по подготовке объектов жилищно-коммунального хозяйства и социальной сферы к работе в осенне-зимний период в рамках подпрограммы"Создание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энергитической эффективности в Нижневартовском районе на 2014-2020гг" Иные межбюджетные трансферты</t>
  </si>
  <si>
    <t>Мероприятия по подготовке объектов жилищно-коммунального хозяйства и социальной сферы к работе в осенне-зимний период Иные межбюджетные трансферты</t>
  </si>
  <si>
    <t>МБТ субсидии на ОЗП</t>
  </si>
  <si>
    <t>Благоустройство (разд.подр.0503)</t>
  </si>
  <si>
    <t>отлов собак, дезикцидная обработка (прочая закупка товаров, работ и услуг для государственных нужд)</t>
  </si>
  <si>
    <t>Уличное освещение (прочая закупка товаров, работ и услуг для государственных нужд)</t>
  </si>
  <si>
    <t>отлов собак</t>
  </si>
  <si>
    <t>дезикцидная обработ</t>
  </si>
  <si>
    <t>Прочие мероприятия по благоустройству поселений (прочая закупка товаров, работ и услуг для государственных нужд)</t>
  </si>
  <si>
    <t>ВЦП "Энергосбережение и повышение энергической эффективности в с.п. Зайцева Речка на 2016-2018 годы"( Расходы на реализацию мероприятий в области энергосбережения и повышения энергетической эффективности в рамках  ведомственной целевой программы "Энергосбережение и повышение энергической эффективности в с.п. Зайцева Речка на  2016-2018 гг")</t>
  </si>
  <si>
    <t>ЦП "Энергосбережение и повышение энергической эффективности в с.п. Зайцева Речка на 2010-2014 годы"</t>
  </si>
  <si>
    <t>Ведомственная целевая программа "Развитие культуры сельского поселения Зайцева речка на 2016-2018гг"</t>
  </si>
  <si>
    <t>Культура (разд.подр.0801)</t>
  </si>
  <si>
    <t>МКУ СДК З-Речка (Культура (фонд оплаты труда и страховые  взносы)</t>
  </si>
  <si>
    <t>МКУ СДК З-Речка (Культура (Иные выплаты персоналу,за исключением фонда оплаты труда)</t>
  </si>
  <si>
    <t>МКУ СДК З-Речка (Культура (закупка товаров,работ,услуг в сфере информационно-коммуникационных технологий)</t>
  </si>
  <si>
    <t>телефон</t>
  </si>
  <si>
    <t>интернет</t>
  </si>
  <si>
    <t>МКУ СДК З-Речка (Культура (прочая закупка товаров,работ и услуг для государственных (муниципальных) нужд)</t>
  </si>
  <si>
    <t>заправка катриджей</t>
  </si>
  <si>
    <t>опресс.и ремонт</t>
  </si>
  <si>
    <t>налоги, штрафы</t>
  </si>
  <si>
    <t>хоз,мат;материалы полгода</t>
  </si>
  <si>
    <t>МКУ СДК З-Речка (Культура (прочая закупка товаров,работ и услуг для муниципальных нужд)</t>
  </si>
  <si>
    <t>Кинематография (разд.подр.0802)</t>
  </si>
  <si>
    <t>МКУ СДК З-Речка (Кинематография (фонд оплаты труда и страховые взносы)</t>
  </si>
  <si>
    <t>МКУ СДК З-Речка (Кинематография (прочая закупка товаров,работ и услуг для государственных (муниципальных) нужд)</t>
  </si>
  <si>
    <t>Пенсионное обеспечение (разд.подр. 1001)</t>
  </si>
  <si>
    <t>Доплаты к пенсиям государственным и муниципальным служащим</t>
  </si>
  <si>
    <t>321</t>
  </si>
  <si>
    <t>Ведомственная целевая программа "Организация и обеспечение мероприятий а области физической культуры и спорта в сельском поселении Зайцева Речка на 2016-2018 годы"</t>
  </si>
  <si>
    <t>Физическая культура (разд.подр. 1101)</t>
  </si>
  <si>
    <t>Физическая культура (фонд оплаты труда и страховые взносы)</t>
  </si>
  <si>
    <t>Физическая культура (прочая закупка товаров, работ и услуг для государственных нужд)</t>
  </si>
  <si>
    <t>Мероприятия в области физической культуры (Прочая закупка товаров, работ и услуг для государственных нужд)</t>
  </si>
  <si>
    <t>ЦЗН    Расходы на реализацию мероприятий по содействию трудоустройства граждан в рамках подпрограммы "Содействие трудоустройству граждан" в рамках государственной программы "Содействие занятости населения в ХМАО-Югре на 2014-2020 годы" с.п. Зайцева Речка</t>
  </si>
  <si>
    <t>Итого по главному распорядителю</t>
  </si>
  <si>
    <t>Уплата иных платежей</t>
  </si>
  <si>
    <t>Уплата прочих налогов, сборов</t>
  </si>
  <si>
    <t>Уплата  иных платежей</t>
  </si>
  <si>
    <t>56.0.00.20605</t>
  </si>
  <si>
    <t>57.0.00.89160</t>
  </si>
  <si>
    <t>57.0.00.89090</t>
  </si>
  <si>
    <t xml:space="preserve"> 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"Развитие транспортной системы Нижневартовского района  на 2014 - 2020 годы"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  2016-2018 гг."</t>
  </si>
  <si>
    <t>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"Развитие жилищно-коммунального комплекса и повышение энергетической эффективности в Нижневартовском районе  на 2014 – 2020 годы"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  2016-2018 гг."</t>
  </si>
  <si>
    <t>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 "Обеспечение доступным и комфортным жильем жителей Нижневартовского района  в 2014 – 2020 годах"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2016-2018 гг."</t>
  </si>
  <si>
    <t>70.0.00.00000</t>
  </si>
  <si>
    <t>656</t>
  </si>
  <si>
    <t>Расходы на реализацию мероприятий в области энергосбережения и повышения энергетической эффективности в рамках  ведомственной целевой программы "Энергосбережение и повышение энергической эффективности в с.п. Зайцева Речка на  2016-2018 гг"</t>
  </si>
  <si>
    <t>50000D9300</t>
  </si>
  <si>
    <t>41001S2300</t>
  </si>
  <si>
    <t>4100182300</t>
  </si>
  <si>
    <t>5800099991</t>
  </si>
  <si>
    <t>5700089020</t>
  </si>
  <si>
    <t>налог на имущ</t>
  </si>
  <si>
    <t>аренда машина Захаров</t>
  </si>
  <si>
    <t>оценка(5уч7,5)+межев.зем.уч(5уч*8т.р)</t>
  </si>
  <si>
    <t>оценка зданий</t>
  </si>
  <si>
    <t>стр-во забора Захаров Прол.14/3</t>
  </si>
  <si>
    <t>оплата ком.усл.по Излуч</t>
  </si>
  <si>
    <t>подарки старожилам (11668)+спорт.сорев.(6)+поощ.дет(5)+главе района (5)+грамоты,цветы(3)</t>
  </si>
  <si>
    <t>пылесос,металлодетоктор</t>
  </si>
  <si>
    <t>стр-во тротуара Захаров у Дудиной</t>
  </si>
  <si>
    <t>потрачено 77,2</t>
  </si>
  <si>
    <t>огнетуш.1шт.,аптечки 2шт</t>
  </si>
  <si>
    <t>устан.видео камер Зверевым</t>
  </si>
  <si>
    <t>ИТОГО по 244</t>
  </si>
  <si>
    <t>224квр</t>
  </si>
  <si>
    <t>в 2017гг</t>
  </si>
  <si>
    <t>2018 год</t>
  </si>
  <si>
    <t>2019 год</t>
  </si>
  <si>
    <t>вз.ассоц.образ.(15), штр</t>
  </si>
  <si>
    <t>льг.проезд,суточные</t>
  </si>
  <si>
    <t>2016г</t>
  </si>
  <si>
    <t>пени, штрафы</t>
  </si>
  <si>
    <t>т.с. 01.01.00</t>
  </si>
  <si>
    <t>т.с. 01.12.00</t>
  </si>
  <si>
    <t>Ремонт дорог (Дорожный фонд)</t>
  </si>
  <si>
    <t>налог на имущество полгода</t>
  </si>
  <si>
    <t>70.0.00.99990</t>
  </si>
  <si>
    <t>ИТОГО по 800</t>
  </si>
  <si>
    <t>Расходы на реализацию основного мероприятия "Ремонт муниципальных внутрипоселковых автомобильных дорог" муниципальной программы «Развитие транспортной системы с.п. Зайцева Речка на 2014-2020 годы»</t>
  </si>
  <si>
    <t>40.0.01.82390</t>
  </si>
  <si>
    <t>Ведомственная целевая программа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2017-2019  гг"</t>
  </si>
  <si>
    <t>плановый период</t>
  </si>
  <si>
    <t xml:space="preserve"> (тыс. рублей)</t>
  </si>
  <si>
    <t>налоги</t>
  </si>
  <si>
    <t>51.0.00.09999</t>
  </si>
  <si>
    <t>53.0.00.82440</t>
  </si>
  <si>
    <t>53000S2440</t>
  </si>
  <si>
    <t>5 процентов</t>
  </si>
  <si>
    <t>53.0.00.S2440</t>
  </si>
  <si>
    <t>85 процентов</t>
  </si>
  <si>
    <t xml:space="preserve">в 2016 г </t>
  </si>
  <si>
    <t>в 2018г</t>
  </si>
  <si>
    <t>в 2017г</t>
  </si>
  <si>
    <t>58.0.00.99990</t>
  </si>
  <si>
    <t xml:space="preserve">разборка домов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</si>
  <si>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</si>
  <si>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</si>
  <si>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Ведомственная целевая программа "Обеспечение реализации отдельных полномочий администрации сельского поселения З.Р.на 2018-2020г."</t>
  </si>
  <si>
    <t>в 2018гг</t>
  </si>
  <si>
    <t>2020 год</t>
  </si>
  <si>
    <t xml:space="preserve"> (разд.подр.0103) (ВЫБОРЫ)</t>
  </si>
  <si>
    <t xml:space="preserve">инициативное бюджетирование </t>
  </si>
  <si>
    <t xml:space="preserve"> ГПХ 2 чел.на 1 мес</t>
  </si>
  <si>
    <t>2018-2020гг</t>
  </si>
  <si>
    <t>на 2018г</t>
  </si>
  <si>
    <t xml:space="preserve">окруж.деньги - </t>
  </si>
  <si>
    <t>00.0.00.00000</t>
  </si>
  <si>
    <t>Ведомственная структура расходов бюджета на 2018 год и плановый период 2019-2020 года.</t>
  </si>
  <si>
    <t>Ведомственная целевая программа "Обеспечение реализации отдельных полномочий администрации сельского поселения Зайцева Речка на 2018 -2020гг."</t>
  </si>
  <si>
    <t>Ведомственная целевая программа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2018 -2020 годы."</t>
  </si>
  <si>
    <t>Ведомственная целевая программа "Организация бюджетного процесса в сельском поселении Зайцева Речка на 2018-2020 годы"</t>
  </si>
  <si>
    <t>Условно утверждаемые расходы в рамках ведомственной целевой программы «Организация бюджетного процесса в администрации с.п. Зайцева Речка на 2018-2020гг.».</t>
  </si>
  <si>
    <t>Ведомственная целевая программа "Осуществление материально-технического обеспечения деятельности органов местного самоуправления Зайцева Речка на 2018 -2020гг."</t>
  </si>
  <si>
    <t>Расходы на обеспечение деятельности муниципального учреждения в рамках ведомственной целевой программы "Осуществление материально-технического обеспечения деятельности органов местного самоуправления с.п. Зайцева Речка на 2018 -2020гг."</t>
  </si>
  <si>
    <t>Ведомственная целевая программа "Обеспечение реализации отдельных полномочий администрации сельского поселения Зайцева Речка на 2018 -2020 гг."</t>
  </si>
  <si>
    <t>Ведомственная целевая программа "Организация и обеспечение мероприятий в сфере гражданской обороны, пожарной безопасности и защиты населения и территорий с.п. Зайцева Речка от чрезвычайных ситуаций на 2018 -2020 годы"</t>
  </si>
  <si>
    <t>Расходы на реализацию мероприятий по обеспечению страховой защиты мущества сельского поселения Зайцева Речка» в рамках  ведомственной целевой программы «Управление муниципальным имуществом на территории с.п. Зайцева Речка на 2018-2020  гг"</t>
  </si>
  <si>
    <t>Внепрограмные расходы в с.п. Зайцева Речка на 2018 -2020 годы</t>
  </si>
  <si>
    <t xml:space="preserve">Ведомственная целевая программа "Мероприятия в области жилищно- коммунального хозяйства в сельском поселении Зайцева Речка на 2018 -2020 годы" </t>
  </si>
  <si>
    <t>Ведомственная целевая программа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2018-2020 год"</t>
  </si>
  <si>
    <t xml:space="preserve"> Ведомственная целевая  программа «Управление муниципальным имуществом на территории сельского поселения Зайцева Речка на 2018-2020гг» реализация подпрограммы по развитию земельных и имущественных отношений на территории сельского поселения Зайцева Речка</t>
  </si>
  <si>
    <t xml:space="preserve">Ведомственная целевая программа "Мероприятия в области жилищно- коммунального хозяйства в сельском поселении Зайцева Речка на 2018 -2020 годы"  </t>
  </si>
  <si>
    <t>Ведомственная целевая программа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2018 -2020 год"</t>
  </si>
  <si>
    <t>Ведомственная целевая программа "Развитие культуры сельского поселения Зайцева речка на 2018 -2020 гг"</t>
  </si>
  <si>
    <t>Расходы на обеспечение деятельности муниципального учреждения в рамках ведомственной целевой программы "Развитие культуры сельского поселения Зайцева речка на 2018-2020гг"</t>
  </si>
  <si>
    <t>Ведомственная целевая программа "Развитие культуры сельского поселения Зайцева речка на 2018 -2020гг"</t>
  </si>
  <si>
    <t>Расходы на обеспечение деятельности муниципального учреждения в рамках ведомственной целевой программы "Развитие культуры сельского поселения Зайцева речка на 2018 -2020гг"</t>
  </si>
  <si>
    <t>Ведомственная целевая программа "Организация и обеспечение мероприятий в области физической культуры и спорта в сельском поселении Зайцева Речка на 2018 -2020 годы"</t>
  </si>
  <si>
    <t>Расходы на обеспечение деятельности муниципального учреждения в рамках ведомственной целевой программы "Организация и обеспечение мероприятий в области физической культуры и спорта в сельском поселении Зайцева Речка на 2018 -2020 годы"</t>
  </si>
  <si>
    <t xml:space="preserve">Распределение бюджетных ассигнований по разделам и подразделам классификации расходов бюджета поселения на 2018 год и плановый период 2019-2020 года. </t>
  </si>
  <si>
    <t>Распределение бюджетных ассигнований по разделам, подразделам целевым статьям (муниципальным программам, ведомственным целевым программам и непрограммным направлениям деятельности) группам (группам и подгруппам) видов расходов класификации расходов бюджета поселения на 2018 год и плановый период 2019-2020 года .</t>
  </si>
  <si>
    <t>Ведомственная целевая программа "Обеспечение реализации отдельных полномочий администрации сельского поселения Зайцева Речка на 2018-2020 гг."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</si>
  <si>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 полномочий администрации  сельского поселения Зайцева Речка на 2018 -2020 гг."</t>
  </si>
  <si>
    <t xml:space="preserve">Ведомственная целевая программа «Управление муниципальным имуществом на территории с.п. Зайцева Речка на 2018-2020 гг» </t>
  </si>
  <si>
    <t>Расходы на содержаниеи главы поселения в рамках ведомственной целевой программа "Обеспечение реализации отдельных  полномочий администрации с.п. Зайцева Речка на 2018-2020  гг"</t>
  </si>
  <si>
    <t>Ведомственная целевая программа "Организация бюджетного процесса в сельском поселении Зайцева Речка на 2018-2020  гг"</t>
  </si>
  <si>
    <t>Ведомственная целевая программа "Осуществление материально-технического обеспечения деятельности органов местного самоуправления Зайцева Речка на 2018-2020  гг."</t>
  </si>
  <si>
    <t>Расходы на обеспечение деятельности муниципального учреждения в рамках ведомственной целевой программы "Осуществление материально-технического обеспечения деятельности органов местного самоуправления с.п. Зайцева Речка на 2018-2020  гг."</t>
  </si>
  <si>
    <t>Ведомственная целевая программа "Развитие культуры сельского поселения Зайцева речка на 2018-2020  гг"</t>
  </si>
  <si>
    <t>Расходы на обеспечение деятельности муниципального учреждения в рамках ведомственной целевой программы "Развитие культуры сельского поселения Зайцева речка на 2018-2020  гг"</t>
  </si>
  <si>
    <t>Ведомственная целевая программа "Организация и обеспечение мероприятий в области физической культуры и спорта в сельском поселении Зайцева Речка на 2018-2020  гг"</t>
  </si>
  <si>
    <t>Расходы на обеспечение деятельности муниципального учреждения в рамках ведомственной целевой программы "Организация и обеспечение мероприятий в области физической культуры и спорта в сельском поселении Зайцева Речка на 2018-2020  гг"</t>
  </si>
  <si>
    <t>Ведомственная целевая программа "Организация и обеспечение мероприятий в сфере гражданской обороны, пожарной безопасности и защиты населения и территорий с.п. Зайцева Речка от чрезвычайных ситуаций на 2018-2020  гг"</t>
  </si>
  <si>
    <t xml:space="preserve">Ведомственная целевая программа "Мероприятия в области жилищно- коммунального хозяйства в сельском поселении Зайцева Речка на 2018-2020  гг" </t>
  </si>
  <si>
    <t>Ведомственная целевая программа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2018-2020  гг"</t>
  </si>
  <si>
    <t>Расходы на реализацию мероприятий по развитию земельных и имущественных отношений на территории сельского поселения Зайцева Речка» в рамках  ведомственной целевой программы «Управление муниципальным имуществом на территории с.п. Зайцева Речка на 2018-2020  гг" (БТИ)</t>
  </si>
  <si>
    <t>Ведомственная целевая программа "Энергосбережение и повышение энергической эффективности в с.п. Зайцева Речка на 2018-2020 годы"</t>
  </si>
  <si>
    <t xml:space="preserve"> Расходы на реализацию мероприятий в области энергосбережения и повышения энергетической эффективности в рамках  ведомственной целевой программы "Энергосбережение и повышение энергической эффективности в с.п. Зайцева Речка на  2018-2020 гг"</t>
  </si>
  <si>
    <t>Внепрограмные расходы в с.п. Зайцева Речка на 2018-2020  годы</t>
  </si>
  <si>
    <t>зар.пл.</t>
  </si>
  <si>
    <t>ремонт сист.бл.(5,0), ремонт МФУ(5,0), заправка катриджа (0,5)</t>
  </si>
  <si>
    <t xml:space="preserve"> канц.товары</t>
  </si>
  <si>
    <t>матер. (т.с. 01.02.03 Фед.б)</t>
  </si>
  <si>
    <t>матер. (т.с. 01.03.00 Окр.б.)</t>
  </si>
  <si>
    <t>покупка основных, мебели</t>
  </si>
  <si>
    <t>з.плата,</t>
  </si>
  <si>
    <t>консультант плюс</t>
  </si>
  <si>
    <t>50.0.00.59300</t>
  </si>
  <si>
    <t xml:space="preserve">Расходы на обеспечение деятельности муниципального учреждения в рамках ведомственной программы "Организация и обеспечение мероприятий а области физической культуры и спорта в сельском поселении Зайцева Речка на 2018 -2020 годы" (Мероприятия  и услуги в области  спорта и физической культуры, туризма) </t>
  </si>
  <si>
    <t>Государственная программа «Создание условий для эффективности ответственного управления муниципальными финансами, повышение устойчивости местных бюджетов ХМАО-Югры на 2016-2020 гг»</t>
  </si>
  <si>
    <t>Прочая закупка товаров, работ и услуг для обеспечения государственных (муниципальных) нужд</t>
  </si>
  <si>
    <t>53.0.0000000</t>
  </si>
  <si>
    <t>53.0.00 82420</t>
  </si>
  <si>
    <t>53.0.00 S2420</t>
  </si>
  <si>
    <t>Иные межбюджетные трансферты на содействие  развитию исторических и иных местных традиций в рамках гп «Создание условий для эффективности ответственного управления муниципальными финансами, повышение устойчивости местных бюджетов ХМАО-Югры на 2016-2020 гг» в рамках ВЦП "Организация и обеспечение мероприятий в сфере культуры и кинематографии с.п. З,Р, на 2018-2020 годы"</t>
  </si>
  <si>
    <t>53000S2420</t>
  </si>
  <si>
    <t>софинансирование 1%</t>
  </si>
  <si>
    <t>Распределение бюджетных ассигнований по целевым статьям (муниципальным программам, ведомственным целевым программам и непрограммным направлениям деятельности), группам (группам и подгруппам) видов расходов классификации расходов бюджета поселения на 2018 год и плановый период 2019-2020 года .</t>
  </si>
  <si>
    <t>Обеспечение проведения выборов и референдумов</t>
  </si>
  <si>
    <t>Основное мероприятие: Содержание муниципальных внутрипоселковых автомобильных дорог</t>
  </si>
  <si>
    <t>Расходы на обеспечение функций органов местного самоуправления в рамках ведомственной целевой программы "Обеспечение реализации отдельных  полномочий администрации с.п. Зайцева Речка на 2018-2020  гг"</t>
  </si>
  <si>
    <t>Расходы на прочие мероприятия органов местного самоуправления в рамках ведомственной целевой программы "Обеспечение реализации отдельных  полномочий администрации с.п. Зайцева Речка на  2018-2020 гг"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</si>
  <si>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 полномочий администрации  сельского поселения Зайцева Речка на 2018-2020гг."</t>
  </si>
  <si>
    <t>Расходы на содействие  развитию исторических и иных местных традиций в рамках гп «Создание условий для эффективности ответственного управления муниципальными финансами, повышения устойчивости местных бюджетов ХМАО-Югры на 2016-2020 гг» в рамках ВЦП "Развитие культуры сельского поселения Зайцева речка на 2018-2020  гг""</t>
  </si>
  <si>
    <t>Фонд оплаты труда учреждений</t>
  </si>
  <si>
    <t>Иные выплаты персоналу учреждений, за исключением фонда оплаты труда</t>
  </si>
  <si>
    <t>Уплата налога на имущество организаций и земельного налога</t>
  </si>
  <si>
    <t>57.0.00000</t>
  </si>
  <si>
    <t>Фонд оплаты труда 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</si>
  <si>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</si>
  <si>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в рамках ведомственной целевой программа "Развитие культуры сельского поселения Зайцева речка  на  2018-2020 гг"</t>
  </si>
  <si>
    <t xml:space="preserve">Софинансирование расходов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 ведомственной целевой программы "Развитие культуры сельского поселения Зайцева речка  на  2018-2020 гг" </t>
  </si>
  <si>
    <t>Расходы на реализацию мероприятий в рамках ведомственной целевой программы "Организация и обеспечение мероприятий в сфере гражданской обороны, пожарной безопасности и защиты населения и территорий с.п. Зайцева Речка от чрезвычайных ситуаций на 2018-2020  гг"</t>
  </si>
  <si>
    <t>Расходы на реализацию мероприятий по уличному освещению в рамках ведомственной целевой программы"Мероприятия в области жилищно- коммунального хозяйства в сельском поселении Зайцева Речка на 2018-2020  гг"</t>
  </si>
  <si>
    <t>Расходы на реализацию мероприятий расходов на отлов собак и дезинсекцию в рамках ведомственной целевой программы"Мероприятия в области жилищно- коммунального хозяйства в сельском поселении Зайцева Речка на 2016-2018 гг"</t>
  </si>
  <si>
    <t>Расходы на реализацию мероприятий в рамках ВЦП "Мероприятия в области жилищно - коммунального хозяйства в сельском поселении Зайцева Речка на 2018-2020 гг"</t>
  </si>
  <si>
    <t>Расходы на содержание главы муниципального образования в рамках ведомственной целевой программы "Обеспечение реализации отдельных  полномочий администрации с.п. Зайцева Речка на  2018-2020 гг"</t>
  </si>
  <si>
    <t>Расходы на обеспечение функций органов местного самоуправления  в рамках ведомственной целевой программы "Обеспечение реализации отдельных  полномочий администрации с.п. Зайцева Речка на  2018-2020 гг"</t>
  </si>
  <si>
    <t xml:space="preserve">Расходы на обеспечение функций органов местного самоуправления  в рамках ведомственной целевой программы "Обеспечение реализации отдельных  полномочий администрации с.п. Зайцева Речка на  2018-2020 гг" </t>
  </si>
  <si>
    <t xml:space="preserve">Расходы на обеспечение функций органов местного самоуправления  в рамках ведомственной целевой программы "Обеспечение реализации отдельных  полномочий администрации с.п. Зайцева Речка на  2018-2020 гг"  </t>
  </si>
  <si>
    <t>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 "Обеспечение доступным и комфортным жильем жителей Нижневартовского района  в 2014 – 2020 годах"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2018-2020 гг."</t>
  </si>
  <si>
    <t>Реализация мероприятий по компенсации выпадающих доходов организациям, предоставляющим населению жилищные услуги по тарифам, не обеспечивающим возмещение издержек в рамках ведомственной целевой программы"Мероприятия в области жилищно- коммунального хозяйства в сельском поселении Зайцева Речка на 2018 -2020 годы"</t>
  </si>
  <si>
    <t>Расходы на реализацию мероприятий по компенсации выпадающих доходов организациям, предоставляющим населению жилищные услуги по тарифам, не обеспечивающим возмещение издержек в рамках ведомственной целевой программы"Мероприятия в области жилищно- коммунального хозяйства в сельском поселении Зайцева Речка на 2018-2020  гг"</t>
  </si>
  <si>
    <t xml:space="preserve">Расходы на реализацию мероприятий по развитию земельных и имущественных отношений на территории с.п. Зайцева Речка в рамках ведомственной целевой программы «Управление муниципальным имуществом на территории с.п. Зайцева Речкана  на  2018-2020 гг" </t>
  </si>
  <si>
    <t xml:space="preserve">Прочая закупка товаров, работ и услуг для обеспечения
государственных (муниципальных) нужд
</t>
  </si>
  <si>
    <t>Расходы на обеспечение функций органов местного самоуправления в рамках ведомственной целевой программы "Обеспечение реализации отдельных  полномочий администрации с.п. Зайцева Речка на  2018-2020 гг"</t>
  </si>
  <si>
    <t>Резервный фонд поселения в рамках ведомственной целевой программы «Организация бюджетного процесса в администрации с.п. Зайцева Речка на 2018-2020  гг.».</t>
  </si>
  <si>
    <t>Расходы на реализацию мероприятий в рамках ведомственной целевой программы "Организация и обеспечение мероприятий в сфере гражданской обороны, пожарной безопасности и защиты населения и территорий с.п. Зайцева Речка от чрезвычайных ситуаций на 2018 -2020 годы"</t>
  </si>
  <si>
    <t>Софинансирование расходов на реализацию мероприятий по содействию трудоустройства граждан в рамках подпрограммы "Содействие трудоустройству граждан" в рамках государственной программы "Содействие занятости населения в ХМАО-Югре на 2014-2020 годы" с.п. Зайцева Речка</t>
  </si>
  <si>
    <t>Софинансирование расходов в рамках гп«Создание условий для эффективности ответственного управления муниципальными финансами, повышение устойчивости местных бюджетов ХМАО-Югры на 2016-2020 гг»  в рамках ВЦП "Развитие культуры сельского поселения Зайцева речка на 2018-2020  гг""</t>
  </si>
  <si>
    <t>взносы некомерческой организации Югорский фонд кап.ремонта общ.имущ. В многокварт.домов на терр.с.п. З.Р.( Пост наше №62 от 25.08.2014г)Прочие мероприятия по благоустройству поселений (прочая закупка товаров, работ и услуг для государственных нужд</t>
  </si>
  <si>
    <t>Расходы на реализацию мероприятий комплексного благоустройства в  рамках ведомственной целевой программы"Мероприятия в области жилищно- коммунального хозяйства в сельском поселении Зайцева Речка на 2018-2020 гг"</t>
  </si>
  <si>
    <t>Расходы на реализацию мероприятий расходов на обеспечение деятельности учреждения в рамках ведомственной целевой программы"Мероприятия в области жилищно- коммунального хозяйства в сельском поселении Зайцева Речка на 2018-2020  гг"</t>
  </si>
  <si>
    <t>Субвенции на осуществление первичного воинского учета на территориях, где отсутствуют военные комиссариаты, в рамках ведомственной целевой программы  "Обеспечение реализации отдельных   полномочий администрации  сельского поселения Зайцева Речка на 2018-2020 гг"</t>
  </si>
  <si>
    <t xml:space="preserve">
Софинансирование межбюджетных трансфертов для создания условий для деятельности народных дружин в рамках муниципальной  программы «Профилактика правонарушений в сфере общественного порядка в с.п. Зайцева Речка на 2014-2020 годы» </t>
  </si>
  <si>
    <t xml:space="preserve">Иные межбюджетные трансферты на создание условий для деятельности народных дружин  в рамках муниципальной  программы «Профилактика правонарушений в сфере общественного порядка в с.п. Зайцева Речка на 2014-2020 годы» </t>
  </si>
  <si>
    <t>Реализация мероприятий расходов на обеспечение деятельности учреждения в рамках ведомственной целевой программы"Мероприятия в области жилищно- коммунального хозяйства в сельском поселении Зайцева Речка на 2018 -2020 годы"</t>
  </si>
  <si>
    <t>Субвенции на осуществление первичного воинского учета на территориях, где отсутствуют военные комиссариаты, в рамках ведомственной целевой программы  "Обеспечение реализации отдельных   полномочий администрации  сельского поселения Зайцева Речка на 2018 -2020 гг"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</si>
  <si>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2018-2020  гг" </t>
  </si>
  <si>
    <t>Расходы на реализацию мероприятий комплексного благоустройства  в  рамках ведомственной целевой программы"Мероприятия в области жилищно- коммунального хозяйства в сельском поселении Зайцева Речка на 2018-2020 гг"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</si>
  <si>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ведомственной целевой программы "Обеспечение реализации отдельных   полномочий администрации  сельского поселения Зайцева Речка на 2018-2020гг."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</si>
  <si>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 в рамках ведомственной целевой программы "Обеспечение реализации отдельных   полномочий администрации  сельского поселения Зайцева Речка на 2018 -2020 гг."</t>
  </si>
  <si>
    <t xml:space="preserve"> Иные межбюджетные трансферты из бюджета поселения бюджету муниципального района 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района "Развитие жилищно-коммунального комплекса и повышение энергитической эффективности в Нижневартовском районе на 2014-2020гг"в рамках ВЦП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 2018-2020  гг."</t>
  </si>
  <si>
    <t>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 "Обеспечение доступным и комфортным жильем жителей Нижневартовского района  в 2014 – 2020 годах"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2018-2020  гг."</t>
  </si>
  <si>
    <t>42.0.00.00000</t>
  </si>
  <si>
    <t>43.0.00.00000</t>
  </si>
  <si>
    <t>Муниципальная программа «Формирование комфортной городской среды в с.п. Зайцева Речка на 2018-2022 годы"</t>
  </si>
  <si>
    <t>льготный проезд</t>
  </si>
  <si>
    <t>рамки на выборы</t>
  </si>
  <si>
    <t>5700089090</t>
  </si>
  <si>
    <t>3,5мес*25т.р. С.В. Субб.</t>
  </si>
  <si>
    <t>материал - целевые</t>
  </si>
  <si>
    <t>факт страх.имущ.за 2017 год-400тр.</t>
  </si>
  <si>
    <t>25,0 ремонт детс.площ.</t>
  </si>
  <si>
    <t>БТИ- 60т.р В.Е.Д</t>
  </si>
  <si>
    <t>тс0103.напр018</t>
  </si>
  <si>
    <t>тс 01.12.</t>
  </si>
  <si>
    <t>тех.обеспеч.пол. года</t>
  </si>
  <si>
    <t>Установка пожар.извещателей</t>
  </si>
  <si>
    <t>Содержание и ремонт пожарных водоемов</t>
  </si>
  <si>
    <t>Мат.тех.обеспечение</t>
  </si>
  <si>
    <t>аншлаги, таблички,обуч.продукция</t>
  </si>
  <si>
    <t>Работы по кладбищу (ислед.зем.уч.20,выбор зем.участка70, межевание30,)</t>
  </si>
  <si>
    <t xml:space="preserve">Муниципальная программа «Развитие муниципальной службы в сельском поселении Зайцева Речка  на 2017–2021 годы» </t>
  </si>
  <si>
    <t>бюджет района</t>
  </si>
  <si>
    <t>бюджет поселка детс.площ.</t>
  </si>
  <si>
    <t>Ведомственная целевая программа "Мероприятия в области жилищно-коммунального хозяйства в сельском поселении Зайцева Речка на 2016-2018 годы"</t>
  </si>
  <si>
    <t>Муниципальная программа "Формирование комфортной городской среды в сельском поселении Зайцева Речка на 2018-2022 годы"</t>
  </si>
  <si>
    <t>опрессовка 40,0</t>
  </si>
  <si>
    <t>запр.картриджей полгода 17,5</t>
  </si>
  <si>
    <t>81966,21*4=327864,84</t>
  </si>
  <si>
    <t>Софинансирование</t>
  </si>
  <si>
    <t>от ЗР</t>
  </si>
  <si>
    <t>на 2018г.З.Р.+Б+В</t>
  </si>
  <si>
    <t>Б(8,5*12)+В(8*12)+ЗР(60)</t>
  </si>
  <si>
    <t>Ремонт памятников БиВ</t>
  </si>
  <si>
    <t>Зима:ТБО Б(72258,24) и В(45485,57) Лето: Б(70),В(100)</t>
  </si>
  <si>
    <t>9 мес Б,В, ЗР</t>
  </si>
  <si>
    <t>отжиг</t>
  </si>
  <si>
    <t>уборка мусора Захаров</t>
  </si>
  <si>
    <t>ремон окон, дверей Страхова</t>
  </si>
  <si>
    <t>"ГСК Югория "</t>
  </si>
  <si>
    <t>Муниципальная программа «Развитие муниципальной службы в сельском поселении Зайцева Речка на 2017–2021 годы»"</t>
  </si>
  <si>
    <t>Расходы на  реализациюо сновного мероприятия - плана подготовки, переподготовки, повышения квалификации и обучающих семинаров муниципальных служащих администрации поселения в рамках муниципальной  программы «Развитие муниципальной службы в сельском поселении Зайцева Речка на 2017–2021 годы» (бюджет поселения)</t>
  </si>
  <si>
    <t>42.0.01.00000</t>
  </si>
  <si>
    <t>42.0.01.02400</t>
  </si>
  <si>
    <t>43.0.00.L5550</t>
  </si>
  <si>
    <t>43.0.00.R555F</t>
  </si>
  <si>
    <t>Расходы на муниципальную программу «Формирование комфортной городской среды в с.п. Зайцева Речка на 2018-2022 годы"</t>
  </si>
  <si>
    <t>Софинансирование расходов на муниципальную программу «Формирование комфортной городской среды в с.п. Зайцева Речка на 2018-2022 годы"</t>
  </si>
  <si>
    <t>70.0.00.85060</t>
  </si>
  <si>
    <t>57.0.00.89130</t>
  </si>
  <si>
    <t>56.0.00.84290</t>
  </si>
  <si>
    <t>Расходы на реализацию мероприятий по информированию населения по сбору и вывозу твердых коммунальных отходов в рамках ведомственной целевой программы"Мероприятия в области жилищно - коммунального хозяйства в сельском поселении Зайцева Речка на 2018-2020  гг"</t>
  </si>
  <si>
    <t xml:space="preserve"> 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"Обеспечение экологической безопасности в Нижневартовском районе на 2014-2020гг"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  2018-2020 гг."</t>
  </si>
  <si>
    <t xml:space="preserve"> 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"Развитие транспортной системы Нижневартовского района  на 2014 - 2020 годы"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  2018-2020 гг."</t>
  </si>
  <si>
    <t>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 "Обеспечение доступным и комфортным жильем жителей Нижневартовского района  в 2014 – 2020 годах"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  2018-2020 гг."</t>
  </si>
  <si>
    <t>0605р</t>
  </si>
  <si>
    <t>0501р</t>
  </si>
  <si>
    <t>0502\р</t>
  </si>
  <si>
    <t>0104р</t>
  </si>
  <si>
    <t>0412р</t>
  </si>
  <si>
    <t>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"Развитие жилищно-коммунального комплекса и повышение энергетической эффективности в Нижневартовском районе  на 2014 – 2020 годы"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  2018-2020 гг."</t>
  </si>
  <si>
    <t>Ведомственная целевая программа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2018 -2020  год"</t>
  </si>
  <si>
    <t>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"Обеспечение экологической безопасности в Нижневартовском районе на 2014- 2020 годы" 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 2018-2020 гг гг."</t>
  </si>
  <si>
    <t>Охрана окружающей среды</t>
  </si>
  <si>
    <t>Другие вопросы в области охраны окружающей среды</t>
  </si>
  <si>
    <t>д-ды д/уточ.</t>
  </si>
  <si>
    <t>Уплата  прочих налогов, сборов</t>
  </si>
  <si>
    <t>Приложение 2  к решению</t>
  </si>
  <si>
    <t>Приложение 7  к решению</t>
  </si>
  <si>
    <t>Приложение 6  к решению</t>
  </si>
  <si>
    <t>Приложение 4 к решению</t>
  </si>
  <si>
    <t>Приложение 3 к решению</t>
  </si>
  <si>
    <t>от 06.12.2017 года № 91</t>
  </si>
  <si>
    <r>
      <t xml:space="preserve">от </t>
    </r>
    <r>
      <rPr>
        <u/>
        <sz val="10"/>
        <rFont val="Times New Roman"/>
        <family val="1"/>
        <charset val="204"/>
      </rPr>
      <t>06.12.2017</t>
    </r>
    <r>
      <rPr>
        <sz val="10"/>
        <rFont val="Times New Roman"/>
        <family val="1"/>
        <charset val="204"/>
      </rPr>
      <t xml:space="preserve"> года № </t>
    </r>
    <r>
      <rPr>
        <u/>
        <sz val="10"/>
        <rFont val="Times New Roman"/>
        <family val="1"/>
        <charset val="204"/>
      </rPr>
      <t>91</t>
    </r>
  </si>
  <si>
    <t>296</t>
  </si>
  <si>
    <t>291</t>
  </si>
  <si>
    <t>Воробъев 40,0+Немцева 25,1+Щетко 23,0</t>
  </si>
  <si>
    <t>ремонт печей 300,0</t>
  </si>
  <si>
    <t>ТО систем оповещения Б и В.на 6м(год3320,0*12*2)</t>
  </si>
  <si>
    <t>мат-тех.обеспечение провед.мероприятий</t>
  </si>
  <si>
    <t>минполосы Был.,Вамп.и З.Реч 100,0</t>
  </si>
  <si>
    <t>услуги по проведению выборов перевести  в содруж-во</t>
  </si>
  <si>
    <t>договора мены</t>
  </si>
  <si>
    <t>8 мес РРЛ(27322,07 в м-ц)</t>
  </si>
  <si>
    <t>эл.энерг. год мес Б,В, ЗР</t>
  </si>
  <si>
    <t>капремонт 8мес.</t>
  </si>
  <si>
    <t>с1мая2ед*24588,6</t>
  </si>
  <si>
    <t>надо до конца года 6м=243579,65</t>
  </si>
  <si>
    <t>надо до конца года 6м=57515</t>
  </si>
  <si>
    <t>всего 301094,65</t>
  </si>
  <si>
    <t>МРОТдо 1мая 20875,80</t>
  </si>
  <si>
    <t>спорт.сорев</t>
  </si>
  <si>
    <t xml:space="preserve">преобразователь, компрессор, </t>
  </si>
  <si>
    <t>план-эвакуации</t>
  </si>
  <si>
    <t>частичная нехватка</t>
  </si>
  <si>
    <t>нехватка до конца года</t>
  </si>
  <si>
    <t>Б и В, ЗР</t>
  </si>
  <si>
    <t>минполосы</t>
  </si>
  <si>
    <t xml:space="preserve"> ГПХ 2чел.на 3м</t>
  </si>
  <si>
    <t xml:space="preserve"> 4мес.</t>
  </si>
  <si>
    <t>устан.приборов учета - тепла и воды.(по кварталам 95+65+91+195)</t>
  </si>
  <si>
    <t>2кв.</t>
  </si>
  <si>
    <t>наш тип.ср-тв</t>
  </si>
  <si>
    <t>день поселка+ остальные соревн</t>
  </si>
  <si>
    <t xml:space="preserve">Дор-40,Росл-40,Вор-90(сан и льг с дочкой),Прас-90(сан и льг с сыном) у Пол в сл. Году=260 (Всего-387840,81) </t>
  </si>
  <si>
    <t xml:space="preserve">компенсация </t>
  </si>
  <si>
    <t>Б,В и зем.уч.под снег - 3*15</t>
  </si>
  <si>
    <t xml:space="preserve">Работы по кладбищу </t>
  </si>
  <si>
    <t>кисл+дочь(омск), рабина сочи, ахтар и 2 реб, дороф  и сын</t>
  </si>
  <si>
    <t>54.0.00.85150</t>
  </si>
  <si>
    <t>43.0.00.20990</t>
  </si>
  <si>
    <t>СДК Королева (22990+27,1%взн)</t>
  </si>
  <si>
    <t>НДФЛ</t>
  </si>
  <si>
    <t>55лет (1фонд РСД №102)+поощр.выпл.к пенсии (5 мфот РСД от 26.12.16 №48)+пособие при уходе на пенсию (1мфот) =7мфот(42625,44)</t>
  </si>
  <si>
    <t>обучение, курсы, профстандарты</t>
  </si>
  <si>
    <t>БТИ - техинвентаризация</t>
  </si>
  <si>
    <t>открытки, ав.отч.</t>
  </si>
  <si>
    <t>не хватает</t>
  </si>
  <si>
    <t>услуги механника</t>
  </si>
  <si>
    <t>рамки на выборы- металлодетектор</t>
  </si>
  <si>
    <t>материалы (Расходники на автомобиль)</t>
  </si>
  <si>
    <t>Расходные на авто</t>
  </si>
  <si>
    <t>доп.согл.к дог.по теплу</t>
  </si>
  <si>
    <t>свет, эл.энерг. Счетчику</t>
  </si>
  <si>
    <t>теплоэнергия в 2017 по счетчику</t>
  </si>
  <si>
    <t>ЖКО (увеличение тарифа)</t>
  </si>
  <si>
    <t>вода  (увеличение тарифа)</t>
  </si>
  <si>
    <t>Северсв. Видеонабл.  (увеличение тарифа)</t>
  </si>
  <si>
    <t>вывоз ТКО полгода (не выставлены сч.ф)</t>
  </si>
  <si>
    <t>ремонт приб.учета</t>
  </si>
  <si>
    <t>Северсв.пож.сигнал. (увеличение тарифа)</t>
  </si>
  <si>
    <t>Выгода авар.обсл.</t>
  </si>
  <si>
    <t>спец.оц.труда</t>
  </si>
  <si>
    <t>питание день.посел, 9мая, день пожил.</t>
  </si>
  <si>
    <t>контур. Программ. (увелич.тарифа)</t>
  </si>
  <si>
    <t>обучение</t>
  </si>
  <si>
    <t>антивир.прогр</t>
  </si>
  <si>
    <t>обучение по пож.безоп.</t>
  </si>
  <si>
    <t>нехватка на год</t>
  </si>
  <si>
    <t>18г интернет  пол года. Увеличении тарифа</t>
  </si>
  <si>
    <t>18г межгород  пол года.Увеличении тарифа</t>
  </si>
  <si>
    <t>18г внутризоновая  пол года Увеличении тарифа</t>
  </si>
  <si>
    <t xml:space="preserve">18г д-р абоненская пол года. Увеличении тарифа17г - </t>
  </si>
  <si>
    <t>Факт 2017меньше за счет переплаты в 2016 (увеличение тарифа по факту потребл 2017 года)</t>
  </si>
  <si>
    <t>Расчет тарифа по факту потребл 2017 года</t>
  </si>
  <si>
    <t>Увеличение тарифа по факту потребл 2017 года</t>
  </si>
  <si>
    <t xml:space="preserve">В связи с разделением и захоронением с ТБО на  ТКО  </t>
  </si>
  <si>
    <t>ТБО</t>
  </si>
  <si>
    <t>ТО и ТР водоснабжения</t>
  </si>
  <si>
    <t xml:space="preserve">запр.картриджей полгода </t>
  </si>
  <si>
    <t>обслуж. пож.охранной сигнализ</t>
  </si>
  <si>
    <t>обсл. сист. видеонабл.</t>
  </si>
  <si>
    <t>усл.програмиста 1С год</t>
  </si>
  <si>
    <t>Услуги администратора-програм.за 17-18гг.</t>
  </si>
  <si>
    <t xml:space="preserve">публик.док-ов </t>
  </si>
  <si>
    <t>поддержка саита ЗАГС</t>
  </si>
  <si>
    <t>продление УРМ 2018</t>
  </si>
  <si>
    <t>обслуж. Сайта Администрации</t>
  </si>
  <si>
    <t xml:space="preserve">лодочный мотор былино </t>
  </si>
  <si>
    <t>остпется на 2 полугодие ПК,МФУ</t>
  </si>
  <si>
    <t>замена плафонов</t>
  </si>
  <si>
    <t xml:space="preserve">былино гсм, запчасти лодка </t>
  </si>
  <si>
    <t>нехватка на 2 полу 2018</t>
  </si>
  <si>
    <t>ремонт КИА</t>
  </si>
  <si>
    <t>устан. металлодетектора Выгода</t>
  </si>
  <si>
    <t>не хватает по действующим договорам</t>
  </si>
  <si>
    <t xml:space="preserve"> Ол.Копас.14735,16+Сайд. Вит 2455,86+27,1%взн=21849,79 - уборка терр.поселка ГПХ</t>
  </si>
  <si>
    <t>в т.ч.демонтаж детс.площ.5501,63 в Вампуголе</t>
  </si>
  <si>
    <t xml:space="preserve"> плафоны</t>
  </si>
  <si>
    <t>уютный дворик прогр.4уч-ка</t>
  </si>
  <si>
    <t>Былино 2 окна</t>
  </si>
  <si>
    <t>Орлов - планировка</t>
  </si>
  <si>
    <t>Вывоз мусора из поселка ЖКХ</t>
  </si>
  <si>
    <t>на 3кв</t>
  </si>
  <si>
    <t>4кв</t>
  </si>
  <si>
    <t>нех.до конца года</t>
  </si>
  <si>
    <t>ремонт печей3*100=300</t>
  </si>
  <si>
    <t>50пр.</t>
  </si>
  <si>
    <t>52.0.00.85150</t>
  </si>
  <si>
    <t>53пр</t>
  </si>
  <si>
    <t>поселения Зайцева Речка</t>
  </si>
  <si>
    <t xml:space="preserve">Совета депутатов сельского </t>
  </si>
  <si>
    <t xml:space="preserve">от 28.06.2018 года №124 </t>
  </si>
  <si>
    <t>Запас средств на договора по эл.эн (факт за 2017 год 8,438 КВт, 2018 договор закл. На 7,488 КВт, разница 0,950 КВт*5576=5297,20+5%=5562,06), вода (вывоз+утил)(4304,71+5%, 7242,61+5%=12124,87) итого:17868,93. Остаток ден.ср. в сумме 14843,53 будет резервом на увеличение потребления элктр, теплоснаб, воды.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</si>
</sst>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00"/>
    <numFmt numFmtId="165" formatCode="00"/>
    <numFmt numFmtId="166" formatCode="0000000"/>
    <numFmt numFmtId="167" formatCode="#,##0.00;[Red]\-#,##0.00;0.00"/>
    <numFmt numFmtId="168" formatCode="#,##0.0"/>
    <numFmt numFmtId="169" formatCode="0000"/>
    <numFmt numFmtId="170" formatCode="000\.00\.000\.0"/>
    <numFmt numFmtId="171" formatCode="000\.00\.00"/>
    <numFmt numFmtId="172" formatCode="#,##0.00_ ;[Red]\-#,##0.00\ "/>
    <numFmt numFmtId="173" formatCode="000000"/>
  </numFmts>
  <fonts count="53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i/>
      <sz val="9"/>
      <name val="Times New Roman Cyr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8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sz val="18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Times New Roman"/>
      <family val="1"/>
      <charset val="204"/>
    </font>
    <font>
      <b/>
      <sz val="7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8"/>
      <color theme="0"/>
      <name val="Arial"/>
      <family val="2"/>
      <charset val="204"/>
    </font>
    <font>
      <b/>
      <sz val="9"/>
      <color theme="0"/>
      <name val="Times New Roman Cyr"/>
      <family val="1"/>
      <charset val="204"/>
    </font>
    <font>
      <sz val="9"/>
      <color theme="0"/>
      <name val="Arial Cyr"/>
      <charset val="204"/>
    </font>
    <font>
      <b/>
      <sz val="9"/>
      <color theme="0"/>
      <name val="Arial Cyr"/>
      <charset val="204"/>
    </font>
    <font>
      <b/>
      <sz val="8"/>
      <color theme="0"/>
      <name val="Arial Cyr"/>
      <charset val="204"/>
    </font>
    <font>
      <b/>
      <i/>
      <sz val="10"/>
      <color theme="0"/>
      <name val="Arial"/>
      <family val="2"/>
      <charset val="204"/>
    </font>
    <font>
      <i/>
      <sz val="8"/>
      <color theme="0"/>
      <name val="Arial"/>
      <family val="2"/>
      <charset val="204"/>
    </font>
    <font>
      <sz val="10"/>
      <color theme="0"/>
      <name val="Arial Cyr"/>
      <charset val="204"/>
    </font>
    <font>
      <b/>
      <sz val="10"/>
      <color theme="0"/>
      <name val="Arial Cyr"/>
      <charset val="204"/>
    </font>
    <font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9">
    <xf numFmtId="0" fontId="0" fillId="0" borderId="0" xfId="0"/>
    <xf numFmtId="0" fontId="3" fillId="0" borderId="0" xfId="3" applyNumberFormat="1" applyFont="1" applyFill="1" applyBorder="1" applyAlignment="1" applyProtection="1">
      <protection hidden="1"/>
    </xf>
    <xf numFmtId="0" fontId="6" fillId="0" borderId="1" xfId="3" applyNumberFormat="1" applyFont="1" applyFill="1" applyBorder="1" applyAlignment="1" applyProtection="1">
      <alignment horizontal="center" vertical="center"/>
      <protection hidden="1"/>
    </xf>
    <xf numFmtId="0" fontId="8" fillId="0" borderId="0" xfId="3" applyNumberFormat="1" applyFont="1" applyFill="1" applyBorder="1" applyAlignment="1" applyProtection="1">
      <alignment wrapText="1"/>
      <protection hidden="1"/>
    </xf>
    <xf numFmtId="0" fontId="4" fillId="0" borderId="0" xfId="3" applyNumberFormat="1" applyFont="1" applyFill="1" applyBorder="1" applyAlignment="1" applyProtection="1">
      <alignment wrapText="1"/>
      <protection hidden="1"/>
    </xf>
    <xf numFmtId="0" fontId="6" fillId="0" borderId="0" xfId="3" applyNumberFormat="1" applyFont="1" applyFill="1" applyBorder="1" applyAlignment="1" applyProtection="1">
      <alignment wrapText="1"/>
      <protection hidden="1"/>
    </xf>
    <xf numFmtId="164" fontId="12" fillId="0" borderId="2" xfId="2" applyNumberFormat="1" applyFont="1" applyFill="1" applyBorder="1" applyAlignment="1" applyProtection="1">
      <protection hidden="1"/>
    </xf>
    <xf numFmtId="164" fontId="13" fillId="0" borderId="2" xfId="2" applyNumberFormat="1" applyFont="1" applyFill="1" applyBorder="1" applyAlignment="1" applyProtection="1">
      <protection hidden="1"/>
    </xf>
    <xf numFmtId="0" fontId="3" fillId="0" borderId="0" xfId="3" applyFont="1" applyFill="1" applyProtection="1">
      <protection hidden="1"/>
    </xf>
    <xf numFmtId="0" fontId="3" fillId="0" borderId="0" xfId="3" applyFont="1" applyFill="1"/>
    <xf numFmtId="0" fontId="13" fillId="0" borderId="0" xfId="2" applyFont="1" applyFill="1"/>
    <xf numFmtId="0" fontId="4" fillId="0" borderId="0" xfId="3" applyFont="1" applyFill="1"/>
    <xf numFmtId="0" fontId="5" fillId="0" borderId="0" xfId="3" applyFont="1" applyFill="1"/>
    <xf numFmtId="0" fontId="3" fillId="0" borderId="0" xfId="3" applyFont="1" applyFill="1" applyBorder="1"/>
    <xf numFmtId="0" fontId="3" fillId="0" borderId="0" xfId="3" applyFont="1" applyFill="1" applyAlignment="1"/>
    <xf numFmtId="164" fontId="13" fillId="0" borderId="6" xfId="2" applyNumberFormat="1" applyFont="1" applyFill="1" applyBorder="1" applyAlignment="1" applyProtection="1">
      <protection hidden="1"/>
    </xf>
    <xf numFmtId="164" fontId="12" fillId="0" borderId="1" xfId="2" applyNumberFormat="1" applyFont="1" applyFill="1" applyBorder="1" applyAlignment="1" applyProtection="1">
      <protection hidden="1"/>
    </xf>
    <xf numFmtId="164" fontId="13" fillId="0" borderId="1" xfId="2" applyNumberFormat="1" applyFont="1" applyFill="1" applyBorder="1" applyAlignment="1" applyProtection="1">
      <protection hidden="1"/>
    </xf>
    <xf numFmtId="4" fontId="13" fillId="0" borderId="0" xfId="2" applyNumberFormat="1" applyFont="1" applyFill="1"/>
    <xf numFmtId="0" fontId="19" fillId="0" borderId="1" xfId="3" applyNumberFormat="1" applyFont="1" applyFill="1" applyBorder="1" applyAlignment="1" applyProtection="1">
      <alignment wrapText="1"/>
      <protection hidden="1"/>
    </xf>
    <xf numFmtId="0" fontId="19" fillId="0" borderId="0" xfId="3" applyFont="1" applyFill="1"/>
    <xf numFmtId="0" fontId="20" fillId="0" borderId="0" xfId="3" applyFont="1" applyFill="1"/>
    <xf numFmtId="0" fontId="21" fillId="0" borderId="0" xfId="3" applyFont="1" applyFill="1"/>
    <xf numFmtId="0" fontId="19" fillId="0" borderId="8" xfId="3" applyNumberFormat="1" applyFont="1" applyFill="1" applyBorder="1" applyAlignment="1" applyProtection="1">
      <alignment horizontal="left"/>
      <protection hidden="1"/>
    </xf>
    <xf numFmtId="0" fontId="20" fillId="0" borderId="0" xfId="3" applyNumberFormat="1" applyFont="1" applyFill="1" applyBorder="1" applyAlignment="1" applyProtection="1">
      <alignment wrapText="1"/>
      <protection hidden="1"/>
    </xf>
    <xf numFmtId="0" fontId="20" fillId="0" borderId="0" xfId="3" applyFont="1" applyFill="1" applyBorder="1"/>
    <xf numFmtId="0" fontId="19" fillId="0" borderId="0" xfId="3" applyFont="1" applyFill="1" applyBorder="1"/>
    <xf numFmtId="0" fontId="18" fillId="0" borderId="0" xfId="2" applyFont="1" applyFill="1"/>
    <xf numFmtId="0" fontId="27" fillId="0" borderId="0" xfId="2" applyFont="1" applyFill="1"/>
    <xf numFmtId="0" fontId="13" fillId="0" borderId="0" xfId="2" applyFont="1" applyFill="1" applyBorder="1" applyProtection="1">
      <protection hidden="1"/>
    </xf>
    <xf numFmtId="164" fontId="25" fillId="0" borderId="6" xfId="2" applyNumberFormat="1" applyFont="1" applyFill="1" applyBorder="1" applyAlignment="1" applyProtection="1">
      <protection hidden="1"/>
    </xf>
    <xf numFmtId="0" fontId="17" fillId="0" borderId="0" xfId="2" applyFont="1" applyFill="1" applyBorder="1" applyProtection="1">
      <protection hidden="1"/>
    </xf>
    <xf numFmtId="4" fontId="17" fillId="0" borderId="0" xfId="2" applyNumberFormat="1" applyFont="1" applyFill="1"/>
    <xf numFmtId="0" fontId="17" fillId="0" borderId="0" xfId="2" applyFont="1" applyFill="1"/>
    <xf numFmtId="0" fontId="12" fillId="0" borderId="0" xfId="2" applyFont="1" applyFill="1" applyBorder="1" applyProtection="1">
      <protection hidden="1"/>
    </xf>
    <xf numFmtId="4" fontId="12" fillId="0" borderId="0" xfId="2" applyNumberFormat="1" applyFont="1" applyFill="1"/>
    <xf numFmtId="0" fontId="12" fillId="0" borderId="0" xfId="2" applyFont="1" applyFill="1"/>
    <xf numFmtId="0" fontId="24" fillId="0" borderId="0" xfId="2" applyFont="1" applyFill="1" applyBorder="1" applyProtection="1">
      <protection hidden="1"/>
    </xf>
    <xf numFmtId="4" fontId="24" fillId="0" borderId="0" xfId="2" applyNumberFormat="1" applyFont="1" applyFill="1"/>
    <xf numFmtId="0" fontId="24" fillId="0" borderId="0" xfId="2" applyFont="1" applyFill="1"/>
    <xf numFmtId="0" fontId="16" fillId="0" borderId="0" xfId="3" applyFont="1" applyFill="1"/>
    <xf numFmtId="0" fontId="18" fillId="0" borderId="0" xfId="3" applyFont="1" applyFill="1" applyProtection="1">
      <protection hidden="1"/>
    </xf>
    <xf numFmtId="0" fontId="18" fillId="0" borderId="0" xfId="3" applyFont="1" applyFill="1"/>
    <xf numFmtId="164" fontId="25" fillId="0" borderId="6" xfId="2" applyNumberFormat="1" applyFont="1" applyFill="1" applyBorder="1" applyAlignment="1" applyProtection="1">
      <alignment wrapText="1"/>
      <protection hidden="1"/>
    </xf>
    <xf numFmtId="0" fontId="18" fillId="0" borderId="0" xfId="2" applyFont="1" applyFill="1" applyAlignment="1">
      <alignment wrapText="1"/>
    </xf>
    <xf numFmtId="167" fontId="25" fillId="0" borderId="6" xfId="2" applyNumberFormat="1" applyFont="1" applyFill="1" applyBorder="1" applyAlignment="1" applyProtection="1">
      <protection hidden="1"/>
    </xf>
    <xf numFmtId="167" fontId="12" fillId="0" borderId="1" xfId="2" applyNumberFormat="1" applyFont="1" applyFill="1" applyBorder="1" applyAlignment="1" applyProtection="1">
      <protection hidden="1"/>
    </xf>
    <xf numFmtId="167" fontId="13" fillId="0" borderId="2" xfId="2" applyNumberFormat="1" applyFont="1" applyFill="1" applyBorder="1" applyAlignment="1" applyProtection="1">
      <protection hidden="1"/>
    </xf>
    <xf numFmtId="164" fontId="13" fillId="0" borderId="12" xfId="4" applyNumberFormat="1" applyFont="1" applyFill="1" applyBorder="1" applyAlignment="1" applyProtection="1">
      <protection hidden="1"/>
    </xf>
    <xf numFmtId="167" fontId="13" fillId="0" borderId="5" xfId="4" applyNumberFormat="1" applyFont="1" applyFill="1" applyBorder="1" applyAlignment="1" applyProtection="1">
      <protection hidden="1"/>
    </xf>
    <xf numFmtId="167" fontId="12" fillId="0" borderId="2" xfId="2" applyNumberFormat="1" applyFont="1" applyFill="1" applyBorder="1" applyAlignment="1" applyProtection="1">
      <protection hidden="1"/>
    </xf>
    <xf numFmtId="167" fontId="13" fillId="0" borderId="6" xfId="2" applyNumberFormat="1" applyFont="1" applyFill="1" applyBorder="1" applyAlignment="1" applyProtection="1">
      <protection hidden="1"/>
    </xf>
    <xf numFmtId="167" fontId="13" fillId="0" borderId="1" xfId="2" applyNumberFormat="1" applyFont="1" applyFill="1" applyBorder="1" applyAlignment="1" applyProtection="1">
      <protection hidden="1"/>
    </xf>
    <xf numFmtId="0" fontId="13" fillId="0" borderId="2" xfId="1" applyNumberFormat="1" applyFont="1" applyFill="1" applyBorder="1" applyAlignment="1" applyProtection="1">
      <alignment horizontal="left" vertical="top" wrapText="1"/>
      <protection hidden="1"/>
    </xf>
    <xf numFmtId="49" fontId="13" fillId="0" borderId="0" xfId="2" applyNumberFormat="1" applyFont="1" applyFill="1" applyAlignment="1">
      <alignment vertical="justify" wrapText="1"/>
    </xf>
    <xf numFmtId="49" fontId="12" fillId="0" borderId="3" xfId="2" applyNumberFormat="1" applyFont="1" applyFill="1" applyBorder="1" applyAlignment="1" applyProtection="1">
      <alignment vertical="justify" wrapText="1"/>
      <protection hidden="1"/>
    </xf>
    <xf numFmtId="49" fontId="13" fillId="0" borderId="0" xfId="2" applyNumberFormat="1" applyFont="1" applyFill="1" applyBorder="1" applyAlignment="1">
      <alignment vertical="justify" wrapText="1"/>
    </xf>
    <xf numFmtId="0" fontId="18" fillId="0" borderId="0" xfId="3" applyFont="1" applyFill="1" applyAlignment="1" applyProtection="1">
      <protection hidden="1"/>
    </xf>
    <xf numFmtId="0" fontId="18" fillId="0" borderId="0" xfId="1" applyFont="1" applyFill="1" applyProtection="1">
      <protection hidden="1"/>
    </xf>
    <xf numFmtId="0" fontId="15" fillId="0" borderId="0" xfId="1" applyFill="1"/>
    <xf numFmtId="164" fontId="13" fillId="0" borderId="3" xfId="2" applyNumberFormat="1" applyFont="1" applyFill="1" applyBorder="1" applyAlignment="1" applyProtection="1">
      <alignment horizontal="left" vertical="top" wrapText="1"/>
      <protection hidden="1"/>
    </xf>
    <xf numFmtId="164" fontId="13" fillId="0" borderId="2" xfId="2" applyNumberFormat="1" applyFont="1" applyFill="1" applyBorder="1" applyAlignment="1" applyProtection="1">
      <alignment horizontal="left" vertical="top" wrapText="1"/>
      <protection hidden="1"/>
    </xf>
    <xf numFmtId="49" fontId="13" fillId="0" borderId="3" xfId="1" applyNumberFormat="1" applyFont="1" applyFill="1" applyBorder="1" applyAlignment="1" applyProtection="1">
      <alignment horizontal="left" vertical="top" wrapText="1"/>
      <protection hidden="1"/>
    </xf>
    <xf numFmtId="49" fontId="13" fillId="0" borderId="3" xfId="2" applyNumberFormat="1" applyFont="1" applyFill="1" applyBorder="1" applyAlignment="1" applyProtection="1">
      <alignment horizontal="left" vertical="top" wrapText="1"/>
      <protection hidden="1"/>
    </xf>
    <xf numFmtId="49" fontId="13" fillId="0" borderId="3" xfId="4" applyNumberFormat="1" applyFont="1" applyFill="1" applyBorder="1" applyAlignment="1" applyProtection="1">
      <alignment horizontal="left" vertical="top" wrapText="1"/>
      <protection hidden="1"/>
    </xf>
    <xf numFmtId="164" fontId="13" fillId="0" borderId="3" xfId="4" applyNumberFormat="1" applyFont="1" applyFill="1" applyBorder="1" applyAlignment="1" applyProtection="1">
      <alignment horizontal="left" vertical="top" wrapText="1"/>
      <protection hidden="1"/>
    </xf>
    <xf numFmtId="164" fontId="13" fillId="0" borderId="4" xfId="4" applyNumberFormat="1" applyFont="1" applyFill="1" applyBorder="1" applyAlignment="1" applyProtection="1">
      <alignment horizontal="left" vertical="top" wrapText="1"/>
      <protection hidden="1"/>
    </xf>
    <xf numFmtId="49" fontId="13" fillId="0" borderId="30" xfId="2" applyNumberFormat="1" applyFont="1" applyFill="1" applyBorder="1" applyAlignment="1" applyProtection="1">
      <alignment horizontal="left" vertical="top" wrapText="1"/>
      <protection hidden="1"/>
    </xf>
    <xf numFmtId="49" fontId="13" fillId="0" borderId="2" xfId="3" applyNumberFormat="1" applyFont="1" applyFill="1" applyBorder="1" applyAlignment="1" applyProtection="1">
      <alignment horizontal="left" vertical="top" wrapText="1"/>
      <protection hidden="1"/>
    </xf>
    <xf numFmtId="164" fontId="13" fillId="0" borderId="6" xfId="2" applyNumberFormat="1" applyFont="1" applyFill="1" applyBorder="1" applyAlignment="1" applyProtection="1">
      <alignment horizontal="left" vertical="top" wrapText="1"/>
      <protection hidden="1"/>
    </xf>
    <xf numFmtId="49" fontId="13" fillId="0" borderId="21" xfId="3" applyNumberFormat="1" applyFont="1" applyFill="1" applyBorder="1" applyAlignment="1" applyProtection="1">
      <alignment horizontal="left" vertical="top" wrapText="1"/>
      <protection hidden="1"/>
    </xf>
    <xf numFmtId="164" fontId="13" fillId="0" borderId="1" xfId="2" applyNumberFormat="1" applyFont="1" applyFill="1" applyBorder="1" applyAlignment="1" applyProtection="1">
      <alignment horizontal="left" vertical="top" wrapText="1"/>
      <protection hidden="1"/>
    </xf>
    <xf numFmtId="164" fontId="13" fillId="0" borderId="12" xfId="1" applyNumberFormat="1" applyFont="1" applyFill="1" applyBorder="1" applyAlignment="1" applyProtection="1">
      <alignment horizontal="left" vertical="top" wrapText="1"/>
      <protection hidden="1"/>
    </xf>
    <xf numFmtId="169" fontId="13" fillId="0" borderId="5" xfId="1" applyNumberFormat="1" applyFont="1" applyFill="1" applyBorder="1" applyAlignment="1" applyProtection="1">
      <alignment horizontal="left" vertical="top" wrapText="1"/>
      <protection hidden="1"/>
    </xf>
    <xf numFmtId="169" fontId="13" fillId="0" borderId="12" xfId="1" applyNumberFormat="1" applyFont="1" applyFill="1" applyBorder="1" applyAlignment="1" applyProtection="1">
      <alignment horizontal="left" vertical="top" wrapText="1"/>
      <protection hidden="1"/>
    </xf>
    <xf numFmtId="169" fontId="13" fillId="0" borderId="30" xfId="1" applyNumberFormat="1" applyFont="1" applyFill="1" applyBorder="1" applyAlignment="1" applyProtection="1">
      <alignment horizontal="left" vertical="top" wrapText="1"/>
      <protection hidden="1"/>
    </xf>
    <xf numFmtId="164" fontId="17" fillId="0" borderId="2" xfId="2" applyNumberFormat="1" applyFont="1" applyFill="1" applyBorder="1" applyAlignment="1" applyProtection="1">
      <alignment horizontal="left" vertical="top" wrapText="1"/>
      <protection hidden="1"/>
    </xf>
    <xf numFmtId="2" fontId="13" fillId="0" borderId="3" xfId="1" applyNumberFormat="1" applyFont="1" applyFill="1" applyBorder="1" applyAlignment="1" applyProtection="1">
      <alignment horizontal="left" vertical="top" wrapText="1"/>
      <protection hidden="1"/>
    </xf>
    <xf numFmtId="49" fontId="13" fillId="0" borderId="19" xfId="2" applyNumberFormat="1" applyFont="1" applyFill="1" applyBorder="1" applyAlignment="1" applyProtection="1">
      <alignment horizontal="left" vertical="top" wrapText="1"/>
      <protection hidden="1"/>
    </xf>
    <xf numFmtId="164" fontId="24" fillId="0" borderId="2" xfId="2" applyNumberFormat="1" applyFont="1" applyFill="1" applyBorder="1" applyAlignment="1" applyProtection="1">
      <alignment horizontal="left" vertical="top" wrapText="1"/>
      <protection hidden="1"/>
    </xf>
    <xf numFmtId="164" fontId="13" fillId="0" borderId="13" xfId="1" applyNumberFormat="1" applyFont="1" applyFill="1" applyBorder="1" applyAlignment="1" applyProtection="1">
      <alignment horizontal="left" vertical="top" wrapText="1"/>
      <protection hidden="1"/>
    </xf>
    <xf numFmtId="169" fontId="13" fillId="0" borderId="14" xfId="1" applyNumberFormat="1" applyFont="1" applyFill="1" applyBorder="1" applyAlignment="1" applyProtection="1">
      <alignment horizontal="left" vertical="top" wrapText="1"/>
      <protection hidden="1"/>
    </xf>
    <xf numFmtId="169" fontId="13" fillId="0" borderId="13" xfId="1" applyNumberFormat="1" applyFont="1" applyFill="1" applyBorder="1" applyAlignment="1" applyProtection="1">
      <alignment horizontal="left" vertical="top" wrapText="1"/>
      <protection hidden="1"/>
    </xf>
    <xf numFmtId="169" fontId="13" fillId="0" borderId="31" xfId="1" applyNumberFormat="1" applyFont="1" applyFill="1" applyBorder="1" applyAlignment="1" applyProtection="1">
      <alignment horizontal="left" vertical="top" wrapText="1"/>
      <protection hidden="1"/>
    </xf>
    <xf numFmtId="2" fontId="13" fillId="0" borderId="3" xfId="2" applyNumberFormat="1" applyFont="1" applyFill="1" applyBorder="1" applyAlignment="1" applyProtection="1">
      <alignment horizontal="left" vertical="top" wrapText="1"/>
      <protection hidden="1"/>
    </xf>
    <xf numFmtId="0" fontId="13" fillId="0" borderId="2" xfId="0" applyFont="1" applyFill="1" applyBorder="1" applyAlignment="1">
      <alignment horizontal="left" vertical="top" wrapText="1"/>
    </xf>
    <xf numFmtId="2" fontId="13" fillId="0" borderId="3" xfId="1" applyNumberFormat="1" applyFont="1" applyFill="1" applyBorder="1" applyAlignment="1" applyProtection="1">
      <alignment horizontal="left" vertical="top" wrapText="1" shrinkToFit="1"/>
      <protection hidden="1"/>
    </xf>
    <xf numFmtId="0" fontId="18" fillId="0" borderId="0" xfId="2" applyFont="1" applyFill="1" applyAlignment="1"/>
    <xf numFmtId="49" fontId="12" fillId="0" borderId="8" xfId="2" applyNumberFormat="1" applyFont="1" applyFill="1" applyBorder="1" applyAlignment="1" applyProtection="1">
      <alignment wrapText="1"/>
      <protection hidden="1"/>
    </xf>
    <xf numFmtId="0" fontId="6" fillId="0" borderId="27" xfId="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3" applyNumberFormat="1" applyFont="1" applyFill="1" applyBorder="1" applyAlignment="1" applyProtection="1">
      <alignment horizontal="right"/>
      <protection hidden="1"/>
    </xf>
    <xf numFmtId="0" fontId="6" fillId="0" borderId="27" xfId="3" applyNumberFormat="1" applyFont="1" applyFill="1" applyBorder="1" applyAlignment="1" applyProtection="1">
      <alignment horizontal="center" vertical="center"/>
      <protection hidden="1"/>
    </xf>
    <xf numFmtId="168" fontId="20" fillId="0" borderId="0" xfId="3" applyNumberFormat="1" applyFont="1" applyFill="1" applyBorder="1" applyAlignment="1" applyProtection="1">
      <protection hidden="1"/>
    </xf>
    <xf numFmtId="168" fontId="19" fillId="0" borderId="0" xfId="3" applyNumberFormat="1" applyFont="1" applyFill="1" applyBorder="1" applyAlignment="1" applyProtection="1">
      <protection hidden="1"/>
    </xf>
    <xf numFmtId="168" fontId="20" fillId="0" borderId="0" xfId="3" applyNumberFormat="1" applyFont="1" applyFill="1" applyBorder="1"/>
    <xf numFmtId="4" fontId="3" fillId="0" borderId="0" xfId="3" applyNumberFormat="1" applyFont="1" applyFill="1"/>
    <xf numFmtId="168" fontId="6" fillId="0" borderId="0" xfId="3" applyNumberFormat="1" applyFont="1" applyFill="1" applyBorder="1" applyAlignment="1" applyProtection="1">
      <protection hidden="1"/>
    </xf>
    <xf numFmtId="168" fontId="6" fillId="0" borderId="0" xfId="5" applyNumberFormat="1" applyFont="1" applyFill="1" applyBorder="1" applyAlignment="1" applyProtection="1">
      <protection hidden="1"/>
    </xf>
    <xf numFmtId="168" fontId="4" fillId="0" borderId="0" xfId="3" applyNumberFormat="1" applyFont="1" applyFill="1" applyBorder="1" applyAlignment="1" applyProtection="1">
      <protection hidden="1"/>
    </xf>
    <xf numFmtId="168" fontId="3" fillId="0" borderId="0" xfId="3" applyNumberFormat="1" applyFont="1" applyFill="1"/>
    <xf numFmtId="164" fontId="17" fillId="0" borderId="1" xfId="2" applyNumberFormat="1" applyFont="1" applyFill="1" applyBorder="1" applyAlignment="1" applyProtection="1">
      <alignment horizontal="left" vertical="top" wrapText="1"/>
      <protection hidden="1"/>
    </xf>
    <xf numFmtId="0" fontId="13" fillId="0" borderId="6" xfId="1" applyNumberFormat="1" applyFont="1" applyFill="1" applyBorder="1" applyAlignment="1" applyProtection="1">
      <alignment horizontal="left" vertical="top" wrapText="1"/>
      <protection hidden="1"/>
    </xf>
    <xf numFmtId="164" fontId="24" fillId="0" borderId="6" xfId="2" applyNumberFormat="1" applyFont="1" applyFill="1" applyBorder="1" applyAlignment="1" applyProtection="1">
      <alignment horizontal="left" vertical="top" wrapText="1"/>
      <protection hidden="1"/>
    </xf>
    <xf numFmtId="0" fontId="13" fillId="0" borderId="1" xfId="1" applyNumberFormat="1" applyFont="1" applyFill="1" applyBorder="1" applyAlignment="1" applyProtection="1">
      <alignment horizontal="left" vertical="top" wrapText="1"/>
      <protection hidden="1"/>
    </xf>
    <xf numFmtId="164" fontId="13" fillId="0" borderId="16" xfId="1" applyNumberFormat="1" applyFont="1" applyFill="1" applyBorder="1" applyAlignment="1" applyProtection="1">
      <alignment horizontal="left" vertical="top" wrapText="1"/>
      <protection hidden="1"/>
    </xf>
    <xf numFmtId="169" fontId="13" fillId="0" borderId="15" xfId="1" applyNumberFormat="1" applyFont="1" applyFill="1" applyBorder="1" applyAlignment="1" applyProtection="1">
      <alignment horizontal="left" vertical="top" wrapText="1"/>
      <protection hidden="1"/>
    </xf>
    <xf numFmtId="169" fontId="13" fillId="0" borderId="16" xfId="1" applyNumberFormat="1" applyFont="1" applyFill="1" applyBorder="1" applyAlignment="1" applyProtection="1">
      <alignment horizontal="left" vertical="top" wrapText="1"/>
      <protection hidden="1"/>
    </xf>
    <xf numFmtId="169" fontId="13" fillId="0" borderId="33" xfId="1" applyNumberFormat="1" applyFont="1" applyFill="1" applyBorder="1" applyAlignment="1" applyProtection="1">
      <alignment horizontal="left" vertical="top" wrapText="1"/>
      <protection hidden="1"/>
    </xf>
    <xf numFmtId="2" fontId="13" fillId="0" borderId="21" xfId="2" applyNumberFormat="1" applyFont="1" applyFill="1" applyBorder="1" applyAlignment="1" applyProtection="1">
      <alignment horizontal="left" vertical="top" wrapText="1"/>
      <protection hidden="1"/>
    </xf>
    <xf numFmtId="49" fontId="13" fillId="0" borderId="21" xfId="1" applyNumberFormat="1" applyFont="1" applyFill="1" applyBorder="1" applyAlignment="1" applyProtection="1">
      <alignment horizontal="left" vertical="top" wrapText="1"/>
      <protection hidden="1"/>
    </xf>
    <xf numFmtId="49" fontId="13" fillId="0" borderId="19" xfId="3" applyNumberFormat="1" applyFont="1" applyFill="1" applyBorder="1" applyAlignment="1" applyProtection="1">
      <alignment horizontal="left" vertical="top" wrapText="1"/>
      <protection hidden="1"/>
    </xf>
    <xf numFmtId="49" fontId="13" fillId="0" borderId="21" xfId="2" applyNumberFormat="1" applyFont="1" applyFill="1" applyBorder="1" applyAlignment="1" applyProtection="1">
      <alignment horizontal="left" vertical="top" wrapText="1"/>
      <protection hidden="1"/>
    </xf>
    <xf numFmtId="49" fontId="13" fillId="0" borderId="3" xfId="1" applyNumberFormat="1" applyFont="1" applyFill="1" applyBorder="1" applyAlignment="1" applyProtection="1">
      <alignment horizontal="left" wrapText="1"/>
      <protection hidden="1"/>
    </xf>
    <xf numFmtId="0" fontId="3" fillId="0" borderId="0" xfId="3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16" fillId="0" borderId="0" xfId="3" applyFont="1" applyFill="1" applyAlignment="1" applyProtection="1">
      <protection hidden="1"/>
    </xf>
    <xf numFmtId="164" fontId="12" fillId="0" borderId="2" xfId="1" applyNumberFormat="1" applyFont="1" applyFill="1" applyBorder="1" applyAlignment="1" applyProtection="1">
      <alignment horizontal="left" vertical="top" wrapText="1"/>
      <protection hidden="1"/>
    </xf>
    <xf numFmtId="169" fontId="12" fillId="0" borderId="2" xfId="1" applyNumberFormat="1" applyFont="1" applyFill="1" applyBorder="1" applyAlignment="1" applyProtection="1">
      <alignment horizontal="left" vertical="top" wrapText="1"/>
      <protection hidden="1"/>
    </xf>
    <xf numFmtId="49" fontId="13" fillId="0" borderId="2" xfId="2" applyNumberFormat="1" applyFont="1" applyFill="1" applyBorder="1" applyAlignment="1" applyProtection="1">
      <alignment horizontal="left" vertical="top" wrapText="1"/>
      <protection hidden="1"/>
    </xf>
    <xf numFmtId="164" fontId="17" fillId="0" borderId="7" xfId="2" applyNumberFormat="1" applyFont="1" applyFill="1" applyBorder="1" applyAlignment="1" applyProtection="1">
      <alignment horizontal="left" vertical="top" wrapText="1"/>
      <protection hidden="1"/>
    </xf>
    <xf numFmtId="164" fontId="12" fillId="0" borderId="7" xfId="2" applyNumberFormat="1" applyFont="1" applyFill="1" applyBorder="1" applyAlignment="1" applyProtection="1">
      <protection hidden="1"/>
    </xf>
    <xf numFmtId="167" fontId="12" fillId="0" borderId="7" xfId="2" applyNumberFormat="1" applyFont="1" applyFill="1" applyBorder="1" applyAlignment="1" applyProtection="1">
      <protection hidden="1"/>
    </xf>
    <xf numFmtId="49" fontId="12" fillId="0" borderId="39" xfId="2" applyNumberFormat="1" applyFont="1" applyFill="1" applyBorder="1" applyAlignment="1" applyProtection="1">
      <alignment horizontal="left" vertical="top" wrapText="1"/>
      <protection hidden="1"/>
    </xf>
    <xf numFmtId="164" fontId="12" fillId="0" borderId="37" xfId="1" applyNumberFormat="1" applyFont="1" applyFill="1" applyBorder="1" applyAlignment="1" applyProtection="1">
      <alignment horizontal="left" vertical="top" wrapText="1"/>
      <protection hidden="1"/>
    </xf>
    <xf numFmtId="169" fontId="12" fillId="0" borderId="25" xfId="1" applyNumberFormat="1" applyFont="1" applyFill="1" applyBorder="1" applyAlignment="1" applyProtection="1">
      <alignment horizontal="left" vertical="top" wrapText="1"/>
      <protection hidden="1"/>
    </xf>
    <xf numFmtId="169" fontId="12" fillId="0" borderId="37" xfId="1" applyNumberFormat="1" applyFont="1" applyFill="1" applyBorder="1" applyAlignment="1" applyProtection="1">
      <alignment horizontal="left" vertical="top" wrapText="1"/>
      <protection hidden="1"/>
    </xf>
    <xf numFmtId="169" fontId="12" fillId="0" borderId="23" xfId="1" applyNumberFormat="1" applyFont="1" applyFill="1" applyBorder="1" applyAlignment="1" applyProtection="1">
      <alignment horizontal="left" vertical="top" wrapText="1"/>
      <protection hidden="1"/>
    </xf>
    <xf numFmtId="164" fontId="12" fillId="0" borderId="24" xfId="2" applyNumberFormat="1" applyFont="1" applyFill="1" applyBorder="1" applyAlignment="1" applyProtection="1">
      <protection hidden="1"/>
    </xf>
    <xf numFmtId="167" fontId="12" fillId="0" borderId="24" xfId="2" applyNumberFormat="1" applyFont="1" applyFill="1" applyBorder="1" applyAlignment="1" applyProtection="1">
      <protection hidden="1"/>
    </xf>
    <xf numFmtId="164" fontId="12" fillId="0" borderId="7" xfId="2" applyNumberFormat="1" applyFont="1" applyFill="1" applyBorder="1" applyAlignment="1" applyProtection="1">
      <alignment horizontal="left" vertical="top" wrapText="1"/>
      <protection hidden="1"/>
    </xf>
    <xf numFmtId="49" fontId="18" fillId="0" borderId="0" xfId="2" applyNumberFormat="1" applyFont="1" applyFill="1" applyAlignment="1">
      <alignment wrapText="1"/>
    </xf>
    <xf numFmtId="4" fontId="18" fillId="0" borderId="0" xfId="2" applyNumberFormat="1" applyFont="1" applyFill="1"/>
    <xf numFmtId="0" fontId="25" fillId="0" borderId="0" xfId="2" applyNumberFormat="1" applyFont="1" applyFill="1" applyAlignment="1" applyProtection="1">
      <protection hidden="1"/>
    </xf>
    <xf numFmtId="49" fontId="25" fillId="0" borderId="0" xfId="2" applyNumberFormat="1" applyFont="1" applyFill="1" applyAlignment="1" applyProtection="1">
      <alignment wrapText="1"/>
      <protection hidden="1"/>
    </xf>
    <xf numFmtId="0" fontId="18" fillId="0" borderId="11" xfId="2" applyFont="1" applyFill="1" applyBorder="1" applyAlignment="1">
      <alignment horizontal="center"/>
    </xf>
    <xf numFmtId="0" fontId="26" fillId="0" borderId="0" xfId="2" applyFont="1" applyFill="1" applyProtection="1">
      <protection hidden="1"/>
    </xf>
    <xf numFmtId="0" fontId="18" fillId="0" borderId="15" xfId="2" applyFont="1" applyFill="1" applyBorder="1" applyAlignment="1">
      <alignment horizontal="center"/>
    </xf>
    <xf numFmtId="0" fontId="26" fillId="0" borderId="15" xfId="2" applyFont="1" applyFill="1" applyBorder="1" applyAlignment="1">
      <alignment horizontal="center" wrapText="1"/>
    </xf>
    <xf numFmtId="49" fontId="25" fillId="0" borderId="18" xfId="2" applyNumberFormat="1" applyFont="1" applyFill="1" applyBorder="1" applyAlignment="1" applyProtection="1">
      <alignment horizontal="centerContinuous" wrapText="1"/>
      <protection hidden="1"/>
    </xf>
    <xf numFmtId="0" fontId="25" fillId="0" borderId="0" xfId="2" applyNumberFormat="1" applyFont="1" applyFill="1" applyBorder="1" applyAlignment="1" applyProtection="1">
      <alignment horizontal="centerContinuous"/>
      <protection hidden="1"/>
    </xf>
    <xf numFmtId="0" fontId="25" fillId="0" borderId="11" xfId="2" applyNumberFormat="1" applyFont="1" applyFill="1" applyBorder="1" applyAlignment="1" applyProtection="1">
      <alignment horizontal="center"/>
      <protection hidden="1"/>
    </xf>
    <xf numFmtId="0" fontId="27" fillId="0" borderId="11" xfId="2" applyNumberFormat="1" applyFont="1" applyFill="1" applyBorder="1" applyAlignment="1" applyProtection="1">
      <alignment horizontal="center"/>
      <protection hidden="1"/>
    </xf>
    <xf numFmtId="0" fontId="25" fillId="0" borderId="0" xfId="2" applyFont="1" applyFill="1" applyBorder="1" applyProtection="1">
      <protection hidden="1"/>
    </xf>
    <xf numFmtId="49" fontId="25" fillId="0" borderId="3" xfId="2" applyNumberFormat="1" applyFont="1" applyFill="1" applyBorder="1" applyAlignment="1" applyProtection="1">
      <alignment wrapText="1"/>
      <protection hidden="1"/>
    </xf>
    <xf numFmtId="164" fontId="25" fillId="0" borderId="2" xfId="2" applyNumberFormat="1" applyFont="1" applyFill="1" applyBorder="1" applyAlignment="1" applyProtection="1">
      <alignment wrapText="1"/>
      <protection hidden="1"/>
    </xf>
    <xf numFmtId="0" fontId="26" fillId="0" borderId="0" xfId="2" applyFont="1" applyFill="1" applyBorder="1" applyProtection="1">
      <protection hidden="1"/>
    </xf>
    <xf numFmtId="49" fontId="26" fillId="0" borderId="3" xfId="2" applyNumberFormat="1" applyFont="1" applyFill="1" applyBorder="1" applyAlignment="1" applyProtection="1">
      <alignment wrapText="1"/>
      <protection hidden="1"/>
    </xf>
    <xf numFmtId="164" fontId="26" fillId="0" borderId="2" xfId="2" applyNumberFormat="1" applyFont="1" applyFill="1" applyBorder="1" applyAlignment="1" applyProtection="1">
      <alignment wrapText="1"/>
      <protection hidden="1"/>
    </xf>
    <xf numFmtId="49" fontId="25" fillId="0" borderId="19" xfId="2" applyNumberFormat="1" applyFont="1" applyFill="1" applyBorder="1" applyAlignment="1" applyProtection="1">
      <alignment wrapText="1"/>
      <protection hidden="1"/>
    </xf>
    <xf numFmtId="49" fontId="12" fillId="0" borderId="20" xfId="2" applyNumberFormat="1" applyFont="1" applyFill="1" applyBorder="1" applyAlignment="1" applyProtection="1">
      <alignment wrapText="1"/>
      <protection hidden="1"/>
    </xf>
    <xf numFmtId="49" fontId="12" fillId="0" borderId="21" xfId="2" applyNumberFormat="1" applyFont="1" applyFill="1" applyBorder="1" applyAlignment="1" applyProtection="1">
      <alignment wrapText="1"/>
      <protection hidden="1"/>
    </xf>
    <xf numFmtId="49" fontId="13" fillId="0" borderId="2" xfId="2" applyNumberFormat="1" applyFont="1" applyFill="1" applyBorder="1" applyAlignment="1" applyProtection="1">
      <alignment wrapText="1"/>
      <protection hidden="1"/>
    </xf>
    <xf numFmtId="49" fontId="13" fillId="0" borderId="2" xfId="4" applyNumberFormat="1" applyFont="1" applyFill="1" applyBorder="1" applyAlignment="1" applyProtection="1">
      <alignment wrapText="1"/>
      <protection hidden="1"/>
    </xf>
    <xf numFmtId="0" fontId="13" fillId="0" borderId="2" xfId="0" applyFont="1" applyFill="1" applyBorder="1" applyAlignment="1">
      <alignment horizontal="left" vertical="center" wrapText="1"/>
    </xf>
    <xf numFmtId="2" fontId="13" fillId="0" borderId="2" xfId="2" applyNumberFormat="1" applyFont="1" applyFill="1" applyBorder="1" applyAlignment="1" applyProtection="1">
      <alignment wrapText="1"/>
      <protection hidden="1"/>
    </xf>
    <xf numFmtId="49" fontId="13" fillId="0" borderId="6" xfId="2" applyNumberFormat="1" applyFont="1" applyFill="1" applyBorder="1" applyAlignment="1" applyProtection="1">
      <alignment wrapText="1"/>
      <protection hidden="1"/>
    </xf>
    <xf numFmtId="49" fontId="13" fillId="0" borderId="2" xfId="3" applyNumberFormat="1" applyFont="1" applyFill="1" applyBorder="1" applyAlignment="1" applyProtection="1">
      <alignment wrapText="1"/>
      <protection hidden="1"/>
    </xf>
    <xf numFmtId="49" fontId="12" fillId="0" borderId="1" xfId="2" applyNumberFormat="1" applyFont="1" applyFill="1" applyBorder="1" applyAlignment="1" applyProtection="1">
      <alignment wrapText="1"/>
      <protection hidden="1"/>
    </xf>
    <xf numFmtId="49" fontId="12" fillId="0" borderId="34" xfId="2" applyNumberFormat="1" applyFont="1" applyFill="1" applyBorder="1" applyAlignment="1" applyProtection="1">
      <alignment wrapText="1"/>
      <protection hidden="1"/>
    </xf>
    <xf numFmtId="49" fontId="12" fillId="0" borderId="2" xfId="1" applyNumberFormat="1" applyFont="1" applyFill="1" applyBorder="1" applyAlignment="1" applyProtection="1">
      <alignment wrapText="1"/>
      <protection hidden="1"/>
    </xf>
    <xf numFmtId="0" fontId="13" fillId="0" borderId="1" xfId="1" applyNumberFormat="1" applyFont="1" applyFill="1" applyBorder="1" applyAlignment="1" applyProtection="1">
      <alignment horizontal="left" wrapText="1"/>
      <protection hidden="1"/>
    </xf>
    <xf numFmtId="49" fontId="13" fillId="0" borderId="2" xfId="2" applyNumberFormat="1" applyFont="1" applyFill="1" applyBorder="1" applyAlignment="1" applyProtection="1">
      <alignment horizontal="left" vertical="distributed" wrapText="1" readingOrder="1"/>
      <protection hidden="1"/>
    </xf>
    <xf numFmtId="2" fontId="13" fillId="0" borderId="2" xfId="1" applyNumberFormat="1" applyFont="1" applyFill="1" applyBorder="1" applyAlignment="1" applyProtection="1">
      <alignment wrapText="1"/>
      <protection hidden="1"/>
    </xf>
    <xf numFmtId="49" fontId="12" fillId="0" borderId="1" xfId="3" applyNumberFormat="1" applyFont="1" applyFill="1" applyBorder="1" applyAlignment="1" applyProtection="1">
      <alignment wrapText="1"/>
      <protection hidden="1"/>
    </xf>
    <xf numFmtId="2" fontId="13" fillId="0" borderId="2" xfId="3" applyNumberFormat="1" applyFont="1" applyFill="1" applyBorder="1" applyAlignment="1" applyProtection="1">
      <alignment wrapText="1"/>
      <protection hidden="1"/>
    </xf>
    <xf numFmtId="49" fontId="12" fillId="0" borderId="2" xfId="3" applyNumberFormat="1" applyFont="1" applyFill="1" applyBorder="1" applyAlignment="1" applyProtection="1">
      <alignment wrapText="1"/>
      <protection hidden="1"/>
    </xf>
    <xf numFmtId="0" fontId="2" fillId="0" borderId="0" xfId="2" applyFont="1" applyFill="1" applyBorder="1" applyProtection="1">
      <protection hidden="1"/>
    </xf>
    <xf numFmtId="0" fontId="1" fillId="0" borderId="0" xfId="2" applyFill="1"/>
    <xf numFmtId="49" fontId="12" fillId="0" borderId="20" xfId="3" applyNumberFormat="1" applyFont="1" applyFill="1" applyBorder="1" applyAlignment="1" applyProtection="1">
      <alignment wrapText="1"/>
      <protection hidden="1"/>
    </xf>
    <xf numFmtId="49" fontId="12" fillId="0" borderId="34" xfId="3" applyNumberFormat="1" applyFont="1" applyFill="1" applyBorder="1" applyAlignment="1" applyProtection="1">
      <alignment wrapText="1"/>
      <protection hidden="1"/>
    </xf>
    <xf numFmtId="0" fontId="12" fillId="0" borderId="0" xfId="2" applyFont="1" applyFill="1" applyProtection="1">
      <protection hidden="1"/>
    </xf>
    <xf numFmtId="0" fontId="13" fillId="0" borderId="0" xfId="2" applyFont="1" applyFill="1" applyAlignment="1">
      <alignment wrapText="1"/>
    </xf>
    <xf numFmtId="49" fontId="18" fillId="0" borderId="0" xfId="2" applyNumberFormat="1" applyFont="1" applyFill="1" applyBorder="1" applyAlignment="1">
      <alignment wrapText="1"/>
    </xf>
    <xf numFmtId="49" fontId="12" fillId="0" borderId="0" xfId="2" applyNumberFormat="1" applyFont="1" applyFill="1" applyAlignment="1" applyProtection="1">
      <alignment vertical="justify" wrapText="1"/>
      <protection hidden="1"/>
    </xf>
    <xf numFmtId="0" fontId="25" fillId="0" borderId="37" xfId="2" applyNumberFormat="1" applyFont="1" applyFill="1" applyBorder="1" applyAlignment="1" applyProtection="1">
      <alignment horizontal="centerContinuous"/>
      <protection hidden="1"/>
    </xf>
    <xf numFmtId="0" fontId="25" fillId="0" borderId="22" xfId="2" applyNumberFormat="1" applyFont="1" applyFill="1" applyBorder="1" applyAlignment="1" applyProtection="1">
      <alignment horizontal="centerContinuous"/>
      <protection hidden="1"/>
    </xf>
    <xf numFmtId="0" fontId="25" fillId="0" borderId="23" xfId="2" applyNumberFormat="1" applyFont="1" applyFill="1" applyBorder="1" applyAlignment="1" applyProtection="1">
      <protection hidden="1"/>
    </xf>
    <xf numFmtId="0" fontId="25" fillId="0" borderId="24" xfId="2" applyNumberFormat="1" applyFont="1" applyFill="1" applyBorder="1" applyAlignment="1" applyProtection="1">
      <protection hidden="1"/>
    </xf>
    <xf numFmtId="0" fontId="25" fillId="0" borderId="25" xfId="2" applyNumberFormat="1" applyFont="1" applyFill="1" applyBorder="1" applyAlignment="1" applyProtection="1">
      <protection hidden="1"/>
    </xf>
    <xf numFmtId="0" fontId="25" fillId="0" borderId="26" xfId="2" applyNumberFormat="1" applyFont="1" applyFill="1" applyBorder="1" applyAlignment="1" applyProtection="1">
      <protection hidden="1"/>
    </xf>
    <xf numFmtId="0" fontId="25" fillId="0" borderId="27" xfId="2" applyNumberFormat="1" applyFont="1" applyFill="1" applyBorder="1" applyAlignment="1" applyProtection="1">
      <protection hidden="1"/>
    </xf>
    <xf numFmtId="0" fontId="25" fillId="0" borderId="11" xfId="2" applyNumberFormat="1" applyFont="1" applyFill="1" applyBorder="1" applyAlignment="1" applyProtection="1">
      <protection hidden="1"/>
    </xf>
    <xf numFmtId="0" fontId="25" fillId="0" borderId="38" xfId="2" applyNumberFormat="1" applyFont="1" applyFill="1" applyBorder="1" applyAlignment="1" applyProtection="1">
      <alignment horizontal="centerContinuous" vertical="top"/>
      <protection hidden="1"/>
    </xf>
    <xf numFmtId="0" fontId="25" fillId="0" borderId="38" xfId="2" applyNumberFormat="1" applyFont="1" applyFill="1" applyBorder="1" applyAlignment="1" applyProtection="1">
      <alignment horizontal="center" wrapText="1"/>
      <protection hidden="1"/>
    </xf>
    <xf numFmtId="0" fontId="25" fillId="0" borderId="36" xfId="2" applyNumberFormat="1" applyFont="1" applyFill="1" applyBorder="1" applyAlignment="1" applyProtection="1">
      <alignment horizontal="center" vertical="top"/>
      <protection hidden="1"/>
    </xf>
    <xf numFmtId="49" fontId="12" fillId="0" borderId="18" xfId="2" applyNumberFormat="1" applyFont="1" applyFill="1" applyBorder="1" applyAlignment="1" applyProtection="1">
      <alignment horizontal="centerContinuous" vertical="justify" wrapText="1"/>
      <protection hidden="1"/>
    </xf>
    <xf numFmtId="164" fontId="25" fillId="0" borderId="2" xfId="2" applyNumberFormat="1" applyFont="1" applyFill="1" applyBorder="1" applyAlignment="1" applyProtection="1">
      <protection hidden="1"/>
    </xf>
    <xf numFmtId="167" fontId="25" fillId="0" borderId="2" xfId="2" applyNumberFormat="1" applyFont="1" applyFill="1" applyBorder="1" applyAlignment="1" applyProtection="1">
      <protection hidden="1"/>
    </xf>
    <xf numFmtId="49" fontId="13" fillId="0" borderId="3" xfId="2" applyNumberFormat="1" applyFont="1" applyFill="1" applyBorder="1" applyAlignment="1" applyProtection="1">
      <alignment vertical="justify" wrapText="1"/>
      <protection hidden="1"/>
    </xf>
    <xf numFmtId="164" fontId="26" fillId="0" borderId="2" xfId="2" applyNumberFormat="1" applyFont="1" applyFill="1" applyBorder="1" applyAlignment="1" applyProtection="1">
      <protection hidden="1"/>
    </xf>
    <xf numFmtId="167" fontId="26" fillId="0" borderId="2" xfId="2" applyNumberFormat="1" applyFont="1" applyFill="1" applyBorder="1" applyAlignment="1" applyProtection="1">
      <protection hidden="1"/>
    </xf>
    <xf numFmtId="49" fontId="12" fillId="0" borderId="19" xfId="2" applyNumberFormat="1" applyFont="1" applyFill="1" applyBorder="1" applyAlignment="1" applyProtection="1">
      <alignment vertical="justify" wrapText="1"/>
      <protection hidden="1"/>
    </xf>
    <xf numFmtId="49" fontId="12" fillId="0" borderId="20" xfId="1" applyNumberFormat="1" applyFont="1" applyFill="1" applyBorder="1" applyAlignment="1" applyProtection="1">
      <alignment horizontal="left" vertical="top" wrapText="1"/>
      <protection hidden="1"/>
    </xf>
    <xf numFmtId="49" fontId="12" fillId="0" borderId="20" xfId="2" applyNumberFormat="1" applyFont="1" applyFill="1" applyBorder="1" applyAlignment="1" applyProtection="1">
      <alignment horizontal="left" vertical="top" wrapText="1"/>
      <protection hidden="1"/>
    </xf>
    <xf numFmtId="49" fontId="12" fillId="0" borderId="20" xfId="3" applyNumberFormat="1" applyFont="1" applyFill="1" applyBorder="1" applyAlignment="1" applyProtection="1">
      <alignment horizontal="left" vertical="top" wrapText="1"/>
      <protection hidden="1"/>
    </xf>
    <xf numFmtId="164" fontId="12" fillId="0" borderId="1" xfId="2" applyNumberFormat="1" applyFont="1" applyFill="1" applyBorder="1" applyAlignment="1" applyProtection="1">
      <alignment horizontal="left" vertical="top" wrapText="1"/>
      <protection hidden="1"/>
    </xf>
    <xf numFmtId="4" fontId="1" fillId="0" borderId="0" xfId="2" applyNumberFormat="1" applyFill="1"/>
    <xf numFmtId="0" fontId="12" fillId="0" borderId="20" xfId="1" applyNumberFormat="1" applyFont="1" applyFill="1" applyBorder="1" applyAlignment="1" applyProtection="1">
      <alignment horizontal="left" vertical="top" wrapText="1"/>
      <protection hidden="1"/>
    </xf>
    <xf numFmtId="164" fontId="12" fillId="0" borderId="9" xfId="1" applyNumberFormat="1" applyFont="1" applyFill="1" applyBorder="1" applyAlignment="1" applyProtection="1">
      <alignment horizontal="left" vertical="top" wrapText="1"/>
      <protection hidden="1"/>
    </xf>
    <xf numFmtId="169" fontId="12" fillId="0" borderId="17" xfId="1" applyNumberFormat="1" applyFont="1" applyFill="1" applyBorder="1" applyAlignment="1" applyProtection="1">
      <alignment horizontal="left" vertical="top" wrapText="1"/>
      <protection hidden="1"/>
    </xf>
    <xf numFmtId="169" fontId="12" fillId="0" borderId="9" xfId="1" applyNumberFormat="1" applyFont="1" applyFill="1" applyBorder="1" applyAlignment="1" applyProtection="1">
      <alignment horizontal="left" vertical="top" wrapText="1"/>
      <protection hidden="1"/>
    </xf>
    <xf numFmtId="169" fontId="12" fillId="0" borderId="10" xfId="1" applyNumberFormat="1" applyFont="1" applyFill="1" applyBorder="1" applyAlignment="1" applyProtection="1">
      <alignment horizontal="left" vertical="top" wrapText="1"/>
      <protection hidden="1"/>
    </xf>
    <xf numFmtId="2" fontId="12" fillId="0" borderId="20" xfId="2" applyNumberFormat="1" applyFont="1" applyFill="1" applyBorder="1" applyAlignment="1" applyProtection="1">
      <alignment horizontal="left" vertical="top" wrapText="1"/>
      <protection hidden="1"/>
    </xf>
    <xf numFmtId="49" fontId="12" fillId="0" borderId="2" xfId="3" applyNumberFormat="1" applyFont="1" applyFill="1" applyBorder="1" applyAlignment="1" applyProtection="1">
      <alignment horizontal="left" vertical="top" wrapText="1"/>
      <protection hidden="1"/>
    </xf>
    <xf numFmtId="165" fontId="12" fillId="0" borderId="2" xfId="3" applyNumberFormat="1" applyFont="1" applyFill="1" applyBorder="1" applyAlignment="1" applyProtection="1">
      <alignment horizontal="left" vertical="top" wrapText="1"/>
      <protection hidden="1"/>
    </xf>
    <xf numFmtId="0" fontId="13" fillId="0" borderId="0" xfId="2" applyFont="1" applyFill="1" applyAlignment="1">
      <alignment horizontal="left" vertical="top" wrapText="1"/>
    </xf>
    <xf numFmtId="165" fontId="13" fillId="0" borderId="2" xfId="3" applyNumberFormat="1" applyFont="1" applyFill="1" applyBorder="1" applyAlignment="1" applyProtection="1">
      <alignment horizontal="left" vertical="top" wrapText="1"/>
      <protection hidden="1"/>
    </xf>
    <xf numFmtId="49" fontId="13" fillId="0" borderId="0" xfId="3" applyNumberFormat="1" applyFont="1" applyFill="1" applyBorder="1" applyAlignment="1" applyProtection="1">
      <alignment horizontal="left" vertical="top" wrapText="1"/>
      <protection hidden="1"/>
    </xf>
    <xf numFmtId="49" fontId="24" fillId="0" borderId="0" xfId="3" applyNumberFormat="1" applyFont="1" applyFill="1" applyBorder="1" applyAlignment="1" applyProtection="1">
      <alignment horizontal="left" vertical="top" wrapText="1"/>
      <protection hidden="1"/>
    </xf>
    <xf numFmtId="49" fontId="24" fillId="0" borderId="0" xfId="3" applyNumberFormat="1" applyFont="1" applyFill="1" applyBorder="1" applyAlignment="1" applyProtection="1">
      <alignment vertical="justify" wrapText="1"/>
      <protection hidden="1"/>
    </xf>
    <xf numFmtId="0" fontId="12" fillId="0" borderId="41" xfId="2" applyNumberFormat="1" applyFont="1" applyFill="1" applyBorder="1" applyAlignment="1" applyProtection="1">
      <alignment horizontal="left" vertical="top" wrapText="1"/>
      <protection hidden="1"/>
    </xf>
    <xf numFmtId="0" fontId="12" fillId="0" borderId="38" xfId="2" applyNumberFormat="1" applyFont="1" applyFill="1" applyBorder="1" applyAlignment="1" applyProtection="1">
      <alignment horizontal="left" vertical="top" wrapText="1"/>
      <protection hidden="1"/>
    </xf>
    <xf numFmtId="0" fontId="12" fillId="0" borderId="46" xfId="2" applyNumberFormat="1" applyFont="1" applyFill="1" applyBorder="1" applyAlignment="1" applyProtection="1">
      <protection hidden="1"/>
    </xf>
    <xf numFmtId="40" fontId="12" fillId="0" borderId="35" xfId="2" applyNumberFormat="1" applyFont="1" applyFill="1" applyBorder="1" applyAlignment="1" applyProtection="1">
      <protection hidden="1"/>
    </xf>
    <xf numFmtId="40" fontId="12" fillId="0" borderId="36" xfId="2" applyNumberFormat="1" applyFont="1" applyFill="1" applyBorder="1" applyAlignment="1" applyProtection="1">
      <protection hidden="1"/>
    </xf>
    <xf numFmtId="40" fontId="1" fillId="0" borderId="0" xfId="6" applyNumberFormat="1" applyFont="1" applyFill="1" applyAlignment="1" applyProtection="1">
      <protection hidden="1"/>
    </xf>
    <xf numFmtId="4" fontId="10" fillId="0" borderId="0" xfId="6" applyNumberFormat="1" applyFont="1" applyFill="1" applyAlignment="1" applyProtection="1">
      <protection hidden="1"/>
    </xf>
    <xf numFmtId="4" fontId="1" fillId="0" borderId="0" xfId="6" applyNumberFormat="1" applyFont="1" applyFill="1" applyAlignment="1" applyProtection="1">
      <protection hidden="1"/>
    </xf>
    <xf numFmtId="4" fontId="3" fillId="0" borderId="0" xfId="3" applyNumberFormat="1" applyFont="1" applyFill="1" applyBorder="1"/>
    <xf numFmtId="4" fontId="1" fillId="0" borderId="0" xfId="6" applyNumberFormat="1" applyFill="1" applyProtection="1">
      <protection hidden="1"/>
    </xf>
    <xf numFmtId="40" fontId="13" fillId="0" borderId="0" xfId="2" applyNumberFormat="1" applyFont="1" applyFill="1"/>
    <xf numFmtId="164" fontId="13" fillId="0" borderId="27" xfId="2" applyNumberFormat="1" applyFont="1" applyFill="1" applyBorder="1" applyAlignment="1" applyProtection="1">
      <alignment horizontal="left" vertical="top" wrapText="1"/>
      <protection hidden="1"/>
    </xf>
    <xf numFmtId="164" fontId="13" fillId="0" borderId="27" xfId="2" applyNumberFormat="1" applyFont="1" applyFill="1" applyBorder="1" applyAlignment="1" applyProtection="1">
      <protection hidden="1"/>
    </xf>
    <xf numFmtId="167" fontId="13" fillId="0" borderId="27" xfId="2" applyNumberFormat="1" applyFont="1" applyFill="1" applyBorder="1" applyAlignment="1" applyProtection="1">
      <protection hidden="1"/>
    </xf>
    <xf numFmtId="0" fontId="26" fillId="0" borderId="2" xfId="0" applyFont="1" applyFill="1" applyBorder="1" applyAlignment="1">
      <alignment vertical="center" wrapText="1"/>
    </xf>
    <xf numFmtId="4" fontId="20" fillId="0" borderId="0" xfId="3" applyNumberFormat="1" applyFont="1" applyFill="1"/>
    <xf numFmtId="4" fontId="15" fillId="0" borderId="0" xfId="1" applyNumberFormat="1" applyFill="1"/>
    <xf numFmtId="4" fontId="27" fillId="0" borderId="0" xfId="2" applyNumberFormat="1" applyFont="1" applyFill="1"/>
    <xf numFmtId="49" fontId="13" fillId="0" borderId="6" xfId="1" applyNumberFormat="1" applyFont="1" applyFill="1" applyBorder="1" applyAlignment="1" applyProtection="1">
      <alignment wrapText="1"/>
      <protection hidden="1"/>
    </xf>
    <xf numFmtId="49" fontId="13" fillId="0" borderId="2" xfId="2" applyNumberFormat="1" applyFont="1" applyFill="1" applyBorder="1" applyAlignment="1" applyProtection="1">
      <alignment vertical="top" wrapText="1"/>
      <protection hidden="1"/>
    </xf>
    <xf numFmtId="0" fontId="20" fillId="0" borderId="6" xfId="3" applyNumberFormat="1" applyFont="1" applyFill="1" applyBorder="1" applyAlignment="1" applyProtection="1">
      <alignment wrapText="1"/>
      <protection hidden="1"/>
    </xf>
    <xf numFmtId="0" fontId="12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20" fillId="0" borderId="2" xfId="3" applyNumberFormat="1" applyFont="1" applyFill="1" applyBorder="1" applyAlignment="1" applyProtection="1">
      <alignment wrapText="1"/>
      <protection hidden="1"/>
    </xf>
    <xf numFmtId="0" fontId="22" fillId="0" borderId="2" xfId="3" applyNumberFormat="1" applyFont="1" applyFill="1" applyBorder="1" applyAlignment="1" applyProtection="1">
      <alignment wrapText="1"/>
      <protection hidden="1"/>
    </xf>
    <xf numFmtId="0" fontId="23" fillId="0" borderId="2" xfId="3" applyNumberFormat="1" applyFont="1" applyFill="1" applyBorder="1" applyAlignment="1" applyProtection="1">
      <alignment wrapText="1"/>
      <protection hidden="1"/>
    </xf>
    <xf numFmtId="0" fontId="21" fillId="0" borderId="2" xfId="3" applyNumberFormat="1" applyFont="1" applyFill="1" applyBorder="1" applyAlignment="1" applyProtection="1">
      <alignment wrapText="1"/>
      <protection hidden="1"/>
    </xf>
    <xf numFmtId="2" fontId="13" fillId="0" borderId="2" xfId="2" applyNumberFormat="1" applyFont="1" applyFill="1" applyBorder="1" applyAlignment="1" applyProtection="1">
      <alignment horizontal="left" vertical="distributed" wrapText="1"/>
      <protection hidden="1"/>
    </xf>
    <xf numFmtId="2" fontId="13" fillId="0" borderId="2" xfId="2" applyNumberFormat="1" applyFont="1" applyFill="1" applyBorder="1" applyAlignment="1" applyProtection="1">
      <alignment horizontal="left" vertical="center" wrapText="1"/>
      <protection hidden="1"/>
    </xf>
    <xf numFmtId="49" fontId="13" fillId="0" borderId="2" xfId="1" applyNumberFormat="1" applyFont="1" applyFill="1" applyBorder="1" applyAlignment="1" applyProtection="1">
      <alignment wrapText="1"/>
      <protection hidden="1"/>
    </xf>
    <xf numFmtId="49" fontId="12" fillId="0" borderId="2" xfId="2" applyNumberFormat="1" applyFont="1" applyFill="1" applyBorder="1" applyAlignment="1" applyProtection="1">
      <alignment wrapText="1"/>
      <protection hidden="1"/>
    </xf>
    <xf numFmtId="0" fontId="19" fillId="0" borderId="2" xfId="3" applyNumberFormat="1" applyFont="1" applyFill="1" applyBorder="1" applyAlignment="1" applyProtection="1">
      <alignment wrapText="1"/>
      <protection hidden="1"/>
    </xf>
    <xf numFmtId="49" fontId="13" fillId="0" borderId="2" xfId="7" applyNumberFormat="1" applyFont="1" applyFill="1" applyBorder="1" applyAlignment="1" applyProtection="1">
      <alignment wrapText="1"/>
      <protection hidden="1"/>
    </xf>
    <xf numFmtId="49" fontId="12" fillId="0" borderId="20" xfId="7" applyNumberFormat="1" applyFont="1" applyFill="1" applyBorder="1" applyAlignment="1" applyProtection="1">
      <alignment horizontal="left" vertical="top" wrapText="1"/>
      <protection hidden="1"/>
    </xf>
    <xf numFmtId="49" fontId="12" fillId="0" borderId="21" xfId="7" applyNumberFormat="1" applyFont="1" applyFill="1" applyBorder="1" applyAlignment="1" applyProtection="1">
      <alignment horizontal="left" vertical="top" wrapText="1"/>
      <protection hidden="1"/>
    </xf>
    <xf numFmtId="49" fontId="12" fillId="0" borderId="3" xfId="7" applyNumberFormat="1" applyFont="1" applyFill="1" applyBorder="1" applyAlignment="1" applyProtection="1">
      <alignment horizontal="left" vertical="top" wrapText="1"/>
      <protection hidden="1"/>
    </xf>
    <xf numFmtId="49" fontId="13" fillId="0" borderId="3" xfId="7" applyNumberFormat="1" applyFont="1" applyFill="1" applyBorder="1" applyAlignment="1" applyProtection="1">
      <alignment horizontal="left" vertical="top" wrapText="1"/>
      <protection hidden="1"/>
    </xf>
    <xf numFmtId="0" fontId="13" fillId="0" borderId="2" xfId="7" applyNumberFormat="1" applyFont="1" applyFill="1" applyBorder="1" applyAlignment="1" applyProtection="1">
      <alignment horizontal="left" vertical="top" wrapText="1"/>
      <protection hidden="1"/>
    </xf>
    <xf numFmtId="49" fontId="13" fillId="0" borderId="20" xfId="7" applyNumberFormat="1" applyFont="1" applyFill="1" applyBorder="1" applyAlignment="1" applyProtection="1">
      <alignment horizontal="left" vertical="top" wrapText="1"/>
      <protection hidden="1"/>
    </xf>
    <xf numFmtId="49" fontId="12" fillId="0" borderId="8" xfId="7" applyNumberFormat="1" applyFont="1" applyFill="1" applyBorder="1" applyAlignment="1" applyProtection="1">
      <alignment horizontal="left" vertical="top" wrapText="1"/>
      <protection hidden="1"/>
    </xf>
    <xf numFmtId="0" fontId="13" fillId="0" borderId="6" xfId="7" applyNumberFormat="1" applyFont="1" applyFill="1" applyBorder="1" applyAlignment="1" applyProtection="1">
      <alignment horizontal="left" vertical="top" wrapText="1"/>
      <protection hidden="1"/>
    </xf>
    <xf numFmtId="2" fontId="13" fillId="0" borderId="3" xfId="7" applyNumberFormat="1" applyFont="1" applyFill="1" applyBorder="1" applyAlignment="1" applyProtection="1">
      <alignment horizontal="left" vertical="top" wrapText="1" shrinkToFit="1"/>
      <protection hidden="1"/>
    </xf>
    <xf numFmtId="0" fontId="4" fillId="0" borderId="0" xfId="3" applyNumberFormat="1" applyFont="1" applyFill="1" applyAlignment="1" applyProtection="1">
      <alignment horizontal="center" wrapText="1"/>
      <protection hidden="1"/>
    </xf>
    <xf numFmtId="0" fontId="11" fillId="2" borderId="0" xfId="3" applyFont="1" applyFill="1" applyAlignment="1" applyProtection="1">
      <protection hidden="1"/>
    </xf>
    <xf numFmtId="0" fontId="18" fillId="2" borderId="0" xfId="3" applyFont="1" applyFill="1" applyAlignment="1" applyProtection="1">
      <alignment horizontal="left"/>
      <protection hidden="1"/>
    </xf>
    <xf numFmtId="4" fontId="6" fillId="0" borderId="0" xfId="3" applyNumberFormat="1" applyFont="1" applyFill="1" applyBorder="1" applyAlignment="1" applyProtection="1">
      <protection hidden="1"/>
    </xf>
    <xf numFmtId="4" fontId="20" fillId="0" borderId="0" xfId="3" applyNumberFormat="1" applyFont="1" applyFill="1" applyBorder="1"/>
    <xf numFmtId="0" fontId="4" fillId="0" borderId="0" xfId="3" applyNumberFormat="1" applyFont="1" applyFill="1" applyAlignment="1" applyProtection="1">
      <alignment horizontal="center" wrapText="1"/>
      <protection hidden="1"/>
    </xf>
    <xf numFmtId="40" fontId="25" fillId="0" borderId="2" xfId="2" applyNumberFormat="1" applyFont="1" applyFill="1" applyBorder="1" applyAlignment="1" applyProtection="1">
      <alignment horizontal="center"/>
      <protection hidden="1"/>
    </xf>
    <xf numFmtId="40" fontId="25" fillId="0" borderId="5" xfId="2" applyNumberFormat="1" applyFont="1" applyFill="1" applyBorder="1" applyAlignment="1" applyProtection="1">
      <alignment horizontal="center"/>
      <protection hidden="1"/>
    </xf>
    <xf numFmtId="40" fontId="26" fillId="0" borderId="2" xfId="2" applyNumberFormat="1" applyFont="1" applyFill="1" applyBorder="1" applyAlignment="1" applyProtection="1">
      <alignment horizontal="center"/>
      <protection hidden="1"/>
    </xf>
    <xf numFmtId="40" fontId="26" fillId="0" borderId="5" xfId="2" applyNumberFormat="1" applyFont="1" applyFill="1" applyBorder="1" applyAlignment="1" applyProtection="1">
      <alignment horizontal="center"/>
      <protection hidden="1"/>
    </xf>
    <xf numFmtId="40" fontId="25" fillId="0" borderId="6" xfId="2" applyNumberFormat="1" applyFont="1" applyFill="1" applyBorder="1" applyAlignment="1" applyProtection="1">
      <alignment horizontal="center"/>
      <protection hidden="1"/>
    </xf>
    <xf numFmtId="40" fontId="25" fillId="0" borderId="14" xfId="2" applyNumberFormat="1" applyFont="1" applyFill="1" applyBorder="1" applyAlignment="1" applyProtection="1">
      <alignment horizontal="center"/>
      <protection hidden="1"/>
    </xf>
    <xf numFmtId="4" fontId="27" fillId="0" borderId="7" xfId="2" applyNumberFormat="1" applyFont="1" applyFill="1" applyBorder="1" applyAlignment="1" applyProtection="1">
      <alignment horizontal="center"/>
      <protection hidden="1"/>
    </xf>
    <xf numFmtId="4" fontId="27" fillId="0" borderId="17" xfId="2" applyNumberFormat="1" applyFont="1" applyFill="1" applyBorder="1" applyAlignment="1" applyProtection="1">
      <alignment horizontal="center"/>
      <protection hidden="1"/>
    </xf>
    <xf numFmtId="4" fontId="27" fillId="0" borderId="1" xfId="2" applyNumberFormat="1" applyFont="1" applyFill="1" applyBorder="1" applyAlignment="1" applyProtection="1">
      <alignment horizontal="center"/>
      <protection hidden="1"/>
    </xf>
    <xf numFmtId="4" fontId="27" fillId="0" borderId="15" xfId="2" applyNumberFormat="1" applyFont="1" applyFill="1" applyBorder="1" applyAlignment="1" applyProtection="1">
      <alignment horizontal="center"/>
      <protection hidden="1"/>
    </xf>
    <xf numFmtId="4" fontId="18" fillId="0" borderId="2" xfId="2" applyNumberFormat="1" applyFont="1" applyFill="1" applyBorder="1" applyAlignment="1" applyProtection="1">
      <alignment horizontal="center"/>
      <protection hidden="1"/>
    </xf>
    <xf numFmtId="4" fontId="18" fillId="0" borderId="5" xfId="2" applyNumberFormat="1" applyFont="1" applyFill="1" applyBorder="1" applyAlignment="1" applyProtection="1">
      <alignment horizontal="center"/>
      <protection hidden="1"/>
    </xf>
    <xf numFmtId="4" fontId="18" fillId="0" borderId="5" xfId="4" applyNumberFormat="1" applyFont="1" applyFill="1" applyBorder="1" applyAlignment="1" applyProtection="1">
      <alignment horizontal="center"/>
      <protection hidden="1"/>
    </xf>
    <xf numFmtId="4" fontId="27" fillId="0" borderId="2" xfId="2" applyNumberFormat="1" applyFont="1" applyFill="1" applyBorder="1" applyAlignment="1" applyProtection="1">
      <alignment horizontal="center"/>
      <protection hidden="1"/>
    </xf>
    <xf numFmtId="4" fontId="27" fillId="0" borderId="5" xfId="2" applyNumberFormat="1" applyFont="1" applyFill="1" applyBorder="1" applyAlignment="1" applyProtection="1">
      <alignment horizontal="center"/>
      <protection hidden="1"/>
    </xf>
    <xf numFmtId="4" fontId="18" fillId="0" borderId="6" xfId="2" applyNumberFormat="1" applyFont="1" applyFill="1" applyBorder="1" applyAlignment="1" applyProtection="1">
      <alignment horizontal="center"/>
      <protection hidden="1"/>
    </xf>
    <xf numFmtId="4" fontId="18" fillId="0" borderId="14" xfId="2" applyNumberFormat="1" applyFont="1" applyFill="1" applyBorder="1" applyAlignment="1" applyProtection="1">
      <alignment horizontal="center"/>
      <protection hidden="1"/>
    </xf>
    <xf numFmtId="4" fontId="18" fillId="0" borderId="2" xfId="3" applyNumberFormat="1" applyFont="1" applyFill="1" applyBorder="1" applyAlignment="1" applyProtection="1">
      <alignment horizontal="center"/>
      <protection hidden="1"/>
    </xf>
    <xf numFmtId="4" fontId="18" fillId="0" borderId="5" xfId="3" applyNumberFormat="1" applyFont="1" applyFill="1" applyBorder="1" applyAlignment="1" applyProtection="1">
      <alignment horizontal="center"/>
      <protection hidden="1"/>
    </xf>
    <xf numFmtId="4" fontId="27" fillId="0" borderId="28" xfId="2" applyNumberFormat="1" applyFont="1" applyFill="1" applyBorder="1" applyAlignment="1" applyProtection="1">
      <alignment horizontal="center"/>
      <protection hidden="1"/>
    </xf>
    <xf numFmtId="4" fontId="18" fillId="0" borderId="1" xfId="2" applyNumberFormat="1" applyFont="1" applyFill="1" applyBorder="1" applyAlignment="1" applyProtection="1">
      <alignment horizontal="center"/>
      <protection hidden="1"/>
    </xf>
    <xf numFmtId="4" fontId="18" fillId="0" borderId="15" xfId="2" applyNumberFormat="1" applyFont="1" applyFill="1" applyBorder="1" applyAlignment="1" applyProtection="1">
      <alignment horizontal="center"/>
      <protection hidden="1"/>
    </xf>
    <xf numFmtId="4" fontId="14" fillId="0" borderId="5" xfId="2" applyNumberFormat="1" applyFont="1" applyFill="1" applyBorder="1" applyAlignment="1" applyProtection="1">
      <alignment horizontal="center"/>
      <protection hidden="1"/>
    </xf>
    <xf numFmtId="4" fontId="18" fillId="0" borderId="34" xfId="2" applyNumberFormat="1" applyFont="1" applyFill="1" applyBorder="1" applyAlignment="1" applyProtection="1">
      <alignment horizontal="center"/>
      <protection hidden="1"/>
    </xf>
    <xf numFmtId="4" fontId="18" fillId="0" borderId="9" xfId="2" applyNumberFormat="1" applyFont="1" applyFill="1" applyBorder="1" applyAlignment="1" applyProtection="1">
      <alignment horizontal="center"/>
      <protection hidden="1"/>
    </xf>
    <xf numFmtId="4" fontId="18" fillId="0" borderId="32" xfId="2" applyNumberFormat="1" applyFont="1" applyFill="1" applyBorder="1" applyAlignment="1" applyProtection="1">
      <alignment horizontal="center"/>
      <protection hidden="1"/>
    </xf>
    <xf numFmtId="4" fontId="27" fillId="0" borderId="34" xfId="2" applyNumberFormat="1" applyFont="1" applyFill="1" applyBorder="1" applyAlignment="1" applyProtection="1">
      <alignment horizontal="center"/>
      <protection hidden="1"/>
    </xf>
    <xf numFmtId="4" fontId="27" fillId="0" borderId="1" xfId="3" applyNumberFormat="1" applyFont="1" applyFill="1" applyBorder="1" applyAlignment="1" applyProtection="1">
      <alignment horizontal="center"/>
      <protection hidden="1"/>
    </xf>
    <xf numFmtId="4" fontId="27" fillId="0" borderId="15" xfId="3" applyNumberFormat="1" applyFont="1" applyFill="1" applyBorder="1" applyAlignment="1" applyProtection="1">
      <alignment horizontal="center"/>
      <protection hidden="1"/>
    </xf>
    <xf numFmtId="4" fontId="27" fillId="0" borderId="2" xfId="3" applyNumberFormat="1" applyFont="1" applyFill="1" applyBorder="1" applyAlignment="1" applyProtection="1">
      <alignment horizontal="center"/>
      <protection hidden="1"/>
    </xf>
    <xf numFmtId="4" fontId="27" fillId="0" borderId="5" xfId="3" applyNumberFormat="1" applyFont="1" applyFill="1" applyBorder="1" applyAlignment="1" applyProtection="1">
      <alignment horizontal="center"/>
      <protection hidden="1"/>
    </xf>
    <xf numFmtId="4" fontId="27" fillId="0" borderId="34" xfId="3" applyNumberFormat="1" applyFont="1" applyFill="1" applyBorder="1" applyAlignment="1" applyProtection="1">
      <alignment horizontal="center"/>
      <protection hidden="1"/>
    </xf>
    <xf numFmtId="4" fontId="27" fillId="0" borderId="9" xfId="3" applyNumberFormat="1" applyFont="1" applyFill="1" applyBorder="1" applyAlignment="1" applyProtection="1">
      <alignment horizontal="center"/>
      <protection hidden="1"/>
    </xf>
    <xf numFmtId="4" fontId="27" fillId="0" borderId="8" xfId="0" applyNumberFormat="1" applyFont="1" applyFill="1" applyBorder="1" applyAlignment="1">
      <alignment horizontal="center"/>
    </xf>
    <xf numFmtId="0" fontId="18" fillId="0" borderId="0" xfId="2" applyFont="1" applyFill="1" applyAlignment="1">
      <alignment horizontal="center"/>
    </xf>
    <xf numFmtId="0" fontId="27" fillId="0" borderId="0" xfId="2" applyFont="1" applyFill="1" applyAlignment="1">
      <alignment horizontal="center"/>
    </xf>
    <xf numFmtId="4" fontId="17" fillId="0" borderId="0" xfId="2" applyNumberFormat="1" applyFont="1" applyFill="1" applyAlignment="1">
      <alignment horizontal="center"/>
    </xf>
    <xf numFmtId="4" fontId="13" fillId="0" borderId="0" xfId="2" applyNumberFormat="1" applyFont="1" applyFill="1" applyAlignment="1">
      <alignment horizontal="center"/>
    </xf>
    <xf numFmtId="4" fontId="24" fillId="0" borderId="0" xfId="2" applyNumberFormat="1" applyFont="1" applyFill="1" applyAlignment="1">
      <alignment horizontal="center"/>
    </xf>
    <xf numFmtId="4" fontId="27" fillId="0" borderId="24" xfId="2" applyNumberFormat="1" applyFont="1" applyFill="1" applyBorder="1" applyAlignment="1" applyProtection="1">
      <alignment horizontal="center"/>
      <protection hidden="1"/>
    </xf>
    <xf numFmtId="4" fontId="12" fillId="0" borderId="0" xfId="2" applyNumberFormat="1" applyFont="1" applyFill="1" applyAlignment="1">
      <alignment horizontal="center"/>
    </xf>
    <xf numFmtId="4" fontId="18" fillId="0" borderId="27" xfId="2" applyNumberFormat="1" applyFont="1" applyFill="1" applyBorder="1" applyAlignment="1" applyProtection="1">
      <alignment horizontal="center"/>
      <protection hidden="1"/>
    </xf>
    <xf numFmtId="172" fontId="18" fillId="0" borderId="2" xfId="2" applyNumberFormat="1" applyFont="1" applyFill="1" applyBorder="1" applyAlignment="1" applyProtection="1">
      <alignment horizontal="center"/>
      <protection hidden="1"/>
    </xf>
    <xf numFmtId="4" fontId="18" fillId="0" borderId="6" xfId="3" applyNumberFormat="1" applyFont="1" applyFill="1" applyBorder="1" applyAlignment="1" applyProtection="1">
      <alignment horizontal="center"/>
      <protection hidden="1"/>
    </xf>
    <xf numFmtId="4" fontId="27" fillId="0" borderId="7" xfId="3" applyNumberFormat="1" applyFont="1" applyFill="1" applyBorder="1" applyAlignment="1" applyProtection="1">
      <alignment horizontal="center"/>
      <protection hidden="1"/>
    </xf>
    <xf numFmtId="4" fontId="18" fillId="0" borderId="1" xfId="3" applyNumberFormat="1" applyFont="1" applyFill="1" applyBorder="1" applyAlignment="1" applyProtection="1">
      <alignment horizontal="center"/>
      <protection hidden="1"/>
    </xf>
    <xf numFmtId="4" fontId="1" fillId="0" borderId="0" xfId="2" applyNumberFormat="1" applyFill="1" applyAlignment="1">
      <alignment horizontal="center"/>
    </xf>
    <xf numFmtId="4" fontId="13" fillId="0" borderId="2" xfId="2" applyNumberFormat="1" applyFont="1" applyFill="1" applyBorder="1" applyAlignment="1">
      <alignment horizontal="center"/>
    </xf>
    <xf numFmtId="4" fontId="27" fillId="0" borderId="41" xfId="0" applyNumberFormat="1" applyFont="1" applyFill="1" applyBorder="1" applyAlignment="1">
      <alignment horizontal="center"/>
    </xf>
    <xf numFmtId="4" fontId="21" fillId="0" borderId="7" xfId="3" applyNumberFormat="1" applyFont="1" applyFill="1" applyBorder="1" applyAlignment="1" applyProtection="1">
      <alignment horizontal="center" vertical="center"/>
      <protection hidden="1"/>
    </xf>
    <xf numFmtId="4" fontId="19" fillId="0" borderId="1" xfId="3" applyNumberFormat="1" applyFont="1" applyFill="1" applyBorder="1" applyAlignment="1" applyProtection="1">
      <alignment horizontal="center"/>
      <protection hidden="1"/>
    </xf>
    <xf numFmtId="4" fontId="20" fillId="0" borderId="2" xfId="3" applyNumberFormat="1" applyFont="1" applyFill="1" applyBorder="1" applyAlignment="1" applyProtection="1">
      <alignment horizontal="center"/>
      <protection hidden="1"/>
    </xf>
    <xf numFmtId="4" fontId="21" fillId="0" borderId="2" xfId="3" applyNumberFormat="1" applyFont="1" applyFill="1" applyBorder="1" applyAlignment="1" applyProtection="1">
      <alignment horizontal="center"/>
      <protection hidden="1"/>
    </xf>
    <xf numFmtId="4" fontId="19" fillId="0" borderId="2" xfId="3" applyNumberFormat="1" applyFont="1" applyFill="1" applyBorder="1" applyAlignment="1" applyProtection="1">
      <alignment horizontal="center"/>
      <protection hidden="1"/>
    </xf>
    <xf numFmtId="4" fontId="22" fillId="0" borderId="2" xfId="3" applyNumberFormat="1" applyFont="1" applyFill="1" applyBorder="1" applyAlignment="1" applyProtection="1">
      <alignment horizontal="center"/>
      <protection hidden="1"/>
    </xf>
    <xf numFmtId="4" fontId="23" fillId="0" borderId="2" xfId="3" applyNumberFormat="1" applyFont="1" applyFill="1" applyBorder="1" applyAlignment="1" applyProtection="1">
      <alignment horizontal="center"/>
      <protection hidden="1"/>
    </xf>
    <xf numFmtId="4" fontId="13" fillId="0" borderId="2" xfId="3" applyNumberFormat="1" applyFont="1" applyFill="1" applyBorder="1" applyAlignment="1" applyProtection="1">
      <alignment horizontal="center"/>
      <protection hidden="1"/>
    </xf>
    <xf numFmtId="4" fontId="20" fillId="0" borderId="6" xfId="5" applyNumberFormat="1" applyFont="1" applyFill="1" applyBorder="1" applyAlignment="1" applyProtection="1">
      <alignment horizontal="center"/>
      <protection hidden="1"/>
    </xf>
    <xf numFmtId="4" fontId="12" fillId="0" borderId="34" xfId="0" applyNumberFormat="1" applyFont="1" applyFill="1" applyBorder="1" applyAlignment="1">
      <alignment horizontal="center"/>
    </xf>
    <xf numFmtId="0" fontId="3" fillId="0" borderId="0" xfId="3" applyFont="1" applyFill="1" applyAlignment="1" applyProtection="1">
      <alignment horizontal="center"/>
      <protection hidden="1"/>
    </xf>
    <xf numFmtId="0" fontId="11" fillId="0" borderId="0" xfId="3" applyFont="1" applyFill="1" applyAlignment="1" applyProtection="1">
      <alignment horizontal="center"/>
      <protection hidden="1"/>
    </xf>
    <xf numFmtId="49" fontId="13" fillId="0" borderId="0" xfId="2" applyNumberFormat="1" applyFont="1" applyFill="1" applyAlignment="1">
      <alignment horizontal="center" vertical="justify" wrapText="1"/>
    </xf>
    <xf numFmtId="0" fontId="11" fillId="2" borderId="0" xfId="3" applyFont="1" applyFill="1" applyAlignment="1" applyProtection="1">
      <alignment horizontal="center"/>
      <protection hidden="1"/>
    </xf>
    <xf numFmtId="0" fontId="18" fillId="2" borderId="0" xfId="3" applyFont="1" applyFill="1" applyAlignment="1" applyProtection="1">
      <alignment horizontal="center"/>
      <protection hidden="1"/>
    </xf>
    <xf numFmtId="0" fontId="5" fillId="0" borderId="0" xfId="3" applyNumberFormat="1" applyFont="1" applyFill="1" applyBorder="1" applyAlignment="1" applyProtection="1">
      <alignment horizontal="center"/>
      <protection hidden="1"/>
    </xf>
    <xf numFmtId="165" fontId="19" fillId="0" borderId="20" xfId="3" applyNumberFormat="1" applyFont="1" applyFill="1" applyBorder="1" applyAlignment="1" applyProtection="1">
      <alignment horizontal="center" wrapText="1"/>
      <protection hidden="1"/>
    </xf>
    <xf numFmtId="165" fontId="19" fillId="0" borderId="7" xfId="3" applyNumberFormat="1" applyFont="1" applyFill="1" applyBorder="1" applyAlignment="1" applyProtection="1">
      <alignment horizontal="center" wrapText="1"/>
      <protection hidden="1"/>
    </xf>
    <xf numFmtId="165" fontId="19" fillId="0" borderId="1" xfId="3" applyNumberFormat="1" applyFont="1" applyFill="1" applyBorder="1" applyAlignment="1" applyProtection="1">
      <alignment horizontal="center" wrapText="1"/>
      <protection hidden="1"/>
    </xf>
    <xf numFmtId="165" fontId="20" fillId="0" borderId="2" xfId="3" applyNumberFormat="1" applyFont="1" applyFill="1" applyBorder="1" applyAlignment="1" applyProtection="1">
      <alignment horizontal="center" wrapText="1"/>
      <protection hidden="1"/>
    </xf>
    <xf numFmtId="165" fontId="21" fillId="0" borderId="2" xfId="3" applyNumberFormat="1" applyFont="1" applyFill="1" applyBorder="1" applyAlignment="1" applyProtection="1">
      <alignment horizontal="center" wrapText="1"/>
      <protection hidden="1"/>
    </xf>
    <xf numFmtId="165" fontId="19" fillId="0" borderId="2" xfId="3" applyNumberFormat="1" applyFont="1" applyFill="1" applyBorder="1" applyAlignment="1" applyProtection="1">
      <alignment horizontal="center" wrapText="1"/>
      <protection hidden="1"/>
    </xf>
    <xf numFmtId="165" fontId="22" fillId="0" borderId="2" xfId="3" applyNumberFormat="1" applyFont="1" applyFill="1" applyBorder="1" applyAlignment="1" applyProtection="1">
      <alignment horizontal="center" wrapText="1"/>
      <protection hidden="1"/>
    </xf>
    <xf numFmtId="165" fontId="23" fillId="0" borderId="2" xfId="3" applyNumberFormat="1" applyFont="1" applyFill="1" applyBorder="1" applyAlignment="1" applyProtection="1">
      <alignment horizontal="center" wrapText="1"/>
      <protection hidden="1"/>
    </xf>
    <xf numFmtId="49" fontId="12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165" fontId="20" fillId="0" borderId="6" xfId="3" applyNumberFormat="1" applyFont="1" applyFill="1" applyBorder="1" applyAlignment="1" applyProtection="1">
      <alignment horizontal="center" wrapText="1"/>
      <protection hidden="1"/>
    </xf>
    <xf numFmtId="0" fontId="19" fillId="0" borderId="9" xfId="3" applyNumberFormat="1" applyFont="1" applyFill="1" applyBorder="1" applyAlignment="1" applyProtection="1">
      <alignment horizontal="center"/>
      <protection hidden="1"/>
    </xf>
    <xf numFmtId="0" fontId="19" fillId="0" borderId="10" xfId="3" applyNumberFormat="1" applyFont="1" applyFill="1" applyBorder="1" applyAlignment="1" applyProtection="1">
      <alignment horizontal="center"/>
      <protection hidden="1"/>
    </xf>
    <xf numFmtId="165" fontId="20" fillId="0" borderId="0" xfId="3" applyNumberFormat="1" applyFont="1" applyFill="1" applyBorder="1" applyAlignment="1" applyProtection="1">
      <alignment horizontal="center" wrapText="1"/>
      <protection hidden="1"/>
    </xf>
    <xf numFmtId="0" fontId="20" fillId="0" borderId="0" xfId="3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0" xfId="3" applyFont="1" applyFill="1" applyAlignment="1">
      <alignment horizontal="center"/>
    </xf>
    <xf numFmtId="165" fontId="6" fillId="0" borderId="0" xfId="3" applyNumberFormat="1" applyFont="1" applyFill="1" applyBorder="1" applyAlignment="1" applyProtection="1">
      <alignment horizontal="center" wrapText="1"/>
      <protection hidden="1"/>
    </xf>
    <xf numFmtId="165" fontId="4" fillId="0" borderId="0" xfId="3" applyNumberFormat="1" applyFont="1" applyFill="1" applyBorder="1" applyAlignment="1" applyProtection="1">
      <alignment horizontal="center" wrapText="1"/>
      <protection hidden="1"/>
    </xf>
    <xf numFmtId="0" fontId="16" fillId="0" borderId="0" xfId="3" applyFont="1" applyFill="1" applyAlignment="1" applyProtection="1">
      <alignment horizontal="center"/>
      <protection hidden="1"/>
    </xf>
    <xf numFmtId="0" fontId="27" fillId="0" borderId="0" xfId="2" applyNumberFormat="1" applyFont="1" applyFill="1" applyAlignment="1" applyProtection="1">
      <alignment horizontal="center"/>
      <protection hidden="1"/>
    </xf>
    <xf numFmtId="166" fontId="27" fillId="0" borderId="2" xfId="2" applyNumberFormat="1" applyFont="1" applyFill="1" applyBorder="1" applyAlignment="1" applyProtection="1">
      <alignment horizontal="center"/>
      <protection hidden="1"/>
    </xf>
    <xf numFmtId="164" fontId="27" fillId="0" borderId="2" xfId="2" applyNumberFormat="1" applyFont="1" applyFill="1" applyBorder="1" applyAlignment="1" applyProtection="1">
      <alignment horizontal="center"/>
      <protection hidden="1"/>
    </xf>
    <xf numFmtId="166" fontId="18" fillId="0" borderId="2" xfId="2" applyNumberFormat="1" applyFont="1" applyFill="1" applyBorder="1" applyAlignment="1" applyProtection="1">
      <alignment horizontal="center"/>
      <protection hidden="1"/>
    </xf>
    <xf numFmtId="164" fontId="18" fillId="0" borderId="2" xfId="2" applyNumberFormat="1" applyFont="1" applyFill="1" applyBorder="1" applyAlignment="1" applyProtection="1">
      <alignment horizontal="center"/>
      <protection hidden="1"/>
    </xf>
    <xf numFmtId="166" fontId="27" fillId="0" borderId="6" xfId="2" applyNumberFormat="1" applyFont="1" applyFill="1" applyBorder="1" applyAlignment="1" applyProtection="1">
      <alignment horizontal="center"/>
      <protection hidden="1"/>
    </xf>
    <xf numFmtId="164" fontId="27" fillId="0" borderId="6" xfId="2" applyNumberFormat="1" applyFont="1" applyFill="1" applyBorder="1" applyAlignment="1" applyProtection="1">
      <alignment horizontal="center"/>
      <protection hidden="1"/>
    </xf>
    <xf numFmtId="166" fontId="27" fillId="0" borderId="17" xfId="1" applyNumberFormat="1" applyFont="1" applyFill="1" applyBorder="1" applyAlignment="1" applyProtection="1">
      <alignment horizontal="center"/>
      <protection hidden="1"/>
    </xf>
    <xf numFmtId="164" fontId="27" fillId="0" borderId="17" xfId="1" applyNumberFormat="1" applyFont="1" applyFill="1" applyBorder="1" applyAlignment="1" applyProtection="1">
      <alignment horizontal="center"/>
      <protection hidden="1"/>
    </xf>
    <xf numFmtId="166" fontId="18" fillId="0" borderId="5" xfId="1" applyNumberFormat="1" applyFont="1" applyFill="1" applyBorder="1" applyAlignment="1" applyProtection="1">
      <alignment horizontal="center"/>
      <protection hidden="1"/>
    </xf>
    <xf numFmtId="164" fontId="18" fillId="0" borderId="5" xfId="1" applyNumberFormat="1" applyFont="1" applyFill="1" applyBorder="1" applyAlignment="1" applyProtection="1">
      <alignment horizontal="center"/>
      <protection hidden="1"/>
    </xf>
    <xf numFmtId="166" fontId="18" fillId="0" borderId="14" xfId="1" applyNumberFormat="1" applyFont="1" applyFill="1" applyBorder="1" applyAlignment="1" applyProtection="1">
      <alignment horizontal="center"/>
      <protection hidden="1"/>
    </xf>
    <xf numFmtId="164" fontId="18" fillId="0" borderId="14" xfId="1" applyNumberFormat="1" applyFont="1" applyFill="1" applyBorder="1" applyAlignment="1" applyProtection="1">
      <alignment horizontal="center"/>
      <protection hidden="1"/>
    </xf>
    <xf numFmtId="166" fontId="27" fillId="0" borderId="25" xfId="1" applyNumberFormat="1" applyFont="1" applyFill="1" applyBorder="1" applyAlignment="1" applyProtection="1">
      <alignment horizontal="center"/>
      <protection hidden="1"/>
    </xf>
    <xf numFmtId="164" fontId="27" fillId="0" borderId="25" xfId="1" applyNumberFormat="1" applyFont="1" applyFill="1" applyBorder="1" applyAlignment="1" applyProtection="1">
      <alignment horizontal="center"/>
      <protection hidden="1"/>
    </xf>
    <xf numFmtId="164" fontId="18" fillId="0" borderId="2" xfId="1" applyNumberFormat="1" applyFont="1" applyFill="1" applyBorder="1" applyAlignment="1" applyProtection="1">
      <alignment horizontal="center"/>
      <protection hidden="1"/>
    </xf>
    <xf numFmtId="166" fontId="18" fillId="0" borderId="15" xfId="1" applyNumberFormat="1" applyFont="1" applyFill="1" applyBorder="1" applyAlignment="1" applyProtection="1">
      <alignment horizontal="center"/>
      <protection hidden="1"/>
    </xf>
    <xf numFmtId="164" fontId="18" fillId="0" borderId="15" xfId="1" applyNumberFormat="1" applyFont="1" applyFill="1" applyBorder="1" applyAlignment="1" applyProtection="1">
      <alignment horizontal="center"/>
      <protection hidden="1"/>
    </xf>
    <xf numFmtId="166" fontId="27" fillId="0" borderId="17" xfId="7" applyNumberFormat="1" applyFont="1" applyFill="1" applyBorder="1" applyAlignment="1" applyProtection="1">
      <alignment horizontal="center"/>
      <protection hidden="1"/>
    </xf>
    <xf numFmtId="164" fontId="27" fillId="0" borderId="17" xfId="7" applyNumberFormat="1" applyFont="1" applyFill="1" applyBorder="1" applyAlignment="1" applyProtection="1">
      <alignment horizontal="center"/>
      <protection hidden="1"/>
    </xf>
    <xf numFmtId="166" fontId="27" fillId="0" borderId="15" xfId="7" applyNumberFormat="1" applyFont="1" applyFill="1" applyBorder="1" applyAlignment="1" applyProtection="1">
      <alignment horizontal="center"/>
      <protection hidden="1"/>
    </xf>
    <xf numFmtId="164" fontId="27" fillId="0" borderId="15" xfId="7" applyNumberFormat="1" applyFont="1" applyFill="1" applyBorder="1" applyAlignment="1" applyProtection="1">
      <alignment horizontal="center"/>
      <protection hidden="1"/>
    </xf>
    <xf numFmtId="166" fontId="27" fillId="0" borderId="5" xfId="7" applyNumberFormat="1" applyFont="1" applyFill="1" applyBorder="1" applyAlignment="1" applyProtection="1">
      <alignment horizontal="center"/>
      <protection hidden="1"/>
    </xf>
    <xf numFmtId="164" fontId="27" fillId="0" borderId="5" xfId="7" applyNumberFormat="1" applyFont="1" applyFill="1" applyBorder="1" applyAlignment="1" applyProtection="1">
      <alignment horizontal="center"/>
      <protection hidden="1"/>
    </xf>
    <xf numFmtId="166" fontId="18" fillId="0" borderId="5" xfId="7" applyNumberFormat="1" applyFont="1" applyFill="1" applyBorder="1" applyAlignment="1" applyProtection="1">
      <alignment horizontal="center"/>
      <protection hidden="1"/>
    </xf>
    <xf numFmtId="164" fontId="18" fillId="0" borderId="5" xfId="7" applyNumberFormat="1" applyFont="1" applyFill="1" applyBorder="1" applyAlignment="1" applyProtection="1">
      <alignment horizontal="center"/>
      <protection hidden="1"/>
    </xf>
    <xf numFmtId="166" fontId="18" fillId="0" borderId="14" xfId="7" applyNumberFormat="1" applyFont="1" applyFill="1" applyBorder="1" applyAlignment="1" applyProtection="1">
      <alignment horizontal="center"/>
      <protection hidden="1"/>
    </xf>
    <xf numFmtId="164" fontId="18" fillId="0" borderId="14" xfId="7" applyNumberFormat="1" applyFont="1" applyFill="1" applyBorder="1" applyAlignment="1" applyProtection="1">
      <alignment horizontal="center"/>
      <protection hidden="1"/>
    </xf>
    <xf numFmtId="166" fontId="27" fillId="0" borderId="7" xfId="2" applyNumberFormat="1" applyFont="1" applyFill="1" applyBorder="1" applyAlignment="1" applyProtection="1">
      <alignment horizontal="center"/>
      <protection hidden="1"/>
    </xf>
    <xf numFmtId="164" fontId="27" fillId="0" borderId="7" xfId="2" applyNumberFormat="1" applyFont="1" applyFill="1" applyBorder="1" applyAlignment="1" applyProtection="1">
      <alignment horizontal="center"/>
      <protection hidden="1"/>
    </xf>
    <xf numFmtId="164" fontId="18" fillId="0" borderId="1" xfId="2" applyNumberFormat="1" applyFont="1" applyFill="1" applyBorder="1" applyAlignment="1" applyProtection="1">
      <alignment horizontal="center"/>
      <protection hidden="1"/>
    </xf>
    <xf numFmtId="166" fontId="18" fillId="0" borderId="5" xfId="4" applyNumberFormat="1" applyFont="1" applyFill="1" applyBorder="1" applyAlignment="1" applyProtection="1">
      <alignment horizontal="center"/>
      <protection hidden="1"/>
    </xf>
    <xf numFmtId="164" fontId="18" fillId="0" borderId="2" xfId="4" applyNumberFormat="1" applyFont="1" applyFill="1" applyBorder="1" applyAlignment="1" applyProtection="1">
      <alignment horizontal="center"/>
      <protection hidden="1"/>
    </xf>
    <xf numFmtId="164" fontId="18" fillId="0" borderId="6" xfId="2" applyNumberFormat="1" applyFont="1" applyFill="1" applyBorder="1" applyAlignment="1" applyProtection="1">
      <alignment horizontal="center"/>
      <protection hidden="1"/>
    </xf>
    <xf numFmtId="166" fontId="18" fillId="0" borderId="1" xfId="2" applyNumberFormat="1" applyFont="1" applyFill="1" applyBorder="1" applyAlignment="1" applyProtection="1">
      <alignment horizontal="center"/>
      <protection hidden="1"/>
    </xf>
    <xf numFmtId="164" fontId="18" fillId="0" borderId="3" xfId="1" applyNumberFormat="1" applyFont="1" applyFill="1" applyBorder="1" applyAlignment="1" applyProtection="1">
      <alignment horizontal="center" wrapText="1"/>
      <protection hidden="1"/>
    </xf>
    <xf numFmtId="164" fontId="27" fillId="0" borderId="20" xfId="1" applyNumberFormat="1" applyFont="1" applyFill="1" applyBorder="1" applyAlignment="1" applyProtection="1">
      <alignment horizontal="center" wrapText="1"/>
      <protection hidden="1"/>
    </xf>
    <xf numFmtId="164" fontId="18" fillId="0" borderId="21" xfId="1" applyNumberFormat="1" applyFont="1" applyFill="1" applyBorder="1" applyAlignment="1" applyProtection="1">
      <alignment horizontal="center" wrapText="1"/>
      <protection hidden="1"/>
    </xf>
    <xf numFmtId="166" fontId="18" fillId="0" borderId="27" xfId="2" applyNumberFormat="1" applyFont="1" applyFill="1" applyBorder="1" applyAlignment="1" applyProtection="1">
      <alignment horizontal="center"/>
      <protection hidden="1"/>
    </xf>
    <xf numFmtId="164" fontId="18" fillId="0" borderId="19" xfId="1" applyNumberFormat="1" applyFont="1" applyFill="1" applyBorder="1" applyAlignment="1" applyProtection="1">
      <alignment horizontal="center" wrapText="1"/>
      <protection hidden="1"/>
    </xf>
    <xf numFmtId="164" fontId="18" fillId="0" borderId="2" xfId="1" applyNumberFormat="1" applyFont="1" applyFill="1" applyBorder="1" applyAlignment="1" applyProtection="1">
      <alignment horizontal="center" wrapText="1"/>
      <protection hidden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164" fontId="18" fillId="0" borderId="5" xfId="2" applyNumberFormat="1" applyFont="1" applyFill="1" applyBorder="1" applyAlignment="1" applyProtection="1">
      <alignment horizontal="center"/>
      <protection hidden="1"/>
    </xf>
    <xf numFmtId="49" fontId="18" fillId="0" borderId="5" xfId="1" applyNumberFormat="1" applyFont="1" applyFill="1" applyBorder="1" applyAlignment="1" applyProtection="1">
      <alignment horizontal="center"/>
      <protection hidden="1"/>
    </xf>
    <xf numFmtId="166" fontId="18" fillId="0" borderId="2" xfId="1" applyNumberFormat="1" applyFont="1" applyFill="1" applyBorder="1" applyAlignment="1" applyProtection="1">
      <alignment horizontal="center"/>
      <protection hidden="1"/>
    </xf>
    <xf numFmtId="166" fontId="18" fillId="0" borderId="2" xfId="7" applyNumberFormat="1" applyFont="1" applyFill="1" applyBorder="1" applyAlignment="1" applyProtection="1">
      <alignment horizontal="center"/>
      <protection hidden="1"/>
    </xf>
    <xf numFmtId="0" fontId="12" fillId="0" borderId="38" xfId="2" applyNumberFormat="1" applyFont="1" applyFill="1" applyBorder="1" applyAlignment="1" applyProtection="1">
      <alignment horizontal="center" wrapText="1"/>
      <protection hidden="1"/>
    </xf>
    <xf numFmtId="0" fontId="12" fillId="0" borderId="44" xfId="2" applyNumberFormat="1" applyFont="1" applyFill="1" applyBorder="1" applyAlignment="1" applyProtection="1">
      <alignment horizontal="center" wrapText="1"/>
      <protection hidden="1"/>
    </xf>
    <xf numFmtId="49" fontId="18" fillId="0" borderId="0" xfId="2" applyNumberFormat="1" applyFont="1" applyFill="1" applyAlignment="1">
      <alignment horizontal="center" wrapText="1"/>
    </xf>
    <xf numFmtId="0" fontId="25" fillId="0" borderId="0" xfId="2" applyNumberFormat="1" applyFont="1" applyFill="1" applyAlignment="1" applyProtection="1">
      <alignment horizontal="center"/>
      <protection hidden="1"/>
    </xf>
    <xf numFmtId="165" fontId="25" fillId="0" borderId="2" xfId="2" applyNumberFormat="1" applyFont="1" applyFill="1" applyBorder="1" applyAlignment="1" applyProtection="1">
      <alignment horizontal="center"/>
      <protection hidden="1"/>
    </xf>
    <xf numFmtId="165" fontId="26" fillId="0" borderId="2" xfId="2" applyNumberFormat="1" applyFont="1" applyFill="1" applyBorder="1" applyAlignment="1" applyProtection="1">
      <alignment horizontal="center"/>
      <protection hidden="1"/>
    </xf>
    <xf numFmtId="165" fontId="25" fillId="0" borderId="6" xfId="2" applyNumberFormat="1" applyFont="1" applyFill="1" applyBorder="1" applyAlignment="1" applyProtection="1">
      <alignment horizontal="center"/>
      <protection hidden="1"/>
    </xf>
    <xf numFmtId="165" fontId="12" fillId="0" borderId="7" xfId="2" applyNumberFormat="1" applyFont="1" applyFill="1" applyBorder="1" applyAlignment="1" applyProtection="1">
      <alignment horizontal="center"/>
      <protection hidden="1"/>
    </xf>
    <xf numFmtId="49" fontId="27" fillId="0" borderId="7" xfId="2" applyNumberFormat="1" applyFont="1" applyFill="1" applyBorder="1" applyAlignment="1" applyProtection="1">
      <alignment horizontal="center"/>
      <protection hidden="1"/>
    </xf>
    <xf numFmtId="165" fontId="12" fillId="0" borderId="1" xfId="2" applyNumberFormat="1" applyFont="1" applyFill="1" applyBorder="1" applyAlignment="1" applyProtection="1">
      <alignment horizontal="center"/>
      <protection hidden="1"/>
    </xf>
    <xf numFmtId="164" fontId="27" fillId="0" borderId="1" xfId="2" applyNumberFormat="1" applyFont="1" applyFill="1" applyBorder="1" applyAlignment="1" applyProtection="1">
      <alignment horizontal="center"/>
      <protection hidden="1"/>
    </xf>
    <xf numFmtId="165" fontId="13" fillId="0" borderId="2" xfId="2" applyNumberFormat="1" applyFont="1" applyFill="1" applyBorder="1" applyAlignment="1" applyProtection="1">
      <alignment horizontal="center"/>
      <protection hidden="1"/>
    </xf>
    <xf numFmtId="165" fontId="13" fillId="0" borderId="5" xfId="4" applyNumberFormat="1" applyFont="1" applyFill="1" applyBorder="1" applyAlignment="1" applyProtection="1">
      <alignment horizontal="center"/>
      <protection hidden="1"/>
    </xf>
    <xf numFmtId="166" fontId="18" fillId="0" borderId="14" xfId="4" applyNumberFormat="1" applyFont="1" applyFill="1" applyBorder="1" applyAlignment="1" applyProtection="1">
      <alignment horizontal="center"/>
      <protection hidden="1"/>
    </xf>
    <xf numFmtId="165" fontId="12" fillId="0" borderId="2" xfId="2" applyNumberFormat="1" applyFont="1" applyFill="1" applyBorder="1" applyAlignment="1" applyProtection="1">
      <alignment horizontal="center"/>
      <protection hidden="1"/>
    </xf>
    <xf numFmtId="166" fontId="18" fillId="0" borderId="6" xfId="2" applyNumberFormat="1" applyFont="1" applyFill="1" applyBorder="1" applyAlignment="1" applyProtection="1">
      <alignment horizontal="center"/>
      <protection hidden="1"/>
    </xf>
    <xf numFmtId="165" fontId="13" fillId="0" borderId="6" xfId="2" applyNumberFormat="1" applyFont="1" applyFill="1" applyBorder="1" applyAlignment="1" applyProtection="1">
      <alignment horizontal="center"/>
      <protection hidden="1"/>
    </xf>
    <xf numFmtId="49" fontId="18" fillId="0" borderId="2" xfId="2" applyNumberFormat="1" applyFont="1" applyFill="1" applyBorder="1" applyAlignment="1" applyProtection="1">
      <alignment horizontal="center"/>
      <protection hidden="1"/>
    </xf>
    <xf numFmtId="166" fontId="18" fillId="0" borderId="17" xfId="7" applyNumberFormat="1" applyFont="1" applyFill="1" applyBorder="1" applyAlignment="1" applyProtection="1">
      <alignment horizontal="center"/>
      <protection hidden="1"/>
    </xf>
    <xf numFmtId="164" fontId="18" fillId="0" borderId="30" xfId="1" applyNumberFormat="1" applyFont="1" applyFill="1" applyBorder="1" applyAlignment="1" applyProtection="1">
      <alignment horizontal="center" wrapText="1"/>
      <protection hidden="1"/>
    </xf>
    <xf numFmtId="165" fontId="12" fillId="0" borderId="34" xfId="2" applyNumberFormat="1" applyFont="1" applyFill="1" applyBorder="1" applyAlignment="1" applyProtection="1">
      <alignment horizontal="center"/>
      <protection hidden="1"/>
    </xf>
    <xf numFmtId="165" fontId="12" fillId="0" borderId="32" xfId="2" applyNumberFormat="1" applyFont="1" applyFill="1" applyBorder="1" applyAlignment="1" applyProtection="1">
      <alignment horizontal="center"/>
      <protection hidden="1"/>
    </xf>
    <xf numFmtId="165" fontId="12" fillId="0" borderId="2" xfId="1" applyNumberFormat="1" applyFont="1" applyFill="1" applyBorder="1" applyAlignment="1" applyProtection="1">
      <alignment horizontal="center"/>
      <protection hidden="1"/>
    </xf>
    <xf numFmtId="164" fontId="27" fillId="0" borderId="2" xfId="1" applyNumberFormat="1" applyFont="1" applyFill="1" applyBorder="1" applyAlignment="1" applyProtection="1">
      <alignment horizontal="center"/>
      <protection hidden="1"/>
    </xf>
    <xf numFmtId="165" fontId="13" fillId="0" borderId="15" xfId="1" applyNumberFormat="1" applyFont="1" applyFill="1" applyBorder="1" applyAlignment="1" applyProtection="1">
      <alignment horizontal="center"/>
      <protection hidden="1"/>
    </xf>
    <xf numFmtId="165" fontId="13" fillId="0" borderId="5" xfId="1" applyNumberFormat="1" applyFont="1" applyFill="1" applyBorder="1" applyAlignment="1" applyProtection="1">
      <alignment horizontal="center"/>
      <protection hidden="1"/>
    </xf>
    <xf numFmtId="165" fontId="12" fillId="0" borderId="5" xfId="1" applyNumberFormat="1" applyFont="1" applyFill="1" applyBorder="1" applyAlignment="1" applyProtection="1">
      <alignment horizontal="center"/>
      <protection hidden="1"/>
    </xf>
    <xf numFmtId="164" fontId="27" fillId="0" borderId="5" xfId="1" applyNumberFormat="1" applyFont="1" applyFill="1" applyBorder="1" applyAlignment="1" applyProtection="1">
      <alignment horizontal="center"/>
      <protection hidden="1"/>
    </xf>
    <xf numFmtId="165" fontId="13" fillId="0" borderId="14" xfId="1" applyNumberFormat="1" applyFont="1" applyFill="1" applyBorder="1" applyAlignment="1" applyProtection="1">
      <alignment horizontal="center"/>
      <protection hidden="1"/>
    </xf>
    <xf numFmtId="166" fontId="27" fillId="0" borderId="1" xfId="2" applyNumberFormat="1" applyFont="1" applyFill="1" applyBorder="1" applyAlignment="1" applyProtection="1">
      <alignment horizontal="center"/>
      <protection hidden="1"/>
    </xf>
    <xf numFmtId="166" fontId="27" fillId="0" borderId="5" xfId="1" applyNumberFormat="1" applyFont="1" applyFill="1" applyBorder="1" applyAlignment="1" applyProtection="1">
      <alignment horizontal="center"/>
      <protection hidden="1"/>
    </xf>
    <xf numFmtId="165" fontId="12" fillId="0" borderId="15" xfId="1" applyNumberFormat="1" applyFont="1" applyFill="1" applyBorder="1" applyAlignment="1" applyProtection="1">
      <alignment horizontal="center"/>
      <protection hidden="1"/>
    </xf>
    <xf numFmtId="164" fontId="27" fillId="0" borderId="15" xfId="1" applyNumberFormat="1" applyFont="1" applyFill="1" applyBorder="1" applyAlignment="1" applyProtection="1">
      <alignment horizontal="center"/>
      <protection hidden="1"/>
    </xf>
    <xf numFmtId="166" fontId="27" fillId="0" borderId="9" xfId="7" applyNumberFormat="1" applyFont="1" applyFill="1" applyBorder="1" applyAlignment="1" applyProtection="1">
      <alignment horizontal="center"/>
      <protection hidden="1"/>
    </xf>
    <xf numFmtId="165" fontId="13" fillId="0" borderId="1" xfId="2" applyNumberFormat="1" applyFont="1" applyFill="1" applyBorder="1" applyAlignment="1" applyProtection="1">
      <alignment horizontal="center"/>
      <protection hidden="1"/>
    </xf>
    <xf numFmtId="49" fontId="18" fillId="0" borderId="5" xfId="7" applyNumberFormat="1" applyFont="1" applyFill="1" applyBorder="1" applyAlignment="1" applyProtection="1">
      <alignment horizontal="center"/>
      <protection hidden="1"/>
    </xf>
    <xf numFmtId="165" fontId="12" fillId="0" borderId="17" xfId="1" applyNumberFormat="1" applyFont="1" applyFill="1" applyBorder="1" applyAlignment="1" applyProtection="1">
      <alignment horizontal="center"/>
      <protection hidden="1"/>
    </xf>
    <xf numFmtId="165" fontId="10" fillId="0" borderId="5" xfId="1" applyNumberFormat="1" applyFont="1" applyFill="1" applyBorder="1" applyAlignment="1" applyProtection="1">
      <alignment horizontal="center"/>
      <protection hidden="1"/>
    </xf>
    <xf numFmtId="164" fontId="18" fillId="0" borderId="30" xfId="2" applyNumberFormat="1" applyFont="1" applyFill="1" applyBorder="1" applyAlignment="1" applyProtection="1">
      <alignment horizontal="center"/>
      <protection hidden="1"/>
    </xf>
    <xf numFmtId="0" fontId="18" fillId="0" borderId="2" xfId="0" applyFont="1" applyFill="1" applyBorder="1" applyAlignment="1">
      <alignment horizontal="center" wrapText="1"/>
    </xf>
    <xf numFmtId="0" fontId="18" fillId="0" borderId="43" xfId="0" applyFont="1" applyFill="1" applyBorder="1" applyAlignment="1">
      <alignment horizontal="center" wrapText="1"/>
    </xf>
    <xf numFmtId="164" fontId="27" fillId="0" borderId="31" xfId="2" applyNumberFormat="1" applyFont="1" applyFill="1" applyBorder="1" applyAlignment="1" applyProtection="1">
      <alignment horizontal="center"/>
      <protection hidden="1"/>
    </xf>
    <xf numFmtId="164" fontId="27" fillId="0" borderId="45" xfId="1" applyNumberFormat="1" applyFont="1" applyFill="1" applyBorder="1" applyAlignment="1" applyProtection="1">
      <alignment horizontal="center"/>
      <protection hidden="1"/>
    </xf>
    <xf numFmtId="166" fontId="27" fillId="0" borderId="15" xfId="1" applyNumberFormat="1" applyFont="1" applyFill="1" applyBorder="1" applyAlignment="1" applyProtection="1">
      <alignment horizontal="center"/>
      <protection hidden="1"/>
    </xf>
    <xf numFmtId="0" fontId="25" fillId="0" borderId="0" xfId="2" applyNumberFormat="1" applyFont="1" applyFill="1" applyBorder="1" applyAlignment="1" applyProtection="1">
      <alignment horizontal="center"/>
      <protection hidden="1"/>
    </xf>
    <xf numFmtId="164" fontId="25" fillId="0" borderId="2" xfId="2" applyNumberFormat="1" applyFont="1" applyFill="1" applyBorder="1" applyAlignment="1" applyProtection="1">
      <alignment horizontal="center" wrapText="1"/>
      <protection hidden="1"/>
    </xf>
    <xf numFmtId="164" fontId="26" fillId="0" borderId="2" xfId="2" applyNumberFormat="1" applyFont="1" applyFill="1" applyBorder="1" applyAlignment="1" applyProtection="1">
      <alignment horizontal="center" wrapText="1"/>
      <protection hidden="1"/>
    </xf>
    <xf numFmtId="164" fontId="25" fillId="0" borderId="6" xfId="2" applyNumberFormat="1" applyFont="1" applyFill="1" applyBorder="1" applyAlignment="1" applyProtection="1">
      <alignment horizontal="center" wrapText="1"/>
      <protection hidden="1"/>
    </xf>
    <xf numFmtId="164" fontId="12" fillId="0" borderId="7" xfId="2" applyNumberFormat="1" applyFont="1" applyFill="1" applyBorder="1" applyAlignment="1" applyProtection="1">
      <alignment horizontal="center" wrapText="1"/>
      <protection hidden="1"/>
    </xf>
    <xf numFmtId="164" fontId="12" fillId="0" borderId="1" xfId="2" applyNumberFormat="1" applyFont="1" applyFill="1" applyBorder="1" applyAlignment="1" applyProtection="1">
      <alignment horizontal="center" wrapText="1"/>
      <protection hidden="1"/>
    </xf>
    <xf numFmtId="164" fontId="13" fillId="0" borderId="2" xfId="2" applyNumberFormat="1" applyFont="1" applyFill="1" applyBorder="1" applyAlignment="1" applyProtection="1">
      <alignment horizontal="center" wrapText="1"/>
      <protection hidden="1"/>
    </xf>
    <xf numFmtId="164" fontId="13" fillId="0" borderId="4" xfId="4" applyNumberFormat="1" applyFont="1" applyFill="1" applyBorder="1" applyAlignment="1" applyProtection="1">
      <alignment horizontal="center" wrapText="1"/>
      <protection hidden="1"/>
    </xf>
    <xf numFmtId="164" fontId="12" fillId="0" borderId="2" xfId="2" applyNumberFormat="1" applyFont="1" applyFill="1" applyBorder="1" applyAlignment="1" applyProtection="1">
      <alignment horizontal="center" wrapText="1"/>
      <protection hidden="1"/>
    </xf>
    <xf numFmtId="164" fontId="13" fillId="0" borderId="6" xfId="2" applyNumberFormat="1" applyFont="1" applyFill="1" applyBorder="1" applyAlignment="1" applyProtection="1">
      <alignment horizontal="center" wrapText="1"/>
      <protection hidden="1"/>
    </xf>
    <xf numFmtId="164" fontId="12" fillId="0" borderId="17" xfId="2" applyNumberFormat="1" applyFont="1" applyFill="1" applyBorder="1" applyAlignment="1" applyProtection="1">
      <alignment horizontal="center" wrapText="1"/>
      <protection hidden="1"/>
    </xf>
    <xf numFmtId="49" fontId="12" fillId="0" borderId="30" xfId="1" applyNumberFormat="1" applyFont="1" applyFill="1" applyBorder="1" applyAlignment="1" applyProtection="1">
      <alignment horizontal="center" wrapText="1"/>
      <protection hidden="1"/>
    </xf>
    <xf numFmtId="164" fontId="12" fillId="0" borderId="6" xfId="2" applyNumberFormat="1" applyFont="1" applyFill="1" applyBorder="1" applyAlignment="1" applyProtection="1">
      <alignment horizontal="center" wrapText="1"/>
      <protection hidden="1"/>
    </xf>
    <xf numFmtId="164" fontId="17" fillId="0" borderId="2" xfId="2" applyNumberFormat="1" applyFont="1" applyFill="1" applyBorder="1" applyAlignment="1" applyProtection="1">
      <alignment horizontal="center" wrapText="1"/>
      <protection hidden="1"/>
    </xf>
    <xf numFmtId="164" fontId="12" fillId="0" borderId="8" xfId="2" applyNumberFormat="1" applyFont="1" applyFill="1" applyBorder="1" applyAlignment="1" applyProtection="1">
      <alignment horizontal="center" wrapText="1"/>
      <protection hidden="1"/>
    </xf>
    <xf numFmtId="164" fontId="13" fillId="0" borderId="27" xfId="2" applyNumberFormat="1" applyFont="1" applyFill="1" applyBorder="1" applyAlignment="1" applyProtection="1">
      <alignment horizontal="center" wrapText="1"/>
      <protection hidden="1"/>
    </xf>
    <xf numFmtId="0" fontId="18" fillId="0" borderId="0" xfId="2" applyFont="1" applyFill="1" applyAlignment="1">
      <alignment horizontal="center" wrapText="1"/>
    </xf>
    <xf numFmtId="0" fontId="16" fillId="0" borderId="0" xfId="3" applyFont="1" applyFill="1" applyAlignment="1" applyProtection="1">
      <alignment horizontal="left"/>
      <protection hidden="1"/>
    </xf>
    <xf numFmtId="0" fontId="18" fillId="0" borderId="0" xfId="3" applyFont="1" applyFill="1" applyAlignment="1" applyProtection="1">
      <alignment horizontal="left"/>
      <protection hidden="1"/>
    </xf>
    <xf numFmtId="0" fontId="18" fillId="0" borderId="0" xfId="3" applyFont="1" applyFill="1" applyAlignment="1" applyProtection="1">
      <alignment horizontal="center"/>
      <protection hidden="1"/>
    </xf>
    <xf numFmtId="0" fontId="18" fillId="0" borderId="11" xfId="2" applyFont="1" applyFill="1" applyBorder="1" applyAlignment="1">
      <alignment horizontal="center" wrapText="1"/>
    </xf>
    <xf numFmtId="4" fontId="21" fillId="0" borderId="7" xfId="3" applyNumberFormat="1" applyFont="1" applyFill="1" applyBorder="1" applyAlignment="1" applyProtection="1">
      <alignment horizontal="right" vertical="center"/>
      <protection hidden="1"/>
    </xf>
    <xf numFmtId="4" fontId="19" fillId="0" borderId="1" xfId="3" applyNumberFormat="1" applyFont="1" applyFill="1" applyBorder="1" applyAlignment="1" applyProtection="1">
      <protection hidden="1"/>
    </xf>
    <xf numFmtId="4" fontId="20" fillId="0" borderId="2" xfId="3" applyNumberFormat="1" applyFont="1" applyFill="1" applyBorder="1" applyAlignment="1" applyProtection="1">
      <protection hidden="1"/>
    </xf>
    <xf numFmtId="4" fontId="21" fillId="0" borderId="2" xfId="3" applyNumberFormat="1" applyFont="1" applyFill="1" applyBorder="1" applyAlignment="1" applyProtection="1">
      <protection hidden="1"/>
    </xf>
    <xf numFmtId="4" fontId="19" fillId="0" borderId="2" xfId="3" applyNumberFormat="1" applyFont="1" applyFill="1" applyBorder="1" applyAlignment="1" applyProtection="1">
      <protection hidden="1"/>
    </xf>
    <xf numFmtId="4" fontId="22" fillId="0" borderId="2" xfId="3" applyNumberFormat="1" applyFont="1" applyFill="1" applyBorder="1" applyAlignment="1" applyProtection="1">
      <protection hidden="1"/>
    </xf>
    <xf numFmtId="4" fontId="23" fillId="0" borderId="2" xfId="3" applyNumberFormat="1" applyFont="1" applyFill="1" applyBorder="1" applyAlignment="1" applyProtection="1">
      <protection hidden="1"/>
    </xf>
    <xf numFmtId="4" fontId="13" fillId="0" borderId="2" xfId="3" applyNumberFormat="1" applyFont="1" applyFill="1" applyBorder="1" applyAlignment="1" applyProtection="1">
      <protection hidden="1"/>
    </xf>
    <xf numFmtId="4" fontId="20" fillId="0" borderId="6" xfId="5" applyNumberFormat="1" applyFont="1" applyFill="1" applyBorder="1" applyAlignment="1" applyProtection="1">
      <protection hidden="1"/>
    </xf>
    <xf numFmtId="4" fontId="12" fillId="0" borderId="34" xfId="0" applyNumberFormat="1" applyFont="1" applyFill="1" applyBorder="1"/>
    <xf numFmtId="0" fontId="18" fillId="0" borderId="0" xfId="3" applyFont="1" applyFill="1" applyBorder="1" applyAlignment="1" applyProtection="1">
      <alignment horizontal="left"/>
      <protection hidden="1"/>
    </xf>
    <xf numFmtId="0" fontId="4" fillId="0" borderId="0" xfId="3" applyNumberFormat="1" applyFont="1" applyFill="1" applyAlignment="1" applyProtection="1">
      <alignment horizontal="center" wrapText="1"/>
      <protection hidden="1"/>
    </xf>
    <xf numFmtId="0" fontId="7" fillId="0" borderId="6" xfId="3" applyNumberFormat="1" applyFont="1" applyFill="1" applyBorder="1" applyAlignment="1" applyProtection="1">
      <alignment horizontal="center" wrapText="1"/>
      <protection hidden="1"/>
    </xf>
    <xf numFmtId="0" fontId="7" fillId="0" borderId="1" xfId="3" applyNumberFormat="1" applyFont="1" applyFill="1" applyBorder="1" applyAlignment="1" applyProtection="1">
      <alignment horizontal="center" wrapText="1"/>
      <protection hidden="1"/>
    </xf>
    <xf numFmtId="0" fontId="7" fillId="0" borderId="6" xfId="3" applyNumberFormat="1" applyFont="1" applyFill="1" applyBorder="1" applyAlignment="1" applyProtection="1">
      <alignment horizontal="center" vertical="center"/>
      <protection hidden="1"/>
    </xf>
    <xf numFmtId="0" fontId="7" fillId="0" borderId="1" xfId="3" applyNumberFormat="1" applyFont="1" applyFill="1" applyBorder="1" applyAlignment="1" applyProtection="1">
      <alignment horizontal="center" vertical="center"/>
      <protection hidden="1"/>
    </xf>
    <xf numFmtId="0" fontId="7" fillId="0" borderId="6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3" applyFont="1" applyFill="1" applyAlignment="1" applyProtection="1">
      <alignment horizontal="left"/>
      <protection hidden="1"/>
    </xf>
    <xf numFmtId="0" fontId="26" fillId="0" borderId="31" xfId="2" applyNumberFormat="1" applyFont="1" applyFill="1" applyBorder="1" applyAlignment="1" applyProtection="1">
      <alignment horizontal="center" wrapText="1"/>
      <protection hidden="1"/>
    </xf>
    <xf numFmtId="0" fontId="26" fillId="0" borderId="26" xfId="2" applyNumberFormat="1" applyFont="1" applyFill="1" applyBorder="1" applyAlignment="1" applyProtection="1">
      <alignment horizontal="center" wrapText="1"/>
      <protection hidden="1"/>
    </xf>
    <xf numFmtId="0" fontId="26" fillId="0" borderId="33" xfId="2" applyNumberFormat="1" applyFont="1" applyFill="1" applyBorder="1" applyAlignment="1" applyProtection="1">
      <alignment horizontal="center" wrapText="1"/>
      <protection hidden="1"/>
    </xf>
    <xf numFmtId="0" fontId="18" fillId="0" borderId="5" xfId="2" applyFont="1" applyFill="1" applyBorder="1" applyAlignment="1">
      <alignment horizontal="center"/>
    </xf>
    <xf numFmtId="0" fontId="18" fillId="0" borderId="30" xfId="2" applyFont="1" applyFill="1" applyBorder="1" applyAlignment="1">
      <alignment horizontal="center"/>
    </xf>
    <xf numFmtId="49" fontId="26" fillId="0" borderId="14" xfId="2" applyNumberFormat="1" applyFont="1" applyFill="1" applyBorder="1" applyAlignment="1" applyProtection="1">
      <alignment horizontal="center" vertical="center" wrapText="1"/>
      <protection hidden="1"/>
    </xf>
    <xf numFmtId="49" fontId="26" fillId="0" borderId="11" xfId="2" applyNumberFormat="1" applyFont="1" applyFill="1" applyBorder="1" applyAlignment="1" applyProtection="1">
      <alignment horizontal="center" vertical="center" wrapText="1"/>
      <protection hidden="1"/>
    </xf>
    <xf numFmtId="49" fontId="26" fillId="0" borderId="15" xfId="2" applyNumberFormat="1" applyFont="1" applyFill="1" applyBorder="1" applyAlignment="1" applyProtection="1">
      <alignment horizontal="center" vertical="center" wrapText="1"/>
      <protection hidden="1"/>
    </xf>
    <xf numFmtId="0" fontId="26" fillId="0" borderId="6" xfId="2" applyNumberFormat="1" applyFont="1" applyFill="1" applyBorder="1" applyAlignment="1" applyProtection="1">
      <alignment horizontal="center" wrapText="1"/>
      <protection hidden="1"/>
    </xf>
    <xf numFmtId="0" fontId="26" fillId="0" borderId="27" xfId="2" applyNumberFormat="1" applyFont="1" applyFill="1" applyBorder="1" applyAlignment="1" applyProtection="1">
      <alignment horizontal="center" wrapText="1"/>
      <protection hidden="1"/>
    </xf>
    <xf numFmtId="0" fontId="26" fillId="0" borderId="1" xfId="2" applyNumberFormat="1" applyFont="1" applyFill="1" applyBorder="1" applyAlignment="1" applyProtection="1">
      <alignment horizontal="center" wrapText="1"/>
      <protection hidden="1"/>
    </xf>
    <xf numFmtId="0" fontId="18" fillId="0" borderId="6" xfId="2" applyNumberFormat="1" applyFont="1" applyFill="1" applyBorder="1" applyAlignment="1" applyProtection="1">
      <alignment horizontal="center" wrapText="1"/>
      <protection hidden="1"/>
    </xf>
    <xf numFmtId="0" fontId="18" fillId="0" borderId="27" xfId="2" applyNumberFormat="1" applyFont="1" applyFill="1" applyBorder="1" applyAlignment="1" applyProtection="1">
      <alignment horizontal="center" wrapText="1"/>
      <protection hidden="1"/>
    </xf>
    <xf numFmtId="0" fontId="18" fillId="0" borderId="1" xfId="2" applyNumberFormat="1" applyFont="1" applyFill="1" applyBorder="1" applyAlignment="1" applyProtection="1">
      <alignment horizontal="center" wrapText="1"/>
      <protection hidden="1"/>
    </xf>
    <xf numFmtId="0" fontId="12" fillId="0" borderId="8" xfId="2" applyNumberFormat="1" applyFont="1" applyFill="1" applyBorder="1" applyAlignment="1" applyProtection="1">
      <alignment horizontal="center" wrapText="1"/>
      <protection hidden="1"/>
    </xf>
    <xf numFmtId="0" fontId="12" fillId="0" borderId="9" xfId="2" applyNumberFormat="1" applyFont="1" applyFill="1" applyBorder="1" applyAlignment="1" applyProtection="1">
      <alignment horizontal="center" wrapText="1"/>
      <protection hidden="1"/>
    </xf>
    <xf numFmtId="0" fontId="12" fillId="0" borderId="32" xfId="2" applyNumberFormat="1" applyFont="1" applyFill="1" applyBorder="1" applyAlignment="1" applyProtection="1">
      <alignment horizontal="center" wrapText="1"/>
      <protection hidden="1"/>
    </xf>
    <xf numFmtId="0" fontId="18" fillId="0" borderId="0" xfId="3" applyFont="1" applyFill="1" applyAlignment="1" applyProtection="1">
      <alignment horizontal="left"/>
      <protection hidden="1"/>
    </xf>
    <xf numFmtId="0" fontId="30" fillId="0" borderId="0" xfId="2" applyFont="1" applyFill="1" applyAlignment="1">
      <alignment horizontal="center" wrapText="1"/>
    </xf>
    <xf numFmtId="0" fontId="18" fillId="0" borderId="12" xfId="2" applyFont="1" applyFill="1" applyBorder="1" applyAlignment="1">
      <alignment horizontal="center"/>
    </xf>
    <xf numFmtId="0" fontId="18" fillId="0" borderId="0" xfId="3" applyFont="1" applyFill="1" applyAlignment="1" applyProtection="1">
      <alignment horizontal="center"/>
      <protection hidden="1"/>
    </xf>
    <xf numFmtId="0" fontId="9" fillId="0" borderId="0" xfId="2" applyFont="1" applyFill="1" applyAlignment="1">
      <alignment horizontal="center" wrapText="1"/>
    </xf>
    <xf numFmtId="0" fontId="18" fillId="0" borderId="24" xfId="2" applyFont="1" applyFill="1" applyBorder="1" applyAlignment="1">
      <alignment horizontal="center"/>
    </xf>
    <xf numFmtId="0" fontId="18" fillId="0" borderId="27" xfId="2" applyFont="1" applyFill="1" applyBorder="1" applyAlignment="1">
      <alignment horizontal="center"/>
    </xf>
    <xf numFmtId="0" fontId="18" fillId="0" borderId="35" xfId="2" applyFont="1" applyFill="1" applyBorder="1" applyAlignment="1">
      <alignment horizontal="center"/>
    </xf>
    <xf numFmtId="0" fontId="28" fillId="0" borderId="0" xfId="1" applyNumberFormat="1" applyFont="1" applyFill="1" applyAlignment="1" applyProtection="1">
      <alignment horizontal="center" vertical="center" wrapText="1"/>
      <protection hidden="1"/>
    </xf>
    <xf numFmtId="49" fontId="13" fillId="0" borderId="40" xfId="2" applyNumberFormat="1" applyFont="1" applyFill="1" applyBorder="1" applyAlignment="1" applyProtection="1">
      <alignment horizontal="center" vertical="justify" wrapText="1"/>
      <protection hidden="1"/>
    </xf>
    <xf numFmtId="49" fontId="13" fillId="0" borderId="18" xfId="2" applyNumberFormat="1" applyFont="1" applyFill="1" applyBorder="1" applyAlignment="1" applyProtection="1">
      <alignment horizontal="center" vertical="justify" wrapText="1"/>
      <protection hidden="1"/>
    </xf>
    <xf numFmtId="49" fontId="13" fillId="0" borderId="41" xfId="2" applyNumberFormat="1" applyFont="1" applyFill="1" applyBorder="1" applyAlignment="1" applyProtection="1">
      <alignment horizontal="center" vertical="justify" wrapText="1"/>
      <protection hidden="1"/>
    </xf>
    <xf numFmtId="0" fontId="18" fillId="0" borderId="42" xfId="2" applyNumberFormat="1" applyFont="1" applyFill="1" applyBorder="1" applyAlignment="1" applyProtection="1">
      <alignment horizontal="center" wrapText="1"/>
      <protection hidden="1"/>
    </xf>
    <xf numFmtId="0" fontId="18" fillId="0" borderId="2" xfId="2" applyNumberFormat="1" applyFont="1" applyFill="1" applyBorder="1" applyAlignment="1" applyProtection="1">
      <alignment horizontal="center" wrapText="1"/>
      <protection hidden="1"/>
    </xf>
    <xf numFmtId="0" fontId="18" fillId="0" borderId="29" xfId="2" applyNumberFormat="1" applyFont="1" applyFill="1" applyBorder="1" applyAlignment="1" applyProtection="1">
      <alignment horizontal="center" wrapText="1"/>
      <protection hidden="1"/>
    </xf>
    <xf numFmtId="0" fontId="33" fillId="2" borderId="0" xfId="6" applyNumberFormat="1" applyFont="1" applyFill="1" applyBorder="1" applyAlignment="1" applyProtection="1">
      <alignment horizontal="center"/>
      <protection hidden="1"/>
    </xf>
    <xf numFmtId="0" fontId="36" fillId="2" borderId="0" xfId="6" applyNumberFormat="1" applyFont="1" applyFill="1" applyBorder="1" applyAlignment="1" applyProtection="1">
      <protection hidden="1"/>
    </xf>
    <xf numFmtId="0" fontId="33" fillId="2" borderId="0" xfId="6" applyFont="1" applyFill="1" applyBorder="1"/>
    <xf numFmtId="0" fontId="37" fillId="2" borderId="0" xfId="6" applyFont="1" applyFill="1" applyBorder="1"/>
    <xf numFmtId="4" fontId="33" fillId="2" borderId="0" xfId="6" applyNumberFormat="1" applyFont="1" applyFill="1" applyBorder="1"/>
    <xf numFmtId="0" fontId="36" fillId="2" borderId="0" xfId="6" applyNumberFormat="1" applyFont="1" applyFill="1" applyBorder="1" applyAlignment="1" applyProtection="1">
      <alignment horizontal="center"/>
      <protection hidden="1"/>
    </xf>
    <xf numFmtId="172" fontId="33" fillId="2" borderId="0" xfId="6" applyNumberFormat="1" applyFont="1" applyFill="1" applyBorder="1"/>
    <xf numFmtId="0" fontId="42" fillId="2" borderId="0" xfId="6" applyFont="1" applyFill="1" applyBorder="1"/>
    <xf numFmtId="170" fontId="43" fillId="2" borderId="0" xfId="6" applyNumberFormat="1" applyFont="1" applyFill="1" applyBorder="1" applyAlignment="1" applyProtection="1">
      <alignment horizontal="center" wrapText="1"/>
      <protection hidden="1"/>
    </xf>
    <xf numFmtId="4" fontId="43" fillId="2" borderId="0" xfId="6" applyNumberFormat="1" applyFont="1" applyFill="1" applyBorder="1" applyAlignment="1" applyProtection="1">
      <alignment horizontal="center" wrapText="1"/>
      <protection hidden="1"/>
    </xf>
    <xf numFmtId="10" fontId="33" fillId="2" borderId="0" xfId="6" applyNumberFormat="1" applyFont="1" applyFill="1" applyBorder="1"/>
    <xf numFmtId="9" fontId="33" fillId="2" borderId="0" xfId="6" applyNumberFormat="1" applyFont="1" applyFill="1" applyBorder="1"/>
    <xf numFmtId="0" fontId="48" fillId="2" borderId="0" xfId="6" applyFont="1" applyFill="1" applyBorder="1"/>
    <xf numFmtId="0" fontId="33" fillId="2" borderId="0" xfId="6" applyFont="1" applyFill="1" applyBorder="1" applyAlignment="1">
      <alignment wrapText="1"/>
    </xf>
    <xf numFmtId="4" fontId="42" fillId="2" borderId="0" xfId="6" applyNumberFormat="1" applyFont="1" applyFill="1" applyBorder="1"/>
    <xf numFmtId="0" fontId="33" fillId="2" borderId="0" xfId="6" applyFont="1" applyFill="1" applyBorder="1" applyProtection="1">
      <protection hidden="1"/>
    </xf>
    <xf numFmtId="49" fontId="33" fillId="2" borderId="0" xfId="6" applyNumberFormat="1" applyFont="1" applyFill="1" applyBorder="1" applyAlignment="1" applyProtection="1">
      <alignment horizontal="center" vertical="center"/>
      <protection hidden="1"/>
    </xf>
    <xf numFmtId="4" fontId="33" fillId="2" borderId="0" xfId="6" applyNumberFormat="1" applyFont="1" applyFill="1" applyBorder="1" applyProtection="1">
      <protection hidden="1"/>
    </xf>
    <xf numFmtId="0" fontId="34" fillId="2" borderId="0" xfId="6" applyNumberFormat="1" applyFont="1" applyFill="1" applyBorder="1" applyAlignment="1" applyProtection="1">
      <protection hidden="1"/>
    </xf>
    <xf numFmtId="4" fontId="33" fillId="2" borderId="0" xfId="6" applyNumberFormat="1" applyFont="1" applyFill="1" applyBorder="1" applyAlignment="1" applyProtection="1">
      <alignment horizontal="center"/>
      <protection hidden="1"/>
    </xf>
    <xf numFmtId="49" fontId="35" fillId="2" borderId="0" xfId="6" applyNumberFormat="1" applyFont="1" applyFill="1" applyBorder="1" applyAlignment="1" applyProtection="1">
      <alignment horizontal="center" vertical="center"/>
      <protection hidden="1"/>
    </xf>
    <xf numFmtId="4" fontId="33" fillId="2" borderId="0" xfId="6" applyNumberFormat="1" applyFont="1" applyFill="1" applyBorder="1" applyAlignment="1" applyProtection="1">
      <protection hidden="1"/>
    </xf>
    <xf numFmtId="0" fontId="33" fillId="2" borderId="0" xfId="6" applyFont="1" applyFill="1" applyBorder="1" applyAlignment="1" applyProtection="1">
      <alignment horizontal="center"/>
      <protection hidden="1"/>
    </xf>
    <xf numFmtId="0" fontId="33" fillId="2" borderId="0" xfId="6" applyFont="1" applyFill="1" applyBorder="1" applyAlignment="1" applyProtection="1">
      <protection hidden="1"/>
    </xf>
    <xf numFmtId="49" fontId="34" fillId="2" borderId="0" xfId="6" applyNumberFormat="1" applyFont="1" applyFill="1" applyBorder="1" applyAlignment="1" applyProtection="1">
      <alignment horizontal="center" vertical="center"/>
      <protection hidden="1"/>
    </xf>
    <xf numFmtId="0" fontId="33" fillId="2" borderId="0" xfId="6" applyNumberFormat="1" applyFont="1" applyFill="1" applyBorder="1" applyAlignment="1" applyProtection="1">
      <alignment horizontal="center" vertical="center"/>
      <protection hidden="1"/>
    </xf>
    <xf numFmtId="0" fontId="38" fillId="2" borderId="0" xfId="6" applyNumberFormat="1" applyFont="1" applyFill="1" applyBorder="1" applyAlignment="1" applyProtection="1">
      <alignment horizontal="center"/>
      <protection hidden="1"/>
    </xf>
    <xf numFmtId="0" fontId="36" fillId="2" borderId="0" xfId="6" applyNumberFormat="1" applyFont="1" applyFill="1" applyBorder="1" applyAlignment="1" applyProtection="1">
      <alignment horizontal="center" vertical="center"/>
      <protection hidden="1"/>
    </xf>
    <xf numFmtId="49" fontId="36" fillId="2" borderId="0" xfId="6" applyNumberFormat="1" applyFont="1" applyFill="1" applyBorder="1" applyAlignment="1" applyProtection="1">
      <alignment horizontal="center" vertical="center"/>
      <protection hidden="1"/>
    </xf>
    <xf numFmtId="3" fontId="39" fillId="2" borderId="0" xfId="6" applyNumberFormat="1" applyFont="1" applyFill="1" applyBorder="1" applyProtection="1">
      <protection hidden="1"/>
    </xf>
    <xf numFmtId="0" fontId="34" fillId="2" borderId="0" xfId="6" applyNumberFormat="1" applyFont="1" applyFill="1" applyBorder="1" applyAlignment="1" applyProtection="1">
      <alignment horizontal="center" vertical="center"/>
      <protection hidden="1"/>
    </xf>
    <xf numFmtId="4" fontId="33" fillId="2" borderId="0" xfId="6" applyNumberFormat="1" applyFont="1" applyFill="1" applyBorder="1" applyAlignment="1" applyProtection="1">
      <alignment horizontal="center"/>
      <protection hidden="1"/>
    </xf>
    <xf numFmtId="4" fontId="40" fillId="2" borderId="0" xfId="0" applyNumberFormat="1" applyFont="1" applyFill="1" applyBorder="1"/>
    <xf numFmtId="3" fontId="34" fillId="2" borderId="0" xfId="6" applyNumberFormat="1" applyFont="1" applyFill="1" applyBorder="1" applyAlignment="1" applyProtection="1">
      <protection hidden="1"/>
    </xf>
    <xf numFmtId="0" fontId="41" fillId="2" borderId="0" xfId="6" applyNumberFormat="1" applyFont="1" applyFill="1" applyBorder="1" applyAlignment="1" applyProtection="1">
      <protection hidden="1"/>
    </xf>
    <xf numFmtId="0" fontId="41" fillId="2" borderId="0" xfId="6" applyNumberFormat="1" applyFont="1" applyFill="1" applyBorder="1" applyAlignment="1" applyProtection="1">
      <alignment horizontal="center" vertical="center" wrapText="1"/>
      <protection hidden="1"/>
    </xf>
    <xf numFmtId="0" fontId="41" fillId="2" borderId="0" xfId="6" applyNumberFormat="1" applyFont="1" applyFill="1" applyBorder="1" applyAlignment="1" applyProtection="1">
      <alignment horizontal="center" vertical="center"/>
      <protection hidden="1"/>
    </xf>
    <xf numFmtId="49" fontId="41" fillId="2" borderId="0" xfId="6" applyNumberFormat="1" applyFont="1" applyFill="1" applyBorder="1" applyAlignment="1" applyProtection="1">
      <alignment horizontal="center" vertical="center"/>
      <protection hidden="1"/>
    </xf>
    <xf numFmtId="0" fontId="41" fillId="2" borderId="0" xfId="6" applyNumberFormat="1" applyFont="1" applyFill="1" applyBorder="1" applyAlignment="1" applyProtection="1">
      <alignment horizontal="center"/>
      <protection hidden="1"/>
    </xf>
    <xf numFmtId="0" fontId="42" fillId="2" borderId="0" xfId="6" applyNumberFormat="1" applyFont="1" applyFill="1" applyBorder="1" applyAlignment="1" applyProtection="1">
      <alignment horizontal="center"/>
      <protection hidden="1"/>
    </xf>
    <xf numFmtId="4" fontId="41" fillId="2" borderId="0" xfId="6" applyNumberFormat="1" applyFont="1" applyFill="1" applyBorder="1" applyAlignment="1" applyProtection="1">
      <alignment horizontal="center"/>
      <protection hidden="1"/>
    </xf>
    <xf numFmtId="0" fontId="42" fillId="2" borderId="0" xfId="6" applyNumberFormat="1" applyFont="1" applyFill="1" applyBorder="1" applyAlignment="1" applyProtection="1">
      <alignment horizontal="center" vertical="center" wrapText="1"/>
      <protection hidden="1"/>
    </xf>
    <xf numFmtId="4" fontId="42" fillId="2" borderId="0" xfId="6" applyNumberFormat="1" applyFont="1" applyFill="1" applyBorder="1" applyAlignment="1" applyProtection="1">
      <alignment horizontal="center" vertical="center" wrapText="1"/>
      <protection hidden="1"/>
    </xf>
    <xf numFmtId="0" fontId="42" fillId="2" borderId="0" xfId="6" applyNumberFormat="1" applyFont="1" applyFill="1" applyBorder="1" applyAlignment="1" applyProtection="1">
      <alignment horizontal="center" vertical="center" wrapText="1"/>
      <protection hidden="1"/>
    </xf>
    <xf numFmtId="0" fontId="41" fillId="2" borderId="0" xfId="6" applyNumberFormat="1" applyFont="1" applyFill="1" applyBorder="1" applyAlignment="1" applyProtection="1">
      <alignment horizontal="center" wrapText="1"/>
      <protection hidden="1"/>
    </xf>
    <xf numFmtId="0" fontId="33" fillId="2" borderId="0" xfId="6" applyNumberFormat="1" applyFont="1" applyFill="1" applyBorder="1" applyAlignment="1" applyProtection="1">
      <protection hidden="1"/>
    </xf>
    <xf numFmtId="49" fontId="41" fillId="2" borderId="0" xfId="6" applyNumberFormat="1" applyFont="1" applyFill="1" applyBorder="1" applyAlignment="1" applyProtection="1">
      <alignment horizontal="center" vertical="center" wrapText="1"/>
      <protection hidden="1"/>
    </xf>
    <xf numFmtId="4" fontId="41" fillId="2" borderId="0" xfId="6" applyNumberFormat="1" applyFont="1" applyFill="1" applyBorder="1" applyAlignment="1" applyProtection="1">
      <protection hidden="1"/>
    </xf>
    <xf numFmtId="1" fontId="36" fillId="2" borderId="0" xfId="6" applyNumberFormat="1" applyFont="1" applyFill="1" applyBorder="1" applyAlignment="1" applyProtection="1">
      <alignment horizontal="center" vertical="center"/>
      <protection hidden="1"/>
    </xf>
    <xf numFmtId="167" fontId="43" fillId="2" borderId="0" xfId="6" applyNumberFormat="1" applyFont="1" applyFill="1" applyBorder="1" applyAlignment="1" applyProtection="1">
      <alignment wrapText="1"/>
      <protection hidden="1"/>
    </xf>
    <xf numFmtId="4" fontId="36" fillId="2" borderId="0" xfId="6" applyNumberFormat="1" applyFont="1" applyFill="1" applyBorder="1" applyAlignment="1" applyProtection="1">
      <alignment horizontal="center" vertical="center"/>
      <protection hidden="1"/>
    </xf>
    <xf numFmtId="0" fontId="44" fillId="2" borderId="0" xfId="3" applyNumberFormat="1" applyFont="1" applyFill="1" applyBorder="1" applyAlignment="1" applyProtection="1">
      <alignment horizontal="left" wrapText="1"/>
      <protection hidden="1"/>
    </xf>
    <xf numFmtId="170" fontId="43" fillId="2" borderId="0" xfId="6" applyNumberFormat="1" applyFont="1" applyFill="1" applyBorder="1" applyAlignment="1" applyProtection="1">
      <alignment wrapText="1"/>
      <protection hidden="1"/>
    </xf>
    <xf numFmtId="170" fontId="34" fillId="2" borderId="0" xfId="6" applyNumberFormat="1" applyFont="1" applyFill="1" applyBorder="1" applyAlignment="1" applyProtection="1">
      <alignment wrapText="1"/>
      <protection hidden="1"/>
    </xf>
    <xf numFmtId="170" fontId="43" fillId="2" borderId="0" xfId="6" applyNumberFormat="1" applyFont="1" applyFill="1" applyBorder="1" applyAlignment="1" applyProtection="1">
      <alignment wrapText="1"/>
      <protection hidden="1"/>
    </xf>
    <xf numFmtId="169" fontId="34" fillId="2" borderId="0" xfId="6" applyNumberFormat="1" applyFont="1" applyFill="1" applyBorder="1" applyAlignment="1" applyProtection="1">
      <protection hidden="1"/>
    </xf>
    <xf numFmtId="164" fontId="34" fillId="2" borderId="0" xfId="6" applyNumberFormat="1" applyFont="1" applyFill="1" applyBorder="1" applyAlignment="1" applyProtection="1">
      <alignment wrapText="1"/>
      <protection hidden="1"/>
    </xf>
    <xf numFmtId="166" fontId="34" fillId="2" borderId="0" xfId="6" applyNumberFormat="1" applyFont="1" applyFill="1" applyBorder="1" applyAlignment="1" applyProtection="1">
      <protection hidden="1"/>
    </xf>
    <xf numFmtId="164" fontId="34" fillId="2" borderId="0" xfId="6" applyNumberFormat="1" applyFont="1" applyFill="1" applyBorder="1" applyAlignment="1" applyProtection="1">
      <protection hidden="1"/>
    </xf>
    <xf numFmtId="167" fontId="34" fillId="2" borderId="0" xfId="6" applyNumberFormat="1" applyFont="1" applyFill="1" applyBorder="1" applyAlignment="1" applyProtection="1">
      <protection hidden="1"/>
    </xf>
    <xf numFmtId="167" fontId="34" fillId="2" borderId="0" xfId="6" applyNumberFormat="1" applyFont="1" applyFill="1" applyBorder="1" applyAlignment="1" applyProtection="1">
      <alignment wrapText="1"/>
      <protection hidden="1"/>
    </xf>
    <xf numFmtId="4" fontId="34" fillId="2" borderId="0" xfId="6" applyNumberFormat="1" applyFont="1" applyFill="1" applyBorder="1" applyAlignment="1" applyProtection="1">
      <alignment wrapText="1"/>
      <protection hidden="1"/>
    </xf>
    <xf numFmtId="40" fontId="34" fillId="2" borderId="0" xfId="6" applyNumberFormat="1" applyFont="1" applyFill="1" applyBorder="1" applyAlignment="1" applyProtection="1">
      <protection hidden="1"/>
    </xf>
    <xf numFmtId="10" fontId="34" fillId="2" borderId="0" xfId="6" applyNumberFormat="1" applyFont="1" applyFill="1" applyBorder="1" applyAlignment="1" applyProtection="1">
      <protection hidden="1"/>
    </xf>
    <xf numFmtId="4" fontId="36" fillId="2" borderId="0" xfId="6" applyNumberFormat="1" applyFont="1" applyFill="1" applyBorder="1" applyAlignment="1" applyProtection="1">
      <alignment wrapText="1"/>
      <protection hidden="1"/>
    </xf>
    <xf numFmtId="4" fontId="43" fillId="2" borderId="0" xfId="6" applyNumberFormat="1" applyFont="1" applyFill="1" applyBorder="1" applyAlignment="1" applyProtection="1">
      <alignment wrapText="1"/>
      <protection hidden="1"/>
    </xf>
    <xf numFmtId="167" fontId="43" fillId="2" borderId="0" xfId="6" applyNumberFormat="1" applyFont="1" applyFill="1" applyBorder="1" applyAlignment="1" applyProtection="1">
      <protection hidden="1"/>
    </xf>
    <xf numFmtId="3" fontId="43" fillId="2" borderId="0" xfId="6" applyNumberFormat="1" applyFont="1" applyFill="1" applyBorder="1" applyAlignment="1" applyProtection="1">
      <alignment wrapText="1"/>
      <protection hidden="1"/>
    </xf>
    <xf numFmtId="4" fontId="34" fillId="2" borderId="0" xfId="6" applyNumberFormat="1" applyFont="1" applyFill="1" applyBorder="1" applyAlignment="1" applyProtection="1">
      <protection hidden="1"/>
    </xf>
    <xf numFmtId="0" fontId="45" fillId="2" borderId="0" xfId="0" applyFont="1" applyFill="1" applyBorder="1" applyAlignment="1">
      <alignment horizontal="center" wrapText="1"/>
    </xf>
    <xf numFmtId="4" fontId="45" fillId="2" borderId="0" xfId="0" applyNumberFormat="1" applyFont="1" applyFill="1" applyBorder="1" applyAlignment="1">
      <alignment horizontal="center" wrapText="1"/>
    </xf>
    <xf numFmtId="0" fontId="42" fillId="2" borderId="0" xfId="6" applyFont="1" applyFill="1" applyBorder="1" applyProtection="1">
      <protection hidden="1"/>
    </xf>
    <xf numFmtId="170" fontId="36" fillId="2" borderId="0" xfId="6" applyNumberFormat="1" applyFont="1" applyFill="1" applyBorder="1" applyAlignment="1" applyProtection="1">
      <alignment wrapText="1"/>
      <protection hidden="1"/>
    </xf>
    <xf numFmtId="169" fontId="36" fillId="2" borderId="0" xfId="6" applyNumberFormat="1" applyFont="1" applyFill="1" applyBorder="1" applyAlignment="1" applyProtection="1">
      <protection hidden="1"/>
    </xf>
    <xf numFmtId="164" fontId="36" fillId="2" borderId="0" xfId="6" applyNumberFormat="1" applyFont="1" applyFill="1" applyBorder="1" applyAlignment="1" applyProtection="1">
      <alignment wrapText="1"/>
      <protection hidden="1"/>
    </xf>
    <xf numFmtId="167" fontId="36" fillId="2" borderId="0" xfId="6" applyNumberFormat="1" applyFont="1" applyFill="1" applyBorder="1" applyAlignment="1" applyProtection="1">
      <protection hidden="1"/>
    </xf>
    <xf numFmtId="167" fontId="36" fillId="2" borderId="0" xfId="6" applyNumberFormat="1" applyFont="1" applyFill="1" applyBorder="1" applyAlignment="1" applyProtection="1">
      <alignment wrapText="1"/>
      <protection hidden="1"/>
    </xf>
    <xf numFmtId="4" fontId="46" fillId="2" borderId="0" xfId="0" applyNumberFormat="1" applyFont="1" applyFill="1" applyBorder="1" applyAlignment="1">
      <alignment horizontal="center" wrapText="1"/>
    </xf>
    <xf numFmtId="40" fontId="36" fillId="2" borderId="0" xfId="6" applyNumberFormat="1" applyFont="1" applyFill="1" applyBorder="1" applyAlignment="1" applyProtection="1">
      <protection hidden="1"/>
    </xf>
    <xf numFmtId="10" fontId="36" fillId="2" borderId="0" xfId="6" applyNumberFormat="1" applyFont="1" applyFill="1" applyBorder="1" applyAlignment="1" applyProtection="1">
      <protection hidden="1"/>
    </xf>
    <xf numFmtId="0" fontId="42" fillId="2" borderId="0" xfId="6" applyNumberFormat="1" applyFont="1" applyFill="1" applyBorder="1" applyAlignment="1" applyProtection="1">
      <protection hidden="1"/>
    </xf>
    <xf numFmtId="2" fontId="34" fillId="2" borderId="0" xfId="6" applyNumberFormat="1" applyFont="1" applyFill="1" applyBorder="1" applyAlignment="1" applyProtection="1">
      <alignment wrapText="1"/>
      <protection hidden="1"/>
    </xf>
    <xf numFmtId="170" fontId="43" fillId="2" borderId="0" xfId="6" applyNumberFormat="1" applyFont="1" applyFill="1" applyBorder="1" applyAlignment="1" applyProtection="1">
      <alignment horizontal="center" wrapText="1"/>
      <protection hidden="1"/>
    </xf>
    <xf numFmtId="167" fontId="43" fillId="2" borderId="0" xfId="6" applyNumberFormat="1" applyFont="1" applyFill="1" applyBorder="1" applyAlignment="1" applyProtection="1">
      <protection hidden="1"/>
    </xf>
    <xf numFmtId="40" fontId="43" fillId="2" borderId="0" xfId="6" applyNumberFormat="1" applyFont="1" applyFill="1" applyBorder="1" applyAlignment="1" applyProtection="1">
      <protection hidden="1"/>
    </xf>
    <xf numFmtId="4" fontId="43" fillId="2" borderId="0" xfId="6" applyNumberFormat="1" applyFont="1" applyFill="1" applyBorder="1" applyAlignment="1" applyProtection="1">
      <protection hidden="1"/>
    </xf>
    <xf numFmtId="170" fontId="43" fillId="2" borderId="0" xfId="6" applyNumberFormat="1" applyFont="1" applyFill="1" applyBorder="1" applyAlignment="1" applyProtection="1">
      <alignment horizontal="left" wrapText="1"/>
      <protection hidden="1"/>
    </xf>
    <xf numFmtId="0" fontId="36" fillId="2" borderId="0" xfId="6" applyFont="1" applyFill="1" applyBorder="1"/>
    <xf numFmtId="1" fontId="43" fillId="2" borderId="0" xfId="6" applyNumberFormat="1" applyFont="1" applyFill="1" applyBorder="1" applyAlignment="1" applyProtection="1">
      <alignment wrapText="1"/>
      <protection hidden="1"/>
    </xf>
    <xf numFmtId="1" fontId="34" fillId="2" borderId="0" xfId="6" applyNumberFormat="1" applyFont="1" applyFill="1" applyBorder="1" applyAlignment="1" applyProtection="1">
      <alignment wrapText="1"/>
      <protection hidden="1"/>
    </xf>
    <xf numFmtId="164" fontId="34" fillId="2" borderId="0" xfId="6" applyNumberFormat="1" applyFont="1" applyFill="1" applyBorder="1" applyAlignment="1" applyProtection="1">
      <alignment horizontal="center"/>
      <protection hidden="1"/>
    </xf>
    <xf numFmtId="171" fontId="34" fillId="2" borderId="0" xfId="6" applyNumberFormat="1" applyFont="1" applyFill="1" applyBorder="1" applyAlignment="1" applyProtection="1">
      <protection hidden="1"/>
    </xf>
    <xf numFmtId="4" fontId="36" fillId="2" borderId="0" xfId="6" applyNumberFormat="1" applyFont="1" applyFill="1" applyBorder="1" applyAlignment="1" applyProtection="1">
      <protection hidden="1"/>
    </xf>
    <xf numFmtId="49" fontId="42" fillId="2" borderId="0" xfId="6" applyNumberFormat="1" applyFont="1" applyFill="1" applyBorder="1" applyAlignment="1">
      <alignment horizontal="left" wrapText="1"/>
    </xf>
    <xf numFmtId="4" fontId="47" fillId="2" borderId="0" xfId="0" applyNumberFormat="1" applyFont="1" applyFill="1" applyBorder="1" applyAlignment="1">
      <alignment horizontal="center"/>
    </xf>
    <xf numFmtId="4" fontId="34" fillId="2" borderId="0" xfId="6" applyNumberFormat="1" applyFont="1" applyFill="1" applyBorder="1" applyAlignment="1">
      <alignment wrapText="1"/>
    </xf>
    <xf numFmtId="4" fontId="34" fillId="2" borderId="0" xfId="6" applyNumberFormat="1" applyFont="1" applyFill="1" applyBorder="1"/>
    <xf numFmtId="4" fontId="34" fillId="2" borderId="0" xfId="0" applyNumberFormat="1" applyFont="1" applyFill="1" applyBorder="1"/>
    <xf numFmtId="172" fontId="34" fillId="2" borderId="0" xfId="6" applyNumberFormat="1" applyFont="1" applyFill="1" applyBorder="1" applyAlignment="1" applyProtection="1">
      <alignment wrapText="1"/>
      <protection hidden="1"/>
    </xf>
    <xf numFmtId="0" fontId="48" fillId="2" borderId="0" xfId="6" applyFont="1" applyFill="1" applyBorder="1" applyProtection="1">
      <protection hidden="1"/>
    </xf>
    <xf numFmtId="169" fontId="43" fillId="2" borderId="0" xfId="6" applyNumberFormat="1" applyFont="1" applyFill="1" applyBorder="1" applyAlignment="1" applyProtection="1">
      <protection hidden="1"/>
    </xf>
    <xf numFmtId="164" fontId="43" fillId="2" borderId="0" xfId="6" applyNumberFormat="1" applyFont="1" applyFill="1" applyBorder="1" applyAlignment="1" applyProtection="1">
      <alignment wrapText="1"/>
      <protection hidden="1"/>
    </xf>
    <xf numFmtId="164" fontId="43" fillId="2" borderId="0" xfId="6" applyNumberFormat="1" applyFont="1" applyFill="1" applyBorder="1" applyAlignment="1" applyProtection="1">
      <protection hidden="1"/>
    </xf>
    <xf numFmtId="171" fontId="43" fillId="2" borderId="0" xfId="6" applyNumberFormat="1" applyFont="1" applyFill="1" applyBorder="1" applyAlignment="1" applyProtection="1">
      <protection hidden="1"/>
    </xf>
    <xf numFmtId="10" fontId="43" fillId="2" borderId="0" xfId="6" applyNumberFormat="1" applyFont="1" applyFill="1" applyBorder="1" applyAlignment="1" applyProtection="1">
      <protection hidden="1"/>
    </xf>
    <xf numFmtId="0" fontId="48" fillId="2" borderId="0" xfId="6" applyNumberFormat="1" applyFont="1" applyFill="1" applyBorder="1" applyAlignment="1" applyProtection="1">
      <protection hidden="1"/>
    </xf>
    <xf numFmtId="40" fontId="49" fillId="2" borderId="0" xfId="6" applyNumberFormat="1" applyFont="1" applyFill="1" applyBorder="1" applyAlignment="1" applyProtection="1">
      <protection hidden="1"/>
    </xf>
    <xf numFmtId="4" fontId="49" fillId="2" borderId="0" xfId="6" applyNumberFormat="1" applyFont="1" applyFill="1" applyBorder="1" applyAlignment="1" applyProtection="1">
      <protection hidden="1"/>
    </xf>
    <xf numFmtId="164" fontId="49" fillId="2" borderId="0" xfId="6" applyNumberFormat="1" applyFont="1" applyFill="1" applyBorder="1" applyAlignment="1" applyProtection="1">
      <protection hidden="1"/>
    </xf>
    <xf numFmtId="4" fontId="49" fillId="2" borderId="0" xfId="6" applyNumberFormat="1" applyFont="1" applyFill="1" applyBorder="1" applyAlignment="1" applyProtection="1">
      <alignment wrapText="1"/>
      <protection hidden="1"/>
    </xf>
    <xf numFmtId="40" fontId="34" fillId="2" borderId="0" xfId="6" applyNumberFormat="1" applyFont="1" applyFill="1" applyBorder="1" applyAlignment="1" applyProtection="1">
      <alignment wrapText="1"/>
      <protection hidden="1"/>
    </xf>
    <xf numFmtId="40" fontId="43" fillId="2" borderId="0" xfId="6" applyNumberFormat="1" applyFont="1" applyFill="1" applyBorder="1" applyAlignment="1" applyProtection="1">
      <alignment wrapText="1"/>
      <protection hidden="1"/>
    </xf>
    <xf numFmtId="49" fontId="33" fillId="2" borderId="0" xfId="6" applyNumberFormat="1" applyFont="1" applyFill="1" applyBorder="1" applyAlignment="1">
      <alignment horizontal="center" vertical="center"/>
    </xf>
    <xf numFmtId="170" fontId="34" fillId="2" borderId="0" xfId="6" applyNumberFormat="1" applyFont="1" applyFill="1" applyBorder="1" applyAlignment="1" applyProtection="1">
      <alignment horizontal="left" wrapText="1"/>
      <protection hidden="1"/>
    </xf>
    <xf numFmtId="4" fontId="34" fillId="2" borderId="0" xfId="6" applyNumberFormat="1" applyFont="1" applyFill="1" applyBorder="1" applyAlignment="1" applyProtection="1">
      <alignment horizontal="left" wrapText="1"/>
      <protection hidden="1"/>
    </xf>
    <xf numFmtId="166" fontId="36" fillId="2" borderId="0" xfId="6" applyNumberFormat="1" applyFont="1" applyFill="1" applyBorder="1" applyAlignment="1" applyProtection="1">
      <protection hidden="1"/>
    </xf>
    <xf numFmtId="164" fontId="36" fillId="2" borderId="0" xfId="6" applyNumberFormat="1" applyFont="1" applyFill="1" applyBorder="1" applyAlignment="1" applyProtection="1">
      <protection hidden="1"/>
    </xf>
    <xf numFmtId="170" fontId="43" fillId="2" borderId="0" xfId="6" applyNumberFormat="1" applyFont="1" applyFill="1" applyBorder="1" applyAlignment="1" applyProtection="1">
      <protection hidden="1"/>
    </xf>
    <xf numFmtId="0" fontId="50" fillId="2" borderId="0" xfId="0" applyFont="1" applyFill="1" applyBorder="1" applyAlignment="1"/>
    <xf numFmtId="0" fontId="51" fillId="2" borderId="0" xfId="0" applyFont="1" applyFill="1" applyBorder="1" applyAlignment="1">
      <alignment horizontal="center" wrapText="1"/>
    </xf>
    <xf numFmtId="4" fontId="50" fillId="2" borderId="0" xfId="0" applyNumberFormat="1" applyFont="1" applyFill="1" applyBorder="1" applyAlignment="1"/>
    <xf numFmtId="49" fontId="34" fillId="2" borderId="0" xfId="6" applyNumberFormat="1" applyFont="1" applyFill="1" applyBorder="1" applyAlignment="1" applyProtection="1">
      <protection hidden="1"/>
    </xf>
    <xf numFmtId="166" fontId="40" fillId="2" borderId="0" xfId="7" applyNumberFormat="1" applyFont="1" applyFill="1" applyBorder="1" applyAlignment="1" applyProtection="1">
      <alignment horizontal="left"/>
      <protection hidden="1"/>
    </xf>
    <xf numFmtId="170" fontId="49" fillId="2" borderId="0" xfId="6" applyNumberFormat="1" applyFont="1" applyFill="1" applyBorder="1" applyAlignment="1" applyProtection="1">
      <alignment horizontal="left" wrapText="1"/>
      <protection hidden="1"/>
    </xf>
    <xf numFmtId="166" fontId="52" fillId="2" borderId="0" xfId="7" applyNumberFormat="1" applyFont="1" applyFill="1" applyBorder="1" applyAlignment="1" applyProtection="1">
      <alignment horizontal="left"/>
      <protection hidden="1"/>
    </xf>
    <xf numFmtId="170" fontId="49" fillId="2" borderId="0" xfId="6" applyNumberFormat="1" applyFont="1" applyFill="1" applyBorder="1" applyAlignment="1" applyProtection="1">
      <alignment wrapText="1"/>
      <protection hidden="1"/>
    </xf>
    <xf numFmtId="173" fontId="34" fillId="2" borderId="0" xfId="6" applyNumberFormat="1" applyFont="1" applyFill="1" applyBorder="1" applyAlignment="1" applyProtection="1">
      <alignment wrapText="1"/>
      <protection hidden="1"/>
    </xf>
    <xf numFmtId="49" fontId="43" fillId="2" borderId="0" xfId="6" applyNumberFormat="1" applyFont="1" applyFill="1" applyBorder="1" applyAlignment="1" applyProtection="1">
      <alignment horizontal="center" vertical="center" wrapText="1"/>
      <protection hidden="1"/>
    </xf>
    <xf numFmtId="40" fontId="33" fillId="2" borderId="0" xfId="6" applyNumberFormat="1" applyFont="1" applyFill="1" applyBorder="1" applyProtection="1">
      <protection hidden="1"/>
    </xf>
    <xf numFmtId="0" fontId="33" fillId="2" borderId="0" xfId="6" applyFont="1" applyFill="1" applyBorder="1" applyAlignment="1" applyProtection="1">
      <alignment wrapText="1"/>
      <protection hidden="1"/>
    </xf>
    <xf numFmtId="169" fontId="34" fillId="2" borderId="0" xfId="6" applyNumberFormat="1" applyFont="1" applyFill="1" applyBorder="1" applyAlignment="1" applyProtection="1">
      <alignment wrapText="1"/>
      <protection hidden="1"/>
    </xf>
    <xf numFmtId="49" fontId="34" fillId="2" borderId="0" xfId="6" applyNumberFormat="1" applyFont="1" applyFill="1" applyBorder="1" applyAlignment="1" applyProtection="1">
      <alignment horizontal="center" vertical="center" wrapText="1"/>
      <protection hidden="1"/>
    </xf>
    <xf numFmtId="10" fontId="34" fillId="2" borderId="0" xfId="6" applyNumberFormat="1" applyFont="1" applyFill="1" applyBorder="1" applyAlignment="1" applyProtection="1">
      <alignment wrapText="1"/>
      <protection hidden="1"/>
    </xf>
    <xf numFmtId="0" fontId="33" fillId="2" borderId="0" xfId="6" applyNumberFormat="1" applyFont="1" applyFill="1" applyBorder="1" applyAlignment="1" applyProtection="1">
      <alignment wrapText="1"/>
      <protection hidden="1"/>
    </xf>
    <xf numFmtId="170" fontId="36" fillId="2" borderId="0" xfId="6" applyNumberFormat="1" applyFont="1" applyFill="1" applyBorder="1" applyAlignment="1" applyProtection="1">
      <alignment horizontal="center" wrapText="1"/>
      <protection hidden="1"/>
    </xf>
    <xf numFmtId="170" fontId="36" fillId="2" borderId="0" xfId="6" applyNumberFormat="1" applyFont="1" applyFill="1" applyBorder="1" applyAlignment="1" applyProtection="1">
      <alignment wrapText="1"/>
      <protection hidden="1"/>
    </xf>
    <xf numFmtId="40" fontId="36" fillId="2" borderId="0" xfId="6" applyNumberFormat="1" applyFont="1" applyFill="1" applyBorder="1" applyAlignment="1" applyProtection="1">
      <alignment wrapText="1"/>
      <protection hidden="1"/>
    </xf>
    <xf numFmtId="167" fontId="36" fillId="2" borderId="0" xfId="6" applyNumberFormat="1" applyFont="1" applyFill="1" applyBorder="1" applyAlignment="1" applyProtection="1">
      <protection hidden="1"/>
    </xf>
    <xf numFmtId="172" fontId="36" fillId="2" borderId="0" xfId="6" applyNumberFormat="1" applyFont="1" applyFill="1" applyBorder="1" applyAlignment="1" applyProtection="1">
      <protection hidden="1"/>
    </xf>
    <xf numFmtId="40" fontId="33" fillId="2" borderId="0" xfId="6" applyNumberFormat="1" applyFont="1" applyFill="1" applyBorder="1" applyAlignment="1" applyProtection="1">
      <protection hidden="1"/>
    </xf>
    <xf numFmtId="10" fontId="33" fillId="2" borderId="0" xfId="6" applyNumberFormat="1" applyFont="1" applyFill="1" applyBorder="1" applyAlignment="1" applyProtection="1">
      <protection hidden="1"/>
    </xf>
    <xf numFmtId="4" fontId="34" fillId="2" borderId="0" xfId="6" applyNumberFormat="1" applyFont="1" applyFill="1" applyBorder="1" applyProtection="1">
      <protection hidden="1"/>
    </xf>
    <xf numFmtId="172" fontId="33" fillId="2" borderId="0" xfId="6" applyNumberFormat="1" applyFont="1" applyFill="1" applyBorder="1" applyProtection="1">
      <protection hidden="1"/>
    </xf>
    <xf numFmtId="0" fontId="33" fillId="2" borderId="0" xfId="6" applyNumberFormat="1" applyFont="1" applyFill="1" applyBorder="1" applyAlignment="1" applyProtection="1">
      <alignment horizontal="left"/>
      <protection hidden="1"/>
    </xf>
    <xf numFmtId="0" fontId="33" fillId="2" borderId="0" xfId="0" applyFont="1" applyFill="1" applyBorder="1" applyAlignment="1">
      <alignment horizontal="center" wrapText="1"/>
    </xf>
    <xf numFmtId="172" fontId="33" fillId="2" borderId="0" xfId="6" applyNumberFormat="1" applyFont="1" applyFill="1" applyBorder="1" applyAlignment="1" applyProtection="1">
      <alignment horizontal="left"/>
      <protection hidden="1"/>
    </xf>
    <xf numFmtId="2" fontId="33" fillId="2" borderId="0" xfId="6" applyNumberFormat="1" applyFont="1" applyFill="1" applyBorder="1" applyProtection="1">
      <protection hidden="1"/>
    </xf>
    <xf numFmtId="4" fontId="33" fillId="2" borderId="0" xfId="6" applyNumberFormat="1" applyFont="1" applyFill="1" applyBorder="1" applyAlignment="1" applyProtection="1">
      <alignment wrapText="1"/>
      <protection hidden="1"/>
    </xf>
    <xf numFmtId="4" fontId="48" fillId="2" borderId="0" xfId="6" applyNumberFormat="1" applyFont="1" applyFill="1" applyBorder="1" applyAlignment="1" applyProtection="1">
      <alignment wrapText="1"/>
      <protection hidden="1"/>
    </xf>
    <xf numFmtId="4" fontId="48" fillId="2" borderId="0" xfId="6" applyNumberFormat="1" applyFont="1" applyFill="1" applyBorder="1" applyProtection="1">
      <protection hidden="1"/>
    </xf>
    <xf numFmtId="40" fontId="33" fillId="2" borderId="0" xfId="6" applyNumberFormat="1" applyFont="1" applyFill="1" applyBorder="1" applyAlignment="1" applyProtection="1">
      <alignment horizontal="left"/>
      <protection hidden="1"/>
    </xf>
    <xf numFmtId="4" fontId="42" fillId="2" borderId="0" xfId="6" applyNumberFormat="1" applyFont="1" applyFill="1" applyBorder="1" applyProtection="1">
      <protection hidden="1"/>
    </xf>
  </cellXfs>
  <cellStyles count="8">
    <cellStyle name="Обычный" xfId="0" builtinId="0"/>
    <cellStyle name="Обычный 2" xfId="1"/>
    <cellStyle name="Обычный 2 2" xfId="7"/>
    <cellStyle name="Обычный_tmp" xfId="6"/>
    <cellStyle name="Обычный_Tmp1" xfId="2"/>
    <cellStyle name="Обычный_Tmp2" xfId="3"/>
    <cellStyle name="Обычный_Tmp3" xfId="4"/>
    <cellStyle name="Обычный_Tmp5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esktop/&#1041;&#1070;&#1044;&#1046;&#1045;&#1058;&#1067;/&#1041;&#1102;&#1076;&#1078;&#1077;&#1090;%20&#1085;&#1072;%202017-2019&#1075;&#1075;/&#1041;&#1102;&#1076;&#1078;&#1077;&#1090;%20&#1085;&#1072;%202017%20&#1075;&#1086;&#1076;/&#1074;&#1085;&#1077;&#1089;.&#1080;&#1079;&#1084;.%20&#1074;%20&#1073;&#1102;&#1076;&#1078;&#1077;&#1090;/&#1074;&#1085;&#1077;&#1089;.&#1080;&#1079;&#1084;.%20&#1074;%20&#1073;&#1102;&#1076;&#1078;&#1077;&#1090;%20&#1044;&#1045;&#1050;&#1040;&#1041;&#1056;&#1068;/4,5,6,7%20&#1087;&#1088;&#1080;&#1083;&#1086;&#1078;%20&#1085;&#1072;%20%20&#1076;&#1077;&#1082;.%202017&#107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2 "/>
      <sheetName val="прил.3"/>
      <sheetName val="Прил.4"/>
      <sheetName val="прил.5"/>
      <sheetName val="разбивка для УРМ"/>
    </sheetNames>
    <sheetDataSet>
      <sheetData sheetId="0"/>
      <sheetData sheetId="1"/>
      <sheetData sheetId="2"/>
      <sheetData sheetId="3">
        <row r="29">
          <cell r="Q29">
            <v>0</v>
          </cell>
        </row>
        <row r="51"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8"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6809054</v>
          </cell>
        </row>
        <row r="94">
          <cell r="V94">
            <v>0</v>
          </cell>
        </row>
      </sheetData>
      <sheetData sheetId="4">
        <row r="261">
          <cell r="AG261">
            <v>0</v>
          </cell>
          <cell r="AJ261">
            <v>0</v>
          </cell>
        </row>
        <row r="266">
          <cell r="AG266">
            <v>0</v>
          </cell>
          <cell r="AJ266">
            <v>0</v>
          </cell>
        </row>
        <row r="268">
          <cell r="AG268">
            <v>0</v>
          </cell>
          <cell r="AJ2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1"/>
  <sheetViews>
    <sheetView tabSelected="1" zoomScale="70" zoomScaleNormal="70" workbookViewId="0">
      <selection activeCell="E4" sqref="E4:F4"/>
    </sheetView>
  </sheetViews>
  <sheetFormatPr defaultColWidth="8" defaultRowHeight="13.2" x14ac:dyDescent="0.25"/>
  <cols>
    <col min="1" max="1" width="60.44140625" style="9" customWidth="1"/>
    <col min="2" max="3" width="5.88671875" style="340" customWidth="1"/>
    <col min="4" max="4" width="19" style="9" customWidth="1"/>
    <col min="5" max="6" width="15.33203125" style="9" customWidth="1"/>
    <col min="7" max="7" width="10.109375" style="9" bestFit="1" customWidth="1"/>
    <col min="8" max="16384" width="8" style="9"/>
  </cols>
  <sheetData>
    <row r="1" spans="1:25" ht="16.5" customHeight="1" x14ac:dyDescent="0.25">
      <c r="A1" s="8"/>
      <c r="B1" s="317"/>
      <c r="C1" s="318"/>
      <c r="D1" s="114"/>
      <c r="E1" s="114" t="s">
        <v>591</v>
      </c>
      <c r="F1" s="114"/>
    </row>
    <row r="2" spans="1:25" ht="14.25" customHeight="1" x14ac:dyDescent="0.25">
      <c r="A2" s="8"/>
      <c r="B2" s="317"/>
      <c r="C2" s="318"/>
      <c r="D2" s="114"/>
      <c r="E2" s="114" t="s">
        <v>705</v>
      </c>
      <c r="F2" s="114"/>
    </row>
    <row r="3" spans="1:25" ht="14.25" customHeight="1" x14ac:dyDescent="0.25">
      <c r="A3" s="8"/>
      <c r="B3" s="317"/>
      <c r="C3" s="318"/>
      <c r="D3" s="114"/>
      <c r="E3" s="114" t="s">
        <v>704</v>
      </c>
      <c r="F3" s="114"/>
    </row>
    <row r="4" spans="1:25" ht="13.5" customHeight="1" x14ac:dyDescent="0.25">
      <c r="A4" s="8"/>
      <c r="B4" s="317"/>
      <c r="C4" s="466"/>
      <c r="D4" s="466"/>
      <c r="E4" s="466" t="s">
        <v>706</v>
      </c>
      <c r="F4" s="466"/>
    </row>
    <row r="5" spans="1:25" ht="11.4" customHeight="1" x14ac:dyDescent="0.25">
      <c r="A5" s="8"/>
      <c r="B5" s="317"/>
      <c r="C5" s="317"/>
      <c r="D5" s="8"/>
      <c r="E5" s="8"/>
      <c r="F5" s="8"/>
    </row>
    <row r="6" spans="1:25" s="27" customFormat="1" ht="13.8" x14ac:dyDescent="0.25">
      <c r="B6" s="319"/>
      <c r="C6" s="320"/>
      <c r="E6" s="253" t="s">
        <v>92</v>
      </c>
      <c r="K6" s="87"/>
      <c r="L6" s="87"/>
      <c r="Y6" s="131"/>
    </row>
    <row r="7" spans="1:25" ht="14.25" customHeight="1" x14ac:dyDescent="0.25">
      <c r="A7" s="8"/>
      <c r="B7" s="317"/>
      <c r="C7" s="318"/>
      <c r="D7" s="114"/>
      <c r="E7" s="114" t="s">
        <v>705</v>
      </c>
      <c r="F7" s="114"/>
    </row>
    <row r="8" spans="1:25" ht="14.25" customHeight="1" x14ac:dyDescent="0.25">
      <c r="A8" s="8"/>
      <c r="B8" s="317"/>
      <c r="C8" s="318"/>
      <c r="D8" s="114"/>
      <c r="E8" s="114" t="s">
        <v>704</v>
      </c>
      <c r="F8" s="114"/>
    </row>
    <row r="9" spans="1:25" s="27" customFormat="1" x14ac:dyDescent="0.25">
      <c r="B9" s="319"/>
      <c r="C9" s="321"/>
      <c r="E9" s="254" t="s">
        <v>596</v>
      </c>
      <c r="K9" s="87"/>
      <c r="L9" s="87"/>
      <c r="Y9" s="131"/>
    </row>
    <row r="10" spans="1:25" s="27" customFormat="1" x14ac:dyDescent="0.25">
      <c r="B10" s="319"/>
      <c r="C10" s="321"/>
      <c r="K10" s="87"/>
      <c r="L10" s="87"/>
      <c r="Y10" s="131"/>
    </row>
    <row r="11" spans="1:25" s="11" customFormat="1" ht="35.25" customHeight="1" x14ac:dyDescent="0.3">
      <c r="A11" s="467" t="s">
        <v>441</v>
      </c>
      <c r="B11" s="467"/>
      <c r="C11" s="467"/>
      <c r="D11" s="467"/>
    </row>
    <row r="12" spans="1:25" s="11" customFormat="1" ht="11.25" customHeight="1" x14ac:dyDescent="0.3">
      <c r="A12" s="252"/>
      <c r="B12" s="257"/>
      <c r="C12" s="257"/>
      <c r="D12" s="90"/>
      <c r="F12" s="90" t="s">
        <v>394</v>
      </c>
    </row>
    <row r="13" spans="1:25" ht="2.25" customHeight="1" x14ac:dyDescent="0.25">
      <c r="A13" s="1"/>
      <c r="B13" s="322"/>
      <c r="C13" s="322"/>
    </row>
    <row r="14" spans="1:25" ht="18.75" customHeight="1" x14ac:dyDescent="0.25">
      <c r="A14" s="470" t="s">
        <v>2</v>
      </c>
      <c r="B14" s="472" t="s">
        <v>29</v>
      </c>
      <c r="C14" s="472" t="s">
        <v>30</v>
      </c>
      <c r="D14" s="468" t="s">
        <v>378</v>
      </c>
      <c r="E14" s="468" t="s">
        <v>379</v>
      </c>
      <c r="F14" s="468" t="s">
        <v>411</v>
      </c>
    </row>
    <row r="15" spans="1:25" ht="16.5" customHeight="1" x14ac:dyDescent="0.25">
      <c r="A15" s="471"/>
      <c r="B15" s="473"/>
      <c r="C15" s="473"/>
      <c r="D15" s="469"/>
      <c r="E15" s="469"/>
      <c r="F15" s="469"/>
    </row>
    <row r="16" spans="1:25" ht="13.5" customHeight="1" thickBot="1" x14ac:dyDescent="0.3">
      <c r="A16" s="2">
        <v>1</v>
      </c>
      <c r="B16" s="89">
        <v>2</v>
      </c>
      <c r="C16" s="89">
        <v>3</v>
      </c>
      <c r="D16" s="91">
        <v>4</v>
      </c>
      <c r="E16" s="91">
        <v>4</v>
      </c>
      <c r="F16" s="91">
        <v>4</v>
      </c>
    </row>
    <row r="17" spans="1:6" ht="13.5" customHeight="1" thickBot="1" x14ac:dyDescent="0.3">
      <c r="A17" s="88" t="s">
        <v>67</v>
      </c>
      <c r="B17" s="323">
        <v>0</v>
      </c>
      <c r="C17" s="324">
        <v>0</v>
      </c>
      <c r="D17" s="307">
        <f>D56</f>
        <v>60644.464370000002</v>
      </c>
      <c r="E17" s="456">
        <v>28097.254500000003</v>
      </c>
      <c r="F17" s="307">
        <v>28644.374499999998</v>
      </c>
    </row>
    <row r="18" spans="1:6" s="20" customFormat="1" ht="15" customHeight="1" x14ac:dyDescent="0.2">
      <c r="A18" s="19" t="s">
        <v>13</v>
      </c>
      <c r="B18" s="325">
        <v>1</v>
      </c>
      <c r="C18" s="325">
        <v>0</v>
      </c>
      <c r="D18" s="308">
        <f>D19+D20+D21+D25+D26+D24</f>
        <v>14255.361940000001</v>
      </c>
      <c r="E18" s="457">
        <v>13819.8729</v>
      </c>
      <c r="F18" s="308">
        <v>12519.569</v>
      </c>
    </row>
    <row r="19" spans="1:6" s="21" customFormat="1" ht="23.25" customHeight="1" x14ac:dyDescent="0.25">
      <c r="A19" s="233" t="s">
        <v>37</v>
      </c>
      <c r="B19" s="326">
        <v>1</v>
      </c>
      <c r="C19" s="326">
        <v>2</v>
      </c>
      <c r="D19" s="309">
        <f>'по нов.5'!H30/1000</f>
        <v>1693.0661400000001</v>
      </c>
      <c r="E19" s="458">
        <v>1304.578</v>
      </c>
      <c r="F19" s="309">
        <v>1304.578</v>
      </c>
    </row>
    <row r="20" spans="1:6" s="21" customFormat="1" ht="63.75" hidden="1" customHeight="1" x14ac:dyDescent="0.25">
      <c r="A20" s="233" t="s">
        <v>31</v>
      </c>
      <c r="B20" s="326">
        <v>1</v>
      </c>
      <c r="C20" s="326">
        <v>3</v>
      </c>
      <c r="D20" s="309"/>
      <c r="E20" s="458"/>
      <c r="F20" s="309"/>
    </row>
    <row r="21" spans="1:6" s="21" customFormat="1" ht="40.799999999999997" customHeight="1" x14ac:dyDescent="0.25">
      <c r="A21" s="233" t="s">
        <v>38</v>
      </c>
      <c r="B21" s="326">
        <v>1</v>
      </c>
      <c r="C21" s="326">
        <v>4</v>
      </c>
      <c r="D21" s="309">
        <f>'по нов.5'!H39/1000</f>
        <v>4265.6924800000006</v>
      </c>
      <c r="E21" s="458">
        <v>5188.527</v>
      </c>
      <c r="F21" s="309">
        <v>5188.527</v>
      </c>
    </row>
    <row r="22" spans="1:6" s="21" customFormat="1" ht="15.75" hidden="1" customHeight="1" x14ac:dyDescent="0.25">
      <c r="A22" s="233"/>
      <c r="B22" s="326"/>
      <c r="C22" s="326"/>
      <c r="D22" s="309"/>
      <c r="E22" s="458"/>
      <c r="F22" s="309"/>
    </row>
    <row r="23" spans="1:6" s="21" customFormat="1" ht="14.25" hidden="1" customHeight="1" x14ac:dyDescent="0.25">
      <c r="A23" s="233"/>
      <c r="B23" s="326"/>
      <c r="C23" s="326"/>
      <c r="D23" s="309"/>
      <c r="E23" s="458"/>
      <c r="F23" s="309"/>
    </row>
    <row r="24" spans="1:6" s="21" customFormat="1" ht="23.25" customHeight="1" x14ac:dyDescent="0.25">
      <c r="A24" s="239" t="s">
        <v>480</v>
      </c>
      <c r="B24" s="326">
        <v>1</v>
      </c>
      <c r="C24" s="326">
        <v>7</v>
      </c>
      <c r="D24" s="309">
        <f>'по нов.5'!H53/1000</f>
        <v>770.01900000000001</v>
      </c>
      <c r="E24" s="458">
        <v>0</v>
      </c>
      <c r="F24" s="309">
        <v>0</v>
      </c>
    </row>
    <row r="25" spans="1:6" s="21" customFormat="1" ht="14.25" customHeight="1" x14ac:dyDescent="0.25">
      <c r="A25" s="233" t="s">
        <v>15</v>
      </c>
      <c r="B25" s="326">
        <v>1</v>
      </c>
      <c r="C25" s="326">
        <v>11</v>
      </c>
      <c r="D25" s="309">
        <f>'по нов.5'!H58/1000</f>
        <v>80</v>
      </c>
      <c r="E25" s="458">
        <v>80</v>
      </c>
      <c r="F25" s="309">
        <v>68</v>
      </c>
    </row>
    <row r="26" spans="1:6" s="21" customFormat="1" ht="15" customHeight="1" x14ac:dyDescent="0.25">
      <c r="A26" s="233" t="s">
        <v>16</v>
      </c>
      <c r="B26" s="326">
        <v>1</v>
      </c>
      <c r="C26" s="326">
        <v>13</v>
      </c>
      <c r="D26" s="309">
        <f>'по нов.5'!H64/1000</f>
        <v>7446.5843199999999</v>
      </c>
      <c r="E26" s="458">
        <v>7246.7679000000007</v>
      </c>
      <c r="F26" s="309">
        <v>5958.4639999999999</v>
      </c>
    </row>
    <row r="27" spans="1:6" s="22" customFormat="1" ht="12.75" customHeight="1" x14ac:dyDescent="0.2">
      <c r="A27" s="236" t="s">
        <v>26</v>
      </c>
      <c r="B27" s="327">
        <v>2</v>
      </c>
      <c r="C27" s="327">
        <v>0</v>
      </c>
      <c r="D27" s="310">
        <f>D28</f>
        <v>210.1</v>
      </c>
      <c r="E27" s="459">
        <v>214</v>
      </c>
      <c r="F27" s="310">
        <v>227.3</v>
      </c>
    </row>
    <row r="28" spans="1:6" s="21" customFormat="1" ht="17.25" customHeight="1" x14ac:dyDescent="0.25">
      <c r="A28" s="233" t="s">
        <v>27</v>
      </c>
      <c r="B28" s="326">
        <v>2</v>
      </c>
      <c r="C28" s="326">
        <v>3</v>
      </c>
      <c r="D28" s="309">
        <f>'по нов.5'!H108/1000</f>
        <v>210.1</v>
      </c>
      <c r="E28" s="458">
        <v>214</v>
      </c>
      <c r="F28" s="309">
        <v>227.3</v>
      </c>
    </row>
    <row r="29" spans="1:6" s="20" customFormat="1" ht="11.4" x14ac:dyDescent="0.2">
      <c r="A29" s="241" t="s">
        <v>17</v>
      </c>
      <c r="B29" s="328">
        <v>3</v>
      </c>
      <c r="C29" s="328">
        <v>0</v>
      </c>
      <c r="D29" s="311">
        <f>D31+D30+D33+D32</f>
        <v>1189.29</v>
      </c>
      <c r="E29" s="460">
        <v>29.61</v>
      </c>
      <c r="F29" s="311">
        <v>29.64</v>
      </c>
    </row>
    <row r="30" spans="1:6" s="21" customFormat="1" ht="15.75" customHeight="1" x14ac:dyDescent="0.25">
      <c r="A30" s="233" t="s">
        <v>55</v>
      </c>
      <c r="B30" s="326">
        <v>3</v>
      </c>
      <c r="C30" s="326">
        <v>4</v>
      </c>
      <c r="D30" s="309">
        <f>'по нов.5'!H119/1000</f>
        <v>12.04</v>
      </c>
      <c r="E30" s="458">
        <v>12.04</v>
      </c>
      <c r="F30" s="309">
        <v>12.04</v>
      </c>
    </row>
    <row r="31" spans="1:6" s="21" customFormat="1" ht="36.75" customHeight="1" x14ac:dyDescent="0.25">
      <c r="A31" s="112" t="s">
        <v>85</v>
      </c>
      <c r="B31" s="326">
        <v>3</v>
      </c>
      <c r="C31" s="326">
        <v>9</v>
      </c>
      <c r="D31" s="309">
        <f>'по нов.5'!H127/1000</f>
        <v>1159.68</v>
      </c>
      <c r="E31" s="458">
        <v>0</v>
      </c>
      <c r="F31" s="309">
        <v>0</v>
      </c>
    </row>
    <row r="32" spans="1:6" s="21" customFormat="1" ht="16.5" customHeight="1" x14ac:dyDescent="0.25">
      <c r="A32" s="112" t="s">
        <v>87</v>
      </c>
      <c r="B32" s="326">
        <v>3</v>
      </c>
      <c r="C32" s="326">
        <v>10</v>
      </c>
      <c r="D32" s="309">
        <v>0</v>
      </c>
      <c r="E32" s="458">
        <v>0</v>
      </c>
      <c r="F32" s="309">
        <v>0</v>
      </c>
    </row>
    <row r="33" spans="1:6" s="21" customFormat="1" ht="26.25" customHeight="1" x14ac:dyDescent="0.25">
      <c r="A33" s="233" t="s">
        <v>65</v>
      </c>
      <c r="B33" s="326">
        <v>3</v>
      </c>
      <c r="C33" s="326">
        <v>14</v>
      </c>
      <c r="D33" s="309">
        <f>'по нов.5'!H137/1000</f>
        <v>17.57</v>
      </c>
      <c r="E33" s="458">
        <v>17.57</v>
      </c>
      <c r="F33" s="309">
        <v>17.600000000000001</v>
      </c>
    </row>
    <row r="34" spans="1:6" s="20" customFormat="1" ht="11.4" x14ac:dyDescent="0.2">
      <c r="A34" s="241" t="s">
        <v>18</v>
      </c>
      <c r="B34" s="328">
        <v>4</v>
      </c>
      <c r="C34" s="328">
        <v>0</v>
      </c>
      <c r="D34" s="311">
        <f>D37+D36+D35+D38</f>
        <v>7256.6717599999993</v>
      </c>
      <c r="E34" s="460">
        <v>4933.2960999999996</v>
      </c>
      <c r="F34" s="311">
        <v>5180</v>
      </c>
    </row>
    <row r="35" spans="1:6" s="21" customFormat="1" ht="13.5" customHeight="1" x14ac:dyDescent="0.25">
      <c r="A35" s="233" t="s">
        <v>145</v>
      </c>
      <c r="B35" s="326">
        <v>4</v>
      </c>
      <c r="C35" s="326">
        <v>1</v>
      </c>
      <c r="D35" s="309">
        <f>'по нов.5'!H146/1000</f>
        <v>1798.5029299999999</v>
      </c>
      <c r="E35" s="458">
        <v>0</v>
      </c>
      <c r="F35" s="309">
        <v>0</v>
      </c>
    </row>
    <row r="36" spans="1:6" s="21" customFormat="1" ht="13.5" customHeight="1" x14ac:dyDescent="0.25">
      <c r="A36" s="233" t="s">
        <v>69</v>
      </c>
      <c r="B36" s="326">
        <v>4</v>
      </c>
      <c r="C36" s="326">
        <v>9</v>
      </c>
      <c r="D36" s="309">
        <f>'по нов.5'!H154/1000</f>
        <v>4712.2701999999999</v>
      </c>
      <c r="E36" s="458">
        <v>4933.2960999999996</v>
      </c>
      <c r="F36" s="309">
        <v>5180</v>
      </c>
    </row>
    <row r="37" spans="1:6" s="21" customFormat="1" ht="14.25" customHeight="1" x14ac:dyDescent="0.25">
      <c r="A37" s="233" t="s">
        <v>32</v>
      </c>
      <c r="B37" s="326">
        <v>4</v>
      </c>
      <c r="C37" s="326">
        <v>10</v>
      </c>
      <c r="D37" s="309">
        <f>'по нов.5'!H171/1000</f>
        <v>245.89863</v>
      </c>
      <c r="E37" s="458">
        <v>0</v>
      </c>
      <c r="F37" s="309">
        <v>0</v>
      </c>
    </row>
    <row r="38" spans="1:6" s="21" customFormat="1" ht="15.75" customHeight="1" x14ac:dyDescent="0.25">
      <c r="A38" s="233" t="s">
        <v>54</v>
      </c>
      <c r="B38" s="326">
        <v>4</v>
      </c>
      <c r="C38" s="326">
        <v>12</v>
      </c>
      <c r="D38" s="309">
        <f>'по нов.5'!H176/1000</f>
        <v>500</v>
      </c>
      <c r="E38" s="458">
        <v>0</v>
      </c>
      <c r="F38" s="309">
        <v>0</v>
      </c>
    </row>
    <row r="39" spans="1:6" s="20" customFormat="1" ht="11.4" x14ac:dyDescent="0.2">
      <c r="A39" s="241" t="s">
        <v>19</v>
      </c>
      <c r="B39" s="328">
        <v>5</v>
      </c>
      <c r="C39" s="328">
        <v>0</v>
      </c>
      <c r="D39" s="311">
        <f>D40+D43+D46</f>
        <v>30546.459709999999</v>
      </c>
      <c r="E39" s="460">
        <v>3785.31</v>
      </c>
      <c r="F39" s="311">
        <v>3943.72</v>
      </c>
    </row>
    <row r="40" spans="1:6" s="20" customFormat="1" ht="12" x14ac:dyDescent="0.25">
      <c r="A40" s="234" t="s">
        <v>50</v>
      </c>
      <c r="B40" s="329">
        <v>5</v>
      </c>
      <c r="C40" s="329">
        <v>1</v>
      </c>
      <c r="D40" s="312">
        <f>'по нов.5'!H182/1000</f>
        <v>17773.681680000002</v>
      </c>
      <c r="E40" s="461">
        <v>3785.31</v>
      </c>
      <c r="F40" s="312">
        <v>3943.72</v>
      </c>
    </row>
    <row r="41" spans="1:6" s="21" customFormat="1" ht="12.75" hidden="1" customHeight="1" x14ac:dyDescent="0.25">
      <c r="A41" s="235" t="s">
        <v>45</v>
      </c>
      <c r="B41" s="330">
        <v>5</v>
      </c>
      <c r="C41" s="330">
        <v>1</v>
      </c>
      <c r="D41" s="313">
        <v>0</v>
      </c>
      <c r="E41" s="462">
        <v>0</v>
      </c>
      <c r="F41" s="313">
        <v>0</v>
      </c>
    </row>
    <row r="42" spans="1:6" s="21" customFormat="1" ht="18" hidden="1" customHeight="1" x14ac:dyDescent="0.25">
      <c r="A42" s="235" t="s">
        <v>56</v>
      </c>
      <c r="B42" s="330">
        <v>5</v>
      </c>
      <c r="C42" s="330">
        <v>1</v>
      </c>
      <c r="D42" s="313">
        <v>1019</v>
      </c>
      <c r="E42" s="462">
        <v>1019</v>
      </c>
      <c r="F42" s="313">
        <v>1019</v>
      </c>
    </row>
    <row r="43" spans="1:6" s="20" customFormat="1" ht="15" customHeight="1" x14ac:dyDescent="0.25">
      <c r="A43" s="234" t="s">
        <v>57</v>
      </c>
      <c r="B43" s="329">
        <v>5</v>
      </c>
      <c r="C43" s="329">
        <v>2</v>
      </c>
      <c r="D43" s="312">
        <f>'по нов.5'!H197/1000</f>
        <v>10637.92</v>
      </c>
      <c r="E43" s="461">
        <v>0</v>
      </c>
      <c r="F43" s="312">
        <v>0</v>
      </c>
    </row>
    <row r="44" spans="1:6" s="21" customFormat="1" ht="18" hidden="1" customHeight="1" x14ac:dyDescent="0.25">
      <c r="A44" s="235"/>
      <c r="B44" s="330"/>
      <c r="C44" s="330"/>
      <c r="D44" s="313"/>
      <c r="E44" s="462"/>
      <c r="F44" s="313"/>
    </row>
    <row r="45" spans="1:6" s="21" customFormat="1" ht="18" hidden="1" customHeight="1" x14ac:dyDescent="0.25">
      <c r="A45" s="235"/>
      <c r="B45" s="330"/>
      <c r="C45" s="330"/>
      <c r="D45" s="313"/>
      <c r="E45" s="462"/>
      <c r="F45" s="313"/>
    </row>
    <row r="46" spans="1:6" s="21" customFormat="1" ht="16.5" customHeight="1" x14ac:dyDescent="0.25">
      <c r="A46" s="234" t="s">
        <v>39</v>
      </c>
      <c r="B46" s="329">
        <v>5</v>
      </c>
      <c r="C46" s="329">
        <v>3</v>
      </c>
      <c r="D46" s="312">
        <f>'по нов.5'!H214/1000</f>
        <v>2134.8580300000003</v>
      </c>
      <c r="E46" s="461">
        <v>0</v>
      </c>
      <c r="F46" s="312">
        <v>0</v>
      </c>
    </row>
    <row r="47" spans="1:6" s="20" customFormat="1" ht="11.4" x14ac:dyDescent="0.2">
      <c r="A47" s="241" t="s">
        <v>587</v>
      </c>
      <c r="B47" s="328">
        <v>6</v>
      </c>
      <c r="C47" s="328">
        <v>0</v>
      </c>
      <c r="D47" s="311">
        <f>D48</f>
        <v>608.04250000000002</v>
      </c>
      <c r="E47" s="460">
        <v>2.7025000000000001</v>
      </c>
      <c r="F47" s="311">
        <v>2.7025000000000001</v>
      </c>
    </row>
    <row r="48" spans="1:6" s="20" customFormat="1" ht="12" x14ac:dyDescent="0.25">
      <c r="A48" s="234" t="s">
        <v>588</v>
      </c>
      <c r="B48" s="329">
        <v>6</v>
      </c>
      <c r="C48" s="329">
        <v>5</v>
      </c>
      <c r="D48" s="312">
        <f>'по нов.5'!H244/1000</f>
        <v>608.04250000000002</v>
      </c>
      <c r="E48" s="461">
        <v>2.7025000000000001</v>
      </c>
      <c r="F48" s="312">
        <v>2.7025000000000001</v>
      </c>
    </row>
    <row r="49" spans="1:6" s="20" customFormat="1" ht="15" customHeight="1" x14ac:dyDescent="0.2">
      <c r="A49" s="241" t="s">
        <v>88</v>
      </c>
      <c r="B49" s="328">
        <v>8</v>
      </c>
      <c r="C49" s="328">
        <v>0</v>
      </c>
      <c r="D49" s="311">
        <f>D50+D51</f>
        <v>4652.9584599999998</v>
      </c>
      <c r="E49" s="460">
        <v>3361.4629999999997</v>
      </c>
      <c r="F49" s="311">
        <v>4683.4530999999997</v>
      </c>
    </row>
    <row r="50" spans="1:6" s="21" customFormat="1" ht="15.75" customHeight="1" x14ac:dyDescent="0.25">
      <c r="A50" s="233" t="s">
        <v>33</v>
      </c>
      <c r="B50" s="326">
        <v>8</v>
      </c>
      <c r="C50" s="326">
        <v>1</v>
      </c>
      <c r="D50" s="309">
        <f>'по нов.5'!H253/1000</f>
        <v>4297.7474599999996</v>
      </c>
      <c r="E50" s="458">
        <v>2931.8029999999999</v>
      </c>
      <c r="F50" s="309">
        <v>4253.7930999999999</v>
      </c>
    </row>
    <row r="51" spans="1:6" s="21" customFormat="1" ht="15" customHeight="1" x14ac:dyDescent="0.25">
      <c r="A51" s="233" t="s">
        <v>34</v>
      </c>
      <c r="B51" s="326">
        <v>8</v>
      </c>
      <c r="C51" s="326">
        <v>2</v>
      </c>
      <c r="D51" s="309">
        <f>'по нов.5'!H276/1000</f>
        <v>355.21100000000001</v>
      </c>
      <c r="E51" s="458">
        <v>429.66</v>
      </c>
      <c r="F51" s="309">
        <v>429.66</v>
      </c>
    </row>
    <row r="52" spans="1:6" s="20" customFormat="1" ht="14.25" customHeight="1" x14ac:dyDescent="0.2">
      <c r="A52" s="231" t="s">
        <v>46</v>
      </c>
      <c r="B52" s="331" t="s">
        <v>47</v>
      </c>
      <c r="C52" s="328">
        <v>0</v>
      </c>
      <c r="D52" s="311">
        <f>D53</f>
        <v>147.5</v>
      </c>
      <c r="E52" s="460">
        <v>0</v>
      </c>
      <c r="F52" s="311">
        <v>106.98989999999999</v>
      </c>
    </row>
    <row r="53" spans="1:6" s="21" customFormat="1" ht="12.75" customHeight="1" x14ac:dyDescent="0.25">
      <c r="A53" s="232" t="s">
        <v>48</v>
      </c>
      <c r="B53" s="332" t="s">
        <v>47</v>
      </c>
      <c r="C53" s="332" t="s">
        <v>49</v>
      </c>
      <c r="D53" s="314">
        <f>'по нов.5'!H284/1000</f>
        <v>147.5</v>
      </c>
      <c r="E53" s="463">
        <v>0</v>
      </c>
      <c r="F53" s="314">
        <v>106.98989999999999</v>
      </c>
    </row>
    <row r="54" spans="1:6" s="21" customFormat="1" ht="14.25" customHeight="1" x14ac:dyDescent="0.25">
      <c r="A54" s="241" t="s">
        <v>35</v>
      </c>
      <c r="B54" s="328">
        <v>11</v>
      </c>
      <c r="C54" s="328">
        <v>0</v>
      </c>
      <c r="D54" s="311">
        <f>D55</f>
        <v>1778.08</v>
      </c>
      <c r="E54" s="460">
        <v>1951</v>
      </c>
      <c r="F54" s="311">
        <v>1951</v>
      </c>
    </row>
    <row r="55" spans="1:6" s="21" customFormat="1" ht="15" customHeight="1" thickBot="1" x14ac:dyDescent="0.3">
      <c r="A55" s="230" t="s">
        <v>66</v>
      </c>
      <c r="B55" s="333">
        <v>11</v>
      </c>
      <c r="C55" s="333">
        <v>1</v>
      </c>
      <c r="D55" s="315">
        <f>'по нов.5'!H290/1000</f>
        <v>1778.08</v>
      </c>
      <c r="E55" s="464">
        <v>1951</v>
      </c>
      <c r="F55" s="315">
        <v>1951</v>
      </c>
    </row>
    <row r="56" spans="1:6" s="21" customFormat="1" ht="15.6" customHeight="1" thickBot="1" x14ac:dyDescent="0.3">
      <c r="A56" s="23" t="s">
        <v>36</v>
      </c>
      <c r="B56" s="334"/>
      <c r="C56" s="335"/>
      <c r="D56" s="316">
        <f>D18+D27+D29+D34+D39+D49+D52+D54+D47</f>
        <v>60644.464370000002</v>
      </c>
      <c r="E56" s="465">
        <v>28097.254500000003</v>
      </c>
      <c r="F56" s="316">
        <v>28644.374499999998</v>
      </c>
    </row>
    <row r="57" spans="1:6" s="21" customFormat="1" ht="24" hidden="1" customHeight="1" x14ac:dyDescent="0.25">
      <c r="A57" s="24"/>
      <c r="B57" s="336"/>
      <c r="C57" s="336"/>
      <c r="D57" s="92">
        <v>60644.464370000002</v>
      </c>
    </row>
    <row r="58" spans="1:6" s="21" customFormat="1" ht="24" hidden="1" customHeight="1" x14ac:dyDescent="0.25">
      <c r="A58" s="25"/>
      <c r="B58" s="337"/>
      <c r="C58" s="337"/>
      <c r="D58" s="256">
        <f>D56-D57</f>
        <v>0</v>
      </c>
    </row>
    <row r="59" spans="1:6" s="20" customFormat="1" ht="24" customHeight="1" x14ac:dyDescent="0.2">
      <c r="A59" s="26"/>
      <c r="B59" s="338"/>
      <c r="C59" s="338"/>
      <c r="D59" s="93"/>
    </row>
    <row r="60" spans="1:6" s="21" customFormat="1" ht="12" x14ac:dyDescent="0.25">
      <c r="A60" s="25"/>
      <c r="B60" s="337"/>
      <c r="C60" s="337"/>
      <c r="D60" s="94"/>
      <c r="F60" s="225"/>
    </row>
    <row r="61" spans="1:6" x14ac:dyDescent="0.25">
      <c r="A61" s="13"/>
      <c r="B61" s="339"/>
      <c r="C61" s="339"/>
      <c r="D61" s="13"/>
    </row>
    <row r="62" spans="1:6" x14ac:dyDescent="0.25">
      <c r="D62" s="95"/>
    </row>
    <row r="63" spans="1:6" x14ac:dyDescent="0.25">
      <c r="D63" s="216"/>
      <c r="E63" s="215"/>
      <c r="F63" s="215"/>
    </row>
    <row r="64" spans="1:6" x14ac:dyDescent="0.25">
      <c r="D64" s="95"/>
      <c r="F64" s="95"/>
    </row>
    <row r="65" spans="1:6" x14ac:dyDescent="0.25">
      <c r="D65" s="131"/>
    </row>
    <row r="66" spans="1:6" x14ac:dyDescent="0.25">
      <c r="A66" s="13"/>
      <c r="B66" s="339"/>
      <c r="C66" s="339"/>
      <c r="D66" s="13"/>
    </row>
    <row r="67" spans="1:6" x14ac:dyDescent="0.25">
      <c r="A67" s="13"/>
      <c r="B67" s="339"/>
      <c r="C67" s="339"/>
      <c r="D67" s="216"/>
      <c r="E67" s="219"/>
      <c r="F67" s="219"/>
    </row>
    <row r="68" spans="1:6" x14ac:dyDescent="0.25">
      <c r="A68" s="13"/>
      <c r="B68" s="339"/>
      <c r="C68" s="339"/>
      <c r="D68" s="218"/>
      <c r="E68" s="218"/>
      <c r="F68" s="218"/>
    </row>
    <row r="69" spans="1:6" x14ac:dyDescent="0.25">
      <c r="A69" s="13"/>
      <c r="B69" s="339"/>
      <c r="C69" s="339"/>
      <c r="D69" s="218"/>
      <c r="E69" s="218"/>
      <c r="F69" s="218"/>
    </row>
    <row r="70" spans="1:6" ht="15" customHeight="1" x14ac:dyDescent="0.3">
      <c r="A70" s="5"/>
      <c r="B70" s="341"/>
      <c r="C70" s="341"/>
      <c r="D70" s="96"/>
    </row>
    <row r="71" spans="1:6" ht="15.75" customHeight="1" x14ac:dyDescent="0.3">
      <c r="A71" s="5"/>
      <c r="B71" s="341"/>
      <c r="C71" s="341"/>
      <c r="D71" s="96"/>
    </row>
    <row r="72" spans="1:6" ht="18" customHeight="1" x14ac:dyDescent="0.3">
      <c r="A72" s="5"/>
      <c r="B72" s="341"/>
      <c r="C72" s="341"/>
      <c r="D72" s="96"/>
    </row>
    <row r="73" spans="1:6" x14ac:dyDescent="0.25">
      <c r="A73" s="13"/>
      <c r="B73" s="339"/>
      <c r="C73" s="339"/>
      <c r="D73" s="218"/>
    </row>
    <row r="74" spans="1:6" x14ac:dyDescent="0.25">
      <c r="A74" s="13"/>
      <c r="B74" s="339"/>
      <c r="C74" s="339"/>
      <c r="D74" s="13"/>
    </row>
    <row r="75" spans="1:6" ht="16.5" hidden="1" customHeight="1" x14ac:dyDescent="0.3">
      <c r="A75" s="5"/>
      <c r="B75" s="341"/>
      <c r="C75" s="341"/>
      <c r="D75" s="97"/>
    </row>
    <row r="76" spans="1:6" ht="20.25" hidden="1" customHeight="1" x14ac:dyDescent="0.3">
      <c r="A76" s="5"/>
      <c r="B76" s="341"/>
      <c r="C76" s="341"/>
      <c r="D76" s="97"/>
    </row>
    <row r="77" spans="1:6" ht="21" hidden="1" customHeight="1" x14ac:dyDescent="0.3">
      <c r="A77" s="5"/>
      <c r="B77" s="341"/>
      <c r="C77" s="341"/>
      <c r="D77" s="97"/>
    </row>
    <row r="78" spans="1:6" x14ac:dyDescent="0.25">
      <c r="A78" s="13"/>
      <c r="B78" s="339"/>
      <c r="C78" s="339"/>
      <c r="D78" s="13"/>
    </row>
    <row r="79" spans="1:6" x14ac:dyDescent="0.25">
      <c r="A79" s="13"/>
      <c r="B79" s="339"/>
      <c r="C79" s="339"/>
      <c r="D79" s="13"/>
    </row>
    <row r="80" spans="1:6" x14ac:dyDescent="0.25">
      <c r="A80" s="13"/>
      <c r="B80" s="339"/>
      <c r="C80" s="339"/>
      <c r="D80" s="13"/>
    </row>
    <row r="81" spans="1:4" x14ac:dyDescent="0.25">
      <c r="A81" s="13"/>
      <c r="B81" s="339"/>
      <c r="C81" s="339"/>
      <c r="D81" s="13"/>
    </row>
    <row r="91" spans="1:4" x14ac:dyDescent="0.25">
      <c r="A91" s="13"/>
      <c r="B91" s="339"/>
      <c r="C91" s="339"/>
      <c r="D91" s="13"/>
    </row>
    <row r="92" spans="1:4" s="12" customFormat="1" ht="1.5" customHeight="1" x14ac:dyDescent="0.3">
      <c r="A92" s="5"/>
      <c r="B92" s="341"/>
      <c r="C92" s="341"/>
      <c r="D92" s="97"/>
    </row>
    <row r="93" spans="1:4" ht="15" hidden="1" customHeight="1" x14ac:dyDescent="0.3">
      <c r="A93" s="5"/>
      <c r="B93" s="341"/>
      <c r="C93" s="341"/>
      <c r="D93" s="96"/>
    </row>
    <row r="94" spans="1:4" ht="17.25" hidden="1" customHeight="1" x14ac:dyDescent="0.3">
      <c r="A94" s="5"/>
      <c r="B94" s="341"/>
      <c r="C94" s="341"/>
      <c r="D94" s="96"/>
    </row>
    <row r="95" spans="1:4" ht="19.5" hidden="1" customHeight="1" x14ac:dyDescent="0.3">
      <c r="A95" s="5"/>
      <c r="B95" s="341"/>
      <c r="C95" s="341"/>
      <c r="D95" s="96"/>
    </row>
    <row r="96" spans="1:4" ht="19.5" hidden="1" customHeight="1" x14ac:dyDescent="0.3">
      <c r="A96" s="5"/>
      <c r="B96" s="341"/>
      <c r="C96" s="341"/>
      <c r="D96" s="96"/>
    </row>
    <row r="97" spans="1:4" ht="27" hidden="1" customHeight="1" x14ac:dyDescent="0.3">
      <c r="A97" s="5"/>
      <c r="B97" s="341"/>
      <c r="C97" s="341"/>
      <c r="D97" s="96"/>
    </row>
    <row r="98" spans="1:4" s="12" customFormat="1" ht="15.6" hidden="1" x14ac:dyDescent="0.3">
      <c r="A98" s="4"/>
      <c r="B98" s="342"/>
      <c r="C98" s="342"/>
      <c r="D98" s="98"/>
    </row>
    <row r="99" spans="1:4" ht="21" hidden="1" customHeight="1" x14ac:dyDescent="0.3">
      <c r="A99" s="3"/>
      <c r="B99" s="341"/>
      <c r="C99" s="341"/>
      <c r="D99" s="96"/>
    </row>
    <row r="100" spans="1:4" ht="57.75" hidden="1" customHeight="1" x14ac:dyDescent="0.3">
      <c r="A100" s="5"/>
      <c r="B100" s="341"/>
      <c r="C100" s="341"/>
      <c r="D100" s="96"/>
    </row>
    <row r="101" spans="1:4" ht="19.5" hidden="1" customHeight="1" x14ac:dyDescent="0.3">
      <c r="A101" s="5"/>
      <c r="B101" s="341"/>
      <c r="C101" s="341"/>
      <c r="D101" s="96"/>
    </row>
    <row r="102" spans="1:4" ht="10.5" customHeight="1" x14ac:dyDescent="0.3">
      <c r="A102" s="5"/>
      <c r="B102" s="341"/>
      <c r="C102" s="341"/>
      <c r="D102" s="96"/>
    </row>
    <row r="104" spans="1:4" x14ac:dyDescent="0.25">
      <c r="A104" s="14"/>
      <c r="D104" s="99"/>
    </row>
    <row r="105" spans="1:4" ht="15.6" x14ac:dyDescent="0.3">
      <c r="A105" s="3"/>
      <c r="B105" s="341"/>
      <c r="C105" s="341"/>
      <c r="D105" s="95"/>
    </row>
    <row r="106" spans="1:4" ht="15.6" x14ac:dyDescent="0.3">
      <c r="A106" s="4"/>
      <c r="B106" s="339"/>
      <c r="C106" s="339"/>
    </row>
    <row r="107" spans="1:4" ht="15.6" x14ac:dyDescent="0.3">
      <c r="A107" s="5"/>
      <c r="B107" s="339"/>
      <c r="C107" s="339"/>
    </row>
    <row r="108" spans="1:4" x14ac:dyDescent="0.25">
      <c r="D108" s="99"/>
    </row>
    <row r="111" spans="1:4" x14ac:dyDescent="0.25">
      <c r="D111" s="99"/>
    </row>
  </sheetData>
  <mergeCells count="9">
    <mergeCell ref="C4:D4"/>
    <mergeCell ref="A11:D11"/>
    <mergeCell ref="E14:E15"/>
    <mergeCell ref="F14:F15"/>
    <mergeCell ref="A14:A15"/>
    <mergeCell ref="B14:B15"/>
    <mergeCell ref="C14:C15"/>
    <mergeCell ref="D14:D15"/>
    <mergeCell ref="E4:F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9"/>
  <sheetViews>
    <sheetView topLeftCell="B1" zoomScale="55" zoomScaleNormal="55" workbookViewId="0">
      <pane xSplit="4" ySplit="28" topLeftCell="F151" activePane="bottomRight" state="frozen"/>
      <selection activeCell="B1" sqref="B1"/>
      <selection pane="topRight" activeCell="F1" sqref="F1"/>
      <selection pane="bottomLeft" activeCell="B29" sqref="B29"/>
      <selection pane="bottomRight" activeCell="L4" sqref="L4:M4"/>
    </sheetView>
  </sheetViews>
  <sheetFormatPr defaultColWidth="9.109375" defaultRowHeight="13.2" x14ac:dyDescent="0.25"/>
  <cols>
    <col min="1" max="1" width="1.44140625" style="27" hidden="1" customWidth="1"/>
    <col min="2" max="2" width="49.44140625" style="130" customWidth="1"/>
    <col min="3" max="3" width="4.44140625" style="292" customWidth="1"/>
    <col min="4" max="4" width="3.44140625" style="292" customWidth="1"/>
    <col min="5" max="5" width="3.5546875" style="292" customWidth="1"/>
    <col min="6" max="6" width="12.109375" style="292" customWidth="1"/>
    <col min="7" max="7" width="4.44140625" style="292" customWidth="1"/>
    <col min="8" max="9" width="12.88671875" style="27" customWidth="1"/>
    <col min="10" max="10" width="14" style="27" customWidth="1"/>
    <col min="11" max="11" width="12.88671875" style="27" customWidth="1"/>
    <col min="12" max="12" width="14.33203125" style="27" customWidth="1"/>
    <col min="13" max="13" width="12.88671875" style="27" customWidth="1"/>
    <col min="14" max="16384" width="9.109375" style="27"/>
  </cols>
  <sheetData>
    <row r="1" spans="1:13" ht="13.5" customHeight="1" x14ac:dyDescent="0.25">
      <c r="F1" s="454"/>
      <c r="G1" s="454"/>
      <c r="H1" s="452"/>
      <c r="I1" s="452"/>
      <c r="J1" s="452"/>
      <c r="L1" s="474" t="s">
        <v>595</v>
      </c>
      <c r="M1" s="474"/>
    </row>
    <row r="2" spans="1:13" s="9" customFormat="1" ht="14.25" customHeight="1" x14ac:dyDescent="0.25">
      <c r="A2" s="8"/>
      <c r="B2" s="113"/>
      <c r="C2" s="318"/>
      <c r="D2" s="318"/>
      <c r="E2" s="318"/>
      <c r="F2" s="318"/>
      <c r="G2" s="340"/>
      <c r="L2" s="114" t="s">
        <v>705</v>
      </c>
    </row>
    <row r="3" spans="1:13" s="9" customFormat="1" ht="14.25" customHeight="1" x14ac:dyDescent="0.25">
      <c r="A3" s="8"/>
      <c r="B3" s="113"/>
      <c r="C3" s="318"/>
      <c r="D3" s="318"/>
      <c r="E3" s="318"/>
      <c r="F3" s="318"/>
      <c r="G3" s="340"/>
      <c r="L3" s="114" t="s">
        <v>704</v>
      </c>
    </row>
    <row r="4" spans="1:13" ht="13.5" customHeight="1" x14ac:dyDescent="0.25">
      <c r="F4" s="495"/>
      <c r="G4" s="495"/>
      <c r="H4" s="492"/>
      <c r="I4" s="492"/>
      <c r="J4" s="40"/>
      <c r="L4" s="492" t="s">
        <v>706</v>
      </c>
      <c r="M4" s="492"/>
    </row>
    <row r="5" spans="1:13" ht="11.4" customHeight="1" x14ac:dyDescent="0.25">
      <c r="J5" s="453"/>
    </row>
    <row r="6" spans="1:13" ht="13.5" customHeight="1" x14ac:dyDescent="0.25">
      <c r="F6" s="495"/>
      <c r="G6" s="495"/>
      <c r="H6" s="474"/>
      <c r="I6" s="474"/>
      <c r="J6" s="452"/>
      <c r="L6" s="114" t="s">
        <v>42</v>
      </c>
      <c r="M6" s="114"/>
    </row>
    <row r="7" spans="1:13" s="9" customFormat="1" ht="14.25" customHeight="1" x14ac:dyDescent="0.25">
      <c r="A7" s="8"/>
      <c r="B7" s="113"/>
      <c r="C7" s="318"/>
      <c r="D7" s="318"/>
      <c r="E7" s="318"/>
      <c r="F7" s="318"/>
      <c r="G7" s="340"/>
      <c r="L7" s="114" t="s">
        <v>705</v>
      </c>
    </row>
    <row r="8" spans="1:13" s="9" customFormat="1" ht="14.25" customHeight="1" x14ac:dyDescent="0.25">
      <c r="A8" s="8"/>
      <c r="B8" s="113"/>
      <c r="C8" s="318"/>
      <c r="D8" s="318"/>
      <c r="E8" s="318"/>
      <c r="F8" s="318"/>
      <c r="G8" s="340"/>
      <c r="L8" s="114" t="s">
        <v>704</v>
      </c>
    </row>
    <row r="9" spans="1:13" ht="13.5" hidden="1" customHeight="1" x14ac:dyDescent="0.25">
      <c r="F9" s="454"/>
      <c r="G9" s="454"/>
      <c r="H9" s="452"/>
      <c r="I9" s="452"/>
      <c r="J9" s="452"/>
      <c r="L9" s="114"/>
      <c r="M9" s="114"/>
    </row>
    <row r="10" spans="1:13" ht="13.5" customHeight="1" x14ac:dyDescent="0.25">
      <c r="F10" s="454"/>
      <c r="G10" s="454"/>
      <c r="H10" s="452"/>
      <c r="I10" s="452"/>
      <c r="J10" s="452"/>
      <c r="L10" s="453" t="s">
        <v>597</v>
      </c>
      <c r="M10" s="453"/>
    </row>
    <row r="11" spans="1:13" ht="13.5" customHeight="1" x14ac:dyDescent="0.25">
      <c r="F11" s="454"/>
      <c r="G11" s="454"/>
      <c r="H11" s="452"/>
      <c r="I11" s="452"/>
      <c r="J11" s="452"/>
      <c r="L11" s="453"/>
      <c r="M11" s="453"/>
    </row>
    <row r="12" spans="1:13" ht="16.5" customHeight="1" x14ac:dyDescent="0.3">
      <c r="B12" s="493" t="s">
        <v>419</v>
      </c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</row>
    <row r="13" spans="1:13" ht="12.75" customHeight="1" x14ac:dyDescent="0.25">
      <c r="H13" s="131"/>
      <c r="I13" s="132"/>
      <c r="M13" s="132" t="s">
        <v>21</v>
      </c>
    </row>
    <row r="14" spans="1:13" ht="11.25" hidden="1" customHeight="1" x14ac:dyDescent="0.25">
      <c r="A14" s="132" t="s">
        <v>1</v>
      </c>
      <c r="B14" s="133"/>
      <c r="C14" s="394"/>
      <c r="D14" s="394"/>
      <c r="E14" s="394"/>
      <c r="F14" s="344"/>
      <c r="G14" s="344"/>
      <c r="I14" s="132"/>
    </row>
    <row r="15" spans="1:13" ht="15" customHeight="1" x14ac:dyDescent="0.25">
      <c r="A15" s="132"/>
      <c r="B15" s="480" t="s">
        <v>2</v>
      </c>
      <c r="C15" s="475" t="s">
        <v>3</v>
      </c>
      <c r="D15" s="483" t="s">
        <v>4</v>
      </c>
      <c r="E15" s="483" t="s">
        <v>5</v>
      </c>
      <c r="F15" s="486" t="s">
        <v>6</v>
      </c>
      <c r="G15" s="486" t="s">
        <v>7</v>
      </c>
      <c r="H15" s="478" t="s">
        <v>378</v>
      </c>
      <c r="I15" s="479"/>
      <c r="J15" s="478" t="s">
        <v>393</v>
      </c>
      <c r="K15" s="494"/>
      <c r="L15" s="494"/>
      <c r="M15" s="479"/>
    </row>
    <row r="16" spans="1:13" ht="18" hidden="1" customHeight="1" x14ac:dyDescent="0.25">
      <c r="A16" s="132"/>
      <c r="B16" s="481"/>
      <c r="C16" s="476"/>
      <c r="D16" s="484"/>
      <c r="E16" s="484"/>
      <c r="F16" s="487"/>
      <c r="G16" s="487"/>
      <c r="H16" s="134"/>
      <c r="I16" s="455"/>
      <c r="J16" s="134"/>
      <c r="K16" s="455"/>
      <c r="L16" s="134"/>
      <c r="M16" s="455"/>
    </row>
    <row r="17" spans="1:13" ht="33.75" customHeight="1" x14ac:dyDescent="0.25">
      <c r="A17" s="135"/>
      <c r="B17" s="482"/>
      <c r="C17" s="477"/>
      <c r="D17" s="485"/>
      <c r="E17" s="485"/>
      <c r="F17" s="488"/>
      <c r="G17" s="488"/>
      <c r="H17" s="136" t="s">
        <v>44</v>
      </c>
      <c r="I17" s="137" t="s">
        <v>89</v>
      </c>
      <c r="J17" s="136" t="s">
        <v>379</v>
      </c>
      <c r="K17" s="137" t="s">
        <v>89</v>
      </c>
      <c r="L17" s="136" t="s">
        <v>411</v>
      </c>
      <c r="M17" s="137" t="s">
        <v>89</v>
      </c>
    </row>
    <row r="18" spans="1:13" ht="13.5" customHeight="1" thickBot="1" x14ac:dyDescent="0.3">
      <c r="A18" s="135"/>
      <c r="B18" s="138">
        <v>1</v>
      </c>
      <c r="C18" s="435"/>
      <c r="D18" s="140">
        <v>2</v>
      </c>
      <c r="E18" s="140">
        <v>3</v>
      </c>
      <c r="F18" s="141">
        <v>4</v>
      </c>
      <c r="G18" s="141">
        <v>5</v>
      </c>
      <c r="H18" s="140">
        <v>6</v>
      </c>
      <c r="I18" s="140">
        <v>7</v>
      </c>
      <c r="J18" s="140">
        <v>6</v>
      </c>
      <c r="K18" s="140">
        <v>7</v>
      </c>
      <c r="L18" s="140">
        <v>6</v>
      </c>
      <c r="M18" s="140">
        <v>7</v>
      </c>
    </row>
    <row r="19" spans="1:13" s="28" customFormat="1" ht="13.5" hidden="1" customHeight="1" thickBot="1" x14ac:dyDescent="0.3">
      <c r="A19" s="142"/>
      <c r="B19" s="143"/>
      <c r="C19" s="436"/>
      <c r="D19" s="395"/>
      <c r="E19" s="395"/>
      <c r="F19" s="345"/>
      <c r="G19" s="346"/>
      <c r="H19" s="258"/>
      <c r="I19" s="259"/>
      <c r="J19" s="258"/>
      <c r="K19" s="259"/>
      <c r="L19" s="258"/>
      <c r="M19" s="259"/>
    </row>
    <row r="20" spans="1:13" ht="13.5" hidden="1" customHeight="1" thickBot="1" x14ac:dyDescent="0.3">
      <c r="A20" s="145"/>
      <c r="B20" s="146"/>
      <c r="C20" s="437"/>
      <c r="D20" s="396"/>
      <c r="E20" s="396"/>
      <c r="F20" s="347"/>
      <c r="G20" s="348"/>
      <c r="H20" s="260"/>
      <c r="I20" s="261"/>
      <c r="J20" s="260"/>
      <c r="K20" s="261"/>
      <c r="L20" s="260"/>
      <c r="M20" s="261"/>
    </row>
    <row r="21" spans="1:13" ht="13.5" hidden="1" customHeight="1" thickBot="1" x14ac:dyDescent="0.3">
      <c r="A21" s="145"/>
      <c r="B21" s="146"/>
      <c r="C21" s="437"/>
      <c r="D21" s="396"/>
      <c r="E21" s="396"/>
      <c r="F21" s="347"/>
      <c r="G21" s="348"/>
      <c r="H21" s="260"/>
      <c r="I21" s="261"/>
      <c r="J21" s="260"/>
      <c r="K21" s="261"/>
      <c r="L21" s="260"/>
      <c r="M21" s="261"/>
    </row>
    <row r="22" spans="1:13" ht="13.5" hidden="1" customHeight="1" thickBot="1" x14ac:dyDescent="0.3">
      <c r="A22" s="145"/>
      <c r="B22" s="146"/>
      <c r="C22" s="437"/>
      <c r="D22" s="396"/>
      <c r="E22" s="396"/>
      <c r="F22" s="347"/>
      <c r="G22" s="348"/>
      <c r="H22" s="260"/>
      <c r="I22" s="261"/>
      <c r="J22" s="260"/>
      <c r="K22" s="261"/>
      <c r="L22" s="260"/>
      <c r="M22" s="261"/>
    </row>
    <row r="23" spans="1:13" ht="13.5" hidden="1" customHeight="1" thickBot="1" x14ac:dyDescent="0.3">
      <c r="A23" s="145"/>
      <c r="B23" s="146"/>
      <c r="C23" s="437"/>
      <c r="D23" s="396"/>
      <c r="E23" s="396"/>
      <c r="F23" s="347"/>
      <c r="G23" s="348"/>
      <c r="H23" s="260"/>
      <c r="I23" s="261"/>
      <c r="J23" s="260"/>
      <c r="K23" s="261"/>
      <c r="L23" s="260"/>
      <c r="M23" s="261"/>
    </row>
    <row r="24" spans="1:13" ht="13.5" hidden="1" customHeight="1" thickBot="1" x14ac:dyDescent="0.3">
      <c r="A24" s="145"/>
      <c r="B24" s="146"/>
      <c r="C24" s="437"/>
      <c r="D24" s="396"/>
      <c r="E24" s="396"/>
      <c r="F24" s="347"/>
      <c r="G24" s="348"/>
      <c r="H24" s="260"/>
      <c r="I24" s="261"/>
      <c r="J24" s="260"/>
      <c r="K24" s="261"/>
      <c r="L24" s="260"/>
      <c r="M24" s="261"/>
    </row>
    <row r="25" spans="1:13" ht="13.5" hidden="1" customHeight="1" thickBot="1" x14ac:dyDescent="0.3">
      <c r="A25" s="145"/>
      <c r="B25" s="146"/>
      <c r="C25" s="437"/>
      <c r="D25" s="396"/>
      <c r="E25" s="396"/>
      <c r="F25" s="347"/>
      <c r="G25" s="348"/>
      <c r="H25" s="260"/>
      <c r="I25" s="261"/>
      <c r="J25" s="260"/>
      <c r="K25" s="261"/>
      <c r="L25" s="260"/>
      <c r="M25" s="261"/>
    </row>
    <row r="26" spans="1:13" ht="18" hidden="1" customHeight="1" x14ac:dyDescent="0.25">
      <c r="A26" s="145"/>
      <c r="B26" s="146"/>
      <c r="C26" s="437"/>
      <c r="D26" s="396"/>
      <c r="E26" s="396"/>
      <c r="F26" s="347"/>
      <c r="G26" s="348"/>
      <c r="H26" s="260"/>
      <c r="I26" s="261"/>
      <c r="J26" s="260"/>
      <c r="K26" s="261"/>
      <c r="L26" s="260"/>
      <c r="M26" s="261"/>
    </row>
    <row r="27" spans="1:13" s="28" customFormat="1" ht="18" hidden="1" customHeight="1" x14ac:dyDescent="0.25">
      <c r="A27" s="142"/>
      <c r="B27" s="148"/>
      <c r="C27" s="438"/>
      <c r="D27" s="397"/>
      <c r="E27" s="397"/>
      <c r="F27" s="349"/>
      <c r="G27" s="350"/>
      <c r="H27" s="262"/>
      <c r="I27" s="263"/>
      <c r="J27" s="262"/>
      <c r="K27" s="263"/>
      <c r="L27" s="262"/>
      <c r="M27" s="263"/>
    </row>
    <row r="28" spans="1:13" s="10" customFormat="1" ht="19.5" customHeight="1" thickBot="1" x14ac:dyDescent="0.3">
      <c r="A28" s="29"/>
      <c r="B28" s="149" t="s">
        <v>67</v>
      </c>
      <c r="C28" s="439">
        <v>656</v>
      </c>
      <c r="D28" s="398">
        <v>0</v>
      </c>
      <c r="E28" s="398">
        <v>0</v>
      </c>
      <c r="F28" s="399" t="s">
        <v>122</v>
      </c>
      <c r="G28" s="373">
        <v>0</v>
      </c>
      <c r="H28" s="264">
        <f>H303</f>
        <v>60644464.370000005</v>
      </c>
      <c r="I28" s="265">
        <f t="shared" ref="I28:M28" si="0">I303</f>
        <v>222140</v>
      </c>
      <c r="J28" s="264">
        <f t="shared" si="0"/>
        <v>28097254.5</v>
      </c>
      <c r="K28" s="265">
        <f t="shared" si="0"/>
        <v>226040</v>
      </c>
      <c r="L28" s="264">
        <f t="shared" si="0"/>
        <v>28644374.5</v>
      </c>
      <c r="M28" s="265">
        <f t="shared" si="0"/>
        <v>239340</v>
      </c>
    </row>
    <row r="29" spans="1:13" s="10" customFormat="1" ht="13.8" thickBot="1" x14ac:dyDescent="0.3">
      <c r="A29" s="29"/>
      <c r="B29" s="149" t="s">
        <v>13</v>
      </c>
      <c r="C29" s="439">
        <v>656</v>
      </c>
      <c r="D29" s="398">
        <v>1</v>
      </c>
      <c r="E29" s="398">
        <v>0</v>
      </c>
      <c r="F29" s="399" t="s">
        <v>122</v>
      </c>
      <c r="G29" s="373">
        <v>0</v>
      </c>
      <c r="H29" s="264">
        <f>H30+H39+H58+H64+H53</f>
        <v>14255361.940000001</v>
      </c>
      <c r="I29" s="265">
        <f>I30+I34+I39+I49+I58+I64</f>
        <v>0</v>
      </c>
      <c r="J29" s="264">
        <f>J30+J39+J58+J64+J53</f>
        <v>13819872.9</v>
      </c>
      <c r="K29" s="265">
        <f>K30+K34+K39+K49+K58+K64</f>
        <v>0</v>
      </c>
      <c r="L29" s="264">
        <f>L30+L39+L58+L64+L53</f>
        <v>12519569</v>
      </c>
      <c r="M29" s="265">
        <f>M30+M34+M39+M49+M58+M64</f>
        <v>0</v>
      </c>
    </row>
    <row r="30" spans="1:13" s="36" customFormat="1" ht="26.25" customHeight="1" thickBot="1" x14ac:dyDescent="0.3">
      <c r="A30" s="34"/>
      <c r="B30" s="150" t="s">
        <v>37</v>
      </c>
      <c r="C30" s="440">
        <v>656</v>
      </c>
      <c r="D30" s="400">
        <v>1</v>
      </c>
      <c r="E30" s="400">
        <v>2</v>
      </c>
      <c r="F30" s="399" t="s">
        <v>122</v>
      </c>
      <c r="G30" s="401">
        <v>0</v>
      </c>
      <c r="H30" s="266">
        <f t="shared" ref="H30:M30" si="1">H31</f>
        <v>1693066.1400000001</v>
      </c>
      <c r="I30" s="267">
        <f t="shared" si="1"/>
        <v>0</v>
      </c>
      <c r="J30" s="266">
        <f t="shared" si="1"/>
        <v>1304578</v>
      </c>
      <c r="K30" s="267">
        <f t="shared" si="1"/>
        <v>0</v>
      </c>
      <c r="L30" s="266">
        <f t="shared" si="1"/>
        <v>1304578</v>
      </c>
      <c r="M30" s="267">
        <f t="shared" si="1"/>
        <v>0</v>
      </c>
    </row>
    <row r="31" spans="1:13" s="10" customFormat="1" ht="37.5" customHeight="1" x14ac:dyDescent="0.25">
      <c r="A31" s="29"/>
      <c r="B31" s="151" t="s">
        <v>420</v>
      </c>
      <c r="C31" s="441">
        <v>656</v>
      </c>
      <c r="D31" s="402">
        <v>1</v>
      </c>
      <c r="E31" s="402">
        <v>2</v>
      </c>
      <c r="F31" s="378" t="s">
        <v>102</v>
      </c>
      <c r="G31" s="348">
        <v>0</v>
      </c>
      <c r="H31" s="268">
        <f>H32</f>
        <v>1693066.1400000001</v>
      </c>
      <c r="I31" s="269">
        <f>I38</f>
        <v>0</v>
      </c>
      <c r="J31" s="268">
        <f>J32</f>
        <v>1304578</v>
      </c>
      <c r="K31" s="269">
        <f>K38</f>
        <v>0</v>
      </c>
      <c r="L31" s="268">
        <f>L32</f>
        <v>1304578</v>
      </c>
      <c r="M31" s="269">
        <f>M38</f>
        <v>0</v>
      </c>
    </row>
    <row r="32" spans="1:13" s="10" customFormat="1" ht="49.8" customHeight="1" x14ac:dyDescent="0.25">
      <c r="A32" s="29"/>
      <c r="B32" s="239" t="s">
        <v>498</v>
      </c>
      <c r="C32" s="441">
        <v>656</v>
      </c>
      <c r="D32" s="402">
        <v>1</v>
      </c>
      <c r="E32" s="402">
        <v>2</v>
      </c>
      <c r="F32" s="347" t="s">
        <v>103</v>
      </c>
      <c r="G32" s="348">
        <v>0</v>
      </c>
      <c r="H32" s="268">
        <f>H33</f>
        <v>1693066.1400000001</v>
      </c>
      <c r="I32" s="269">
        <v>0</v>
      </c>
      <c r="J32" s="268">
        <f>J33</f>
        <v>1304578</v>
      </c>
      <c r="K32" s="269">
        <v>0</v>
      </c>
      <c r="L32" s="268">
        <f>L33</f>
        <v>1304578</v>
      </c>
      <c r="M32" s="269">
        <v>0</v>
      </c>
    </row>
    <row r="33" spans="1:13" s="10" customFormat="1" ht="51" customHeight="1" x14ac:dyDescent="0.25">
      <c r="A33" s="29"/>
      <c r="B33" s="151" t="s">
        <v>75</v>
      </c>
      <c r="C33" s="441">
        <v>656</v>
      </c>
      <c r="D33" s="402">
        <v>1</v>
      </c>
      <c r="E33" s="402">
        <v>2</v>
      </c>
      <c r="F33" s="347" t="s">
        <v>103</v>
      </c>
      <c r="G33" s="348">
        <v>100</v>
      </c>
      <c r="H33" s="268">
        <f>H37+H38</f>
        <v>1693066.1400000001</v>
      </c>
      <c r="I33" s="269">
        <v>0</v>
      </c>
      <c r="J33" s="268">
        <f>J37+J38</f>
        <v>1304578</v>
      </c>
      <c r="K33" s="269">
        <v>0</v>
      </c>
      <c r="L33" s="268">
        <f>L37+L38</f>
        <v>1304578</v>
      </c>
      <c r="M33" s="269">
        <v>0</v>
      </c>
    </row>
    <row r="34" spans="1:13" s="10" customFormat="1" ht="18" hidden="1" customHeight="1" x14ac:dyDescent="0.25">
      <c r="A34" s="29"/>
      <c r="B34" s="152" t="s">
        <v>40</v>
      </c>
      <c r="C34" s="442"/>
      <c r="D34" s="403">
        <v>1</v>
      </c>
      <c r="E34" s="403">
        <v>3</v>
      </c>
      <c r="F34" s="375">
        <v>20000</v>
      </c>
      <c r="G34" s="376">
        <v>0</v>
      </c>
      <c r="H34" s="270">
        <v>0</v>
      </c>
      <c r="I34" s="270">
        <f>I35</f>
        <v>0</v>
      </c>
      <c r="J34" s="270">
        <v>0</v>
      </c>
      <c r="K34" s="270">
        <f>K35</f>
        <v>0</v>
      </c>
      <c r="L34" s="270">
        <v>0</v>
      </c>
      <c r="M34" s="270">
        <f>M35</f>
        <v>0</v>
      </c>
    </row>
    <row r="35" spans="1:13" s="10" customFormat="1" ht="36" hidden="1" customHeight="1" x14ac:dyDescent="0.25">
      <c r="A35" s="29"/>
      <c r="B35" s="151" t="s">
        <v>41</v>
      </c>
      <c r="C35" s="442"/>
      <c r="D35" s="403">
        <v>1</v>
      </c>
      <c r="E35" s="403">
        <v>3</v>
      </c>
      <c r="F35" s="375">
        <v>20400</v>
      </c>
      <c r="G35" s="376">
        <v>0</v>
      </c>
      <c r="H35" s="270">
        <v>0</v>
      </c>
      <c r="I35" s="270">
        <f>I36</f>
        <v>0</v>
      </c>
      <c r="J35" s="270">
        <v>0</v>
      </c>
      <c r="K35" s="270">
        <f>K36</f>
        <v>0</v>
      </c>
      <c r="L35" s="270">
        <v>0</v>
      </c>
      <c r="M35" s="270">
        <f>M36</f>
        <v>0</v>
      </c>
    </row>
    <row r="36" spans="1:13" s="10" customFormat="1" ht="12.75" hidden="1" customHeight="1" x14ac:dyDescent="0.25">
      <c r="A36" s="29"/>
      <c r="B36" s="152" t="s">
        <v>14</v>
      </c>
      <c r="C36" s="442"/>
      <c r="D36" s="403">
        <v>1</v>
      </c>
      <c r="E36" s="403">
        <v>3</v>
      </c>
      <c r="F36" s="404">
        <v>20400</v>
      </c>
      <c r="G36" s="376">
        <v>244</v>
      </c>
      <c r="H36" s="270">
        <v>0</v>
      </c>
      <c r="I36" s="270">
        <v>0</v>
      </c>
      <c r="J36" s="270">
        <v>0</v>
      </c>
      <c r="K36" s="270">
        <v>0</v>
      </c>
      <c r="L36" s="270">
        <v>0</v>
      </c>
      <c r="M36" s="270">
        <v>0</v>
      </c>
    </row>
    <row r="37" spans="1:13" s="10" customFormat="1" x14ac:dyDescent="0.25">
      <c r="A37" s="29"/>
      <c r="B37" s="239" t="s">
        <v>139</v>
      </c>
      <c r="C37" s="441">
        <v>656</v>
      </c>
      <c r="D37" s="402">
        <v>1</v>
      </c>
      <c r="E37" s="402">
        <v>2</v>
      </c>
      <c r="F37" s="347" t="s">
        <v>103</v>
      </c>
      <c r="G37" s="348">
        <v>121</v>
      </c>
      <c r="H37" s="268">
        <f>'по нов.7'!R66</f>
        <v>1300358.08</v>
      </c>
      <c r="I37" s="269">
        <v>0</v>
      </c>
      <c r="J37" s="268">
        <f>'по нов.7'!W66</f>
        <v>1001980</v>
      </c>
      <c r="K37" s="269">
        <v>0</v>
      </c>
      <c r="L37" s="268">
        <f>'по нов.7'!X66</f>
        <v>1001980</v>
      </c>
      <c r="M37" s="269">
        <v>0</v>
      </c>
    </row>
    <row r="38" spans="1:13" s="10" customFormat="1" ht="36.6" thickBot="1" x14ac:dyDescent="0.3">
      <c r="A38" s="29"/>
      <c r="B38" s="239" t="s">
        <v>134</v>
      </c>
      <c r="C38" s="441">
        <v>656</v>
      </c>
      <c r="D38" s="402">
        <v>1</v>
      </c>
      <c r="E38" s="402">
        <v>2</v>
      </c>
      <c r="F38" s="347" t="s">
        <v>103</v>
      </c>
      <c r="G38" s="348">
        <v>129</v>
      </c>
      <c r="H38" s="268">
        <f>'по нов.7'!R70</f>
        <v>392708.06</v>
      </c>
      <c r="I38" s="269">
        <v>0</v>
      </c>
      <c r="J38" s="268">
        <f>'по нов.7'!W70</f>
        <v>302598</v>
      </c>
      <c r="K38" s="269">
        <v>0</v>
      </c>
      <c r="L38" s="268">
        <f>'по нов.7'!X70</f>
        <v>302598</v>
      </c>
      <c r="M38" s="269">
        <v>0</v>
      </c>
    </row>
    <row r="39" spans="1:13" s="10" customFormat="1" ht="47.25" customHeight="1" thickBot="1" x14ac:dyDescent="0.3">
      <c r="A39" s="29"/>
      <c r="B39" s="240" t="s">
        <v>76</v>
      </c>
      <c r="C39" s="443">
        <v>656</v>
      </c>
      <c r="D39" s="405">
        <v>1</v>
      </c>
      <c r="E39" s="405">
        <v>4</v>
      </c>
      <c r="F39" s="399" t="s">
        <v>122</v>
      </c>
      <c r="G39" s="346">
        <v>0</v>
      </c>
      <c r="H39" s="271">
        <f>H40+H49</f>
        <v>4265692.4800000004</v>
      </c>
      <c r="I39" s="272">
        <f>I40+I52</f>
        <v>0</v>
      </c>
      <c r="J39" s="271">
        <f>J40+J49</f>
        <v>5188527</v>
      </c>
      <c r="K39" s="272">
        <f>K40+K52</f>
        <v>0</v>
      </c>
      <c r="L39" s="271">
        <f>L40+L49</f>
        <v>5188527</v>
      </c>
      <c r="M39" s="272">
        <f>M40+M52</f>
        <v>0</v>
      </c>
    </row>
    <row r="40" spans="1:13" s="10" customFormat="1" ht="36.75" customHeight="1" x14ac:dyDescent="0.25">
      <c r="A40" s="29"/>
      <c r="B40" s="151" t="s">
        <v>420</v>
      </c>
      <c r="C40" s="441">
        <v>656</v>
      </c>
      <c r="D40" s="402">
        <v>1</v>
      </c>
      <c r="E40" s="402">
        <v>4</v>
      </c>
      <c r="F40" s="347" t="s">
        <v>102</v>
      </c>
      <c r="G40" s="348">
        <v>0</v>
      </c>
      <c r="H40" s="268">
        <f>H41</f>
        <v>3783892.4800000004</v>
      </c>
      <c r="I40" s="269">
        <v>0</v>
      </c>
      <c r="J40" s="268">
        <f>J41</f>
        <v>5188527</v>
      </c>
      <c r="K40" s="269">
        <v>0</v>
      </c>
      <c r="L40" s="268">
        <f>L41</f>
        <v>5188527</v>
      </c>
      <c r="M40" s="269">
        <v>0</v>
      </c>
    </row>
    <row r="41" spans="1:13" s="10" customFormat="1" ht="54" customHeight="1" x14ac:dyDescent="0.25">
      <c r="A41" s="29"/>
      <c r="B41" s="153" t="s">
        <v>499</v>
      </c>
      <c r="C41" s="441">
        <v>656</v>
      </c>
      <c r="D41" s="402">
        <v>1</v>
      </c>
      <c r="E41" s="402">
        <v>4</v>
      </c>
      <c r="F41" s="347" t="s">
        <v>101</v>
      </c>
      <c r="G41" s="348">
        <v>0</v>
      </c>
      <c r="H41" s="268">
        <f>H42+H47</f>
        <v>3783892.4800000004</v>
      </c>
      <c r="I41" s="269">
        <v>0</v>
      </c>
      <c r="J41" s="268">
        <f>J42+J47</f>
        <v>5188527</v>
      </c>
      <c r="K41" s="269">
        <v>0</v>
      </c>
      <c r="L41" s="268">
        <f>L42+L47</f>
        <v>5188527</v>
      </c>
      <c r="M41" s="269">
        <v>0</v>
      </c>
    </row>
    <row r="42" spans="1:13" s="10" customFormat="1" ht="48.75" customHeight="1" x14ac:dyDescent="0.25">
      <c r="A42" s="29"/>
      <c r="B42" s="151" t="s">
        <v>75</v>
      </c>
      <c r="C42" s="441">
        <v>656</v>
      </c>
      <c r="D42" s="402">
        <v>1</v>
      </c>
      <c r="E42" s="402">
        <v>4</v>
      </c>
      <c r="F42" s="347" t="s">
        <v>101</v>
      </c>
      <c r="G42" s="348">
        <v>100</v>
      </c>
      <c r="H42" s="268">
        <f>H43+H45+H44</f>
        <v>3783892.4800000004</v>
      </c>
      <c r="I42" s="269">
        <v>0</v>
      </c>
      <c r="J42" s="268">
        <f>J43+J45+J44</f>
        <v>5188527</v>
      </c>
      <c r="K42" s="269">
        <v>0</v>
      </c>
      <c r="L42" s="268">
        <f>L43+L45+L44</f>
        <v>5188527</v>
      </c>
      <c r="M42" s="269">
        <v>0</v>
      </c>
    </row>
    <row r="43" spans="1:13" s="10" customFormat="1" ht="17.25" customHeight="1" x14ac:dyDescent="0.25">
      <c r="A43" s="29"/>
      <c r="B43" s="239" t="s">
        <v>138</v>
      </c>
      <c r="C43" s="441">
        <v>656</v>
      </c>
      <c r="D43" s="402">
        <v>1</v>
      </c>
      <c r="E43" s="402">
        <v>4</v>
      </c>
      <c r="F43" s="347" t="s">
        <v>101</v>
      </c>
      <c r="G43" s="348">
        <v>121</v>
      </c>
      <c r="H43" s="268">
        <f>'по нов.7'!R78</f>
        <v>2905478.68</v>
      </c>
      <c r="I43" s="269">
        <v>0</v>
      </c>
      <c r="J43" s="268">
        <f>'по нов.7'!W78</f>
        <v>4100252</v>
      </c>
      <c r="K43" s="269">
        <v>0</v>
      </c>
      <c r="L43" s="268">
        <f>'по нов.7'!X78</f>
        <v>4100252</v>
      </c>
      <c r="M43" s="269">
        <v>0</v>
      </c>
    </row>
    <row r="44" spans="1:13" s="10" customFormat="1" ht="24" hidden="1" customHeight="1" x14ac:dyDescent="0.25">
      <c r="A44" s="29"/>
      <c r="B44" s="239" t="s">
        <v>137</v>
      </c>
      <c r="C44" s="441">
        <v>656</v>
      </c>
      <c r="D44" s="402">
        <v>1</v>
      </c>
      <c r="E44" s="402">
        <v>4</v>
      </c>
      <c r="F44" s="347" t="s">
        <v>101</v>
      </c>
      <c r="G44" s="348">
        <v>122</v>
      </c>
      <c r="H44" s="268">
        <f>'по нов.7'!R79</f>
        <v>0</v>
      </c>
      <c r="I44" s="269">
        <v>0</v>
      </c>
      <c r="J44" s="268">
        <f>'по нов.7'!W79</f>
        <v>0</v>
      </c>
      <c r="K44" s="269">
        <v>0</v>
      </c>
      <c r="L44" s="268">
        <f>'по нов.7'!X79</f>
        <v>0</v>
      </c>
      <c r="M44" s="269">
        <v>0</v>
      </c>
    </row>
    <row r="45" spans="1:13" s="10" customFormat="1" ht="36" x14ac:dyDescent="0.25">
      <c r="A45" s="29"/>
      <c r="B45" s="239" t="s">
        <v>134</v>
      </c>
      <c r="C45" s="441">
        <v>656</v>
      </c>
      <c r="D45" s="402">
        <v>1</v>
      </c>
      <c r="E45" s="402">
        <v>4</v>
      </c>
      <c r="F45" s="347" t="s">
        <v>101</v>
      </c>
      <c r="G45" s="348">
        <v>129</v>
      </c>
      <c r="H45" s="268">
        <f>'по нов.7'!R80</f>
        <v>878413.8</v>
      </c>
      <c r="I45" s="269">
        <v>0</v>
      </c>
      <c r="J45" s="268">
        <f>'по нов.7'!W80</f>
        <v>1088275</v>
      </c>
      <c r="K45" s="269">
        <v>0</v>
      </c>
      <c r="L45" s="268">
        <f>'по нов.7'!X80</f>
        <v>1088275</v>
      </c>
      <c r="M45" s="269">
        <v>0</v>
      </c>
    </row>
    <row r="46" spans="1:13" s="10" customFormat="1" ht="33" hidden="1" customHeight="1" x14ac:dyDescent="0.25">
      <c r="A46" s="29"/>
      <c r="B46" s="239"/>
      <c r="C46" s="441"/>
      <c r="D46" s="402"/>
      <c r="E46" s="402"/>
      <c r="F46" s="347"/>
      <c r="G46" s="348"/>
      <c r="H46" s="268"/>
      <c r="I46" s="269"/>
      <c r="J46" s="268"/>
      <c r="K46" s="269"/>
      <c r="L46" s="268"/>
      <c r="M46" s="269"/>
    </row>
    <row r="47" spans="1:13" s="10" customFormat="1" ht="24" hidden="1" customHeight="1" x14ac:dyDescent="0.25">
      <c r="A47" s="29"/>
      <c r="B47" s="151" t="s">
        <v>128</v>
      </c>
      <c r="C47" s="441">
        <v>656</v>
      </c>
      <c r="D47" s="402">
        <v>1</v>
      </c>
      <c r="E47" s="402">
        <v>4</v>
      </c>
      <c r="F47" s="347" t="s">
        <v>104</v>
      </c>
      <c r="G47" s="348">
        <v>200</v>
      </c>
      <c r="H47" s="268">
        <f>H48</f>
        <v>0</v>
      </c>
      <c r="I47" s="269">
        <v>0</v>
      </c>
      <c r="J47" s="268">
        <f>J48</f>
        <v>0</v>
      </c>
      <c r="K47" s="269">
        <v>0</v>
      </c>
      <c r="L47" s="268">
        <f>L48</f>
        <v>0</v>
      </c>
      <c r="M47" s="269">
        <v>0</v>
      </c>
    </row>
    <row r="48" spans="1:13" s="10" customFormat="1" ht="24" hidden="1" customHeight="1" x14ac:dyDescent="0.25">
      <c r="A48" s="29"/>
      <c r="B48" s="118" t="s">
        <v>506</v>
      </c>
      <c r="C48" s="441">
        <v>656</v>
      </c>
      <c r="D48" s="402">
        <v>1</v>
      </c>
      <c r="E48" s="402">
        <v>4</v>
      </c>
      <c r="F48" s="347" t="s">
        <v>104</v>
      </c>
      <c r="G48" s="348">
        <v>244</v>
      </c>
      <c r="H48" s="268">
        <f>'по нов.7'!R83</f>
        <v>0</v>
      </c>
      <c r="I48" s="269">
        <v>0</v>
      </c>
      <c r="J48" s="268">
        <f>'по нов.7'!W83</f>
        <v>0</v>
      </c>
      <c r="K48" s="269">
        <v>0</v>
      </c>
      <c r="L48" s="268">
        <f>'по нов.7'!X83</f>
        <v>0</v>
      </c>
      <c r="M48" s="269">
        <v>0</v>
      </c>
    </row>
    <row r="49" spans="1:13" s="10" customFormat="1" ht="59.25" customHeight="1" x14ac:dyDescent="0.25">
      <c r="A49" s="29"/>
      <c r="B49" s="240" t="s">
        <v>421</v>
      </c>
      <c r="C49" s="443">
        <v>656</v>
      </c>
      <c r="D49" s="405">
        <v>1</v>
      </c>
      <c r="E49" s="405">
        <v>4</v>
      </c>
      <c r="F49" s="345" t="s">
        <v>123</v>
      </c>
      <c r="G49" s="346">
        <v>0</v>
      </c>
      <c r="H49" s="271">
        <f>H50</f>
        <v>481800</v>
      </c>
      <c r="I49" s="272">
        <v>0</v>
      </c>
      <c r="J49" s="271">
        <f>J50</f>
        <v>0</v>
      </c>
      <c r="K49" s="272">
        <v>0</v>
      </c>
      <c r="L49" s="271">
        <f>L50</f>
        <v>0</v>
      </c>
      <c r="M49" s="272">
        <v>0</v>
      </c>
    </row>
    <row r="50" spans="1:13" s="10" customFormat="1" ht="109.8" customHeight="1" x14ac:dyDescent="0.25">
      <c r="A50" s="29"/>
      <c r="B50" s="108" t="s">
        <v>520</v>
      </c>
      <c r="C50" s="441">
        <v>656</v>
      </c>
      <c r="D50" s="402">
        <v>1</v>
      </c>
      <c r="E50" s="402">
        <v>4</v>
      </c>
      <c r="F50" s="406" t="s">
        <v>118</v>
      </c>
      <c r="G50" s="348">
        <v>0</v>
      </c>
      <c r="H50" s="268">
        <f>H51</f>
        <v>481800</v>
      </c>
      <c r="I50" s="269">
        <v>0</v>
      </c>
      <c r="J50" s="268">
        <f>J51</f>
        <v>0</v>
      </c>
      <c r="K50" s="269">
        <v>0</v>
      </c>
      <c r="L50" s="268">
        <f>L51</f>
        <v>0</v>
      </c>
      <c r="M50" s="269">
        <v>0</v>
      </c>
    </row>
    <row r="51" spans="1:13" s="10" customFormat="1" ht="13.5" customHeight="1" x14ac:dyDescent="0.25">
      <c r="A51" s="29"/>
      <c r="B51" s="151" t="s">
        <v>74</v>
      </c>
      <c r="C51" s="441">
        <v>656</v>
      </c>
      <c r="D51" s="402">
        <v>1</v>
      </c>
      <c r="E51" s="402">
        <v>4</v>
      </c>
      <c r="F51" s="406" t="s">
        <v>118</v>
      </c>
      <c r="G51" s="348">
        <v>500</v>
      </c>
      <c r="H51" s="268">
        <f>H52</f>
        <v>481800</v>
      </c>
      <c r="I51" s="269">
        <v>0</v>
      </c>
      <c r="J51" s="268">
        <f>J52</f>
        <v>0</v>
      </c>
      <c r="K51" s="269">
        <v>0</v>
      </c>
      <c r="L51" s="268">
        <f>L52</f>
        <v>0</v>
      </c>
      <c r="M51" s="269">
        <v>0</v>
      </c>
    </row>
    <row r="52" spans="1:13" s="10" customFormat="1" ht="13.5" customHeight="1" x14ac:dyDescent="0.25">
      <c r="A52" s="29"/>
      <c r="B52" s="155" t="s">
        <v>63</v>
      </c>
      <c r="C52" s="444">
        <v>656</v>
      </c>
      <c r="D52" s="407">
        <v>1</v>
      </c>
      <c r="E52" s="407">
        <v>4</v>
      </c>
      <c r="F52" s="406" t="s">
        <v>118</v>
      </c>
      <c r="G52" s="377">
        <v>540</v>
      </c>
      <c r="H52" s="268">
        <f>'по нов.7'!R205</f>
        <v>481800</v>
      </c>
      <c r="I52" s="269">
        <v>0</v>
      </c>
      <c r="J52" s="268">
        <f>'по нов.7'!W205</f>
        <v>0</v>
      </c>
      <c r="K52" s="269">
        <v>0</v>
      </c>
      <c r="L52" s="268">
        <f>'по нов.7'!X205</f>
        <v>0</v>
      </c>
      <c r="M52" s="269">
        <v>0</v>
      </c>
    </row>
    <row r="53" spans="1:13" s="10" customFormat="1" x14ac:dyDescent="0.25">
      <c r="A53" s="29"/>
      <c r="B53" s="159" t="s">
        <v>480</v>
      </c>
      <c r="C53" s="443">
        <v>656</v>
      </c>
      <c r="D53" s="405">
        <v>1</v>
      </c>
      <c r="E53" s="405">
        <v>7</v>
      </c>
      <c r="F53" s="345" t="s">
        <v>418</v>
      </c>
      <c r="G53" s="346">
        <v>0</v>
      </c>
      <c r="H53" s="271">
        <f>H54</f>
        <v>770019</v>
      </c>
      <c r="I53" s="272">
        <v>0</v>
      </c>
      <c r="J53" s="272">
        <v>0</v>
      </c>
      <c r="K53" s="272">
        <v>0</v>
      </c>
      <c r="L53" s="272">
        <v>0</v>
      </c>
      <c r="M53" s="272">
        <v>0</v>
      </c>
    </row>
    <row r="54" spans="1:13" s="10" customFormat="1" ht="36" x14ac:dyDescent="0.25">
      <c r="A54" s="29"/>
      <c r="B54" s="151" t="s">
        <v>420</v>
      </c>
      <c r="C54" s="441">
        <v>656</v>
      </c>
      <c r="D54" s="402">
        <v>1</v>
      </c>
      <c r="E54" s="402">
        <v>7</v>
      </c>
      <c r="F54" s="347" t="s">
        <v>102</v>
      </c>
      <c r="G54" s="348">
        <v>0</v>
      </c>
      <c r="H54" s="268">
        <f>H55</f>
        <v>770019</v>
      </c>
      <c r="I54" s="269">
        <v>0</v>
      </c>
      <c r="J54" s="269">
        <v>0</v>
      </c>
      <c r="K54" s="269">
        <v>0</v>
      </c>
      <c r="L54" s="269">
        <v>0</v>
      </c>
      <c r="M54" s="269">
        <v>0</v>
      </c>
    </row>
    <row r="55" spans="1:13" s="10" customFormat="1" ht="48.75" customHeight="1" x14ac:dyDescent="0.25">
      <c r="A55" s="29"/>
      <c r="B55" s="239" t="s">
        <v>501</v>
      </c>
      <c r="C55" s="441">
        <v>656</v>
      </c>
      <c r="D55" s="402">
        <v>1</v>
      </c>
      <c r="E55" s="402">
        <v>7</v>
      </c>
      <c r="F55" s="347" t="s">
        <v>101</v>
      </c>
      <c r="G55" s="348">
        <v>0</v>
      </c>
      <c r="H55" s="268">
        <f>H56</f>
        <v>770019</v>
      </c>
      <c r="I55" s="269">
        <v>0</v>
      </c>
      <c r="J55" s="269">
        <v>0</v>
      </c>
      <c r="K55" s="269">
        <v>0</v>
      </c>
      <c r="L55" s="269">
        <v>0</v>
      </c>
      <c r="M55" s="269">
        <v>0</v>
      </c>
    </row>
    <row r="56" spans="1:13" s="10" customFormat="1" ht="24" customHeight="1" x14ac:dyDescent="0.25">
      <c r="A56" s="29"/>
      <c r="B56" s="151" t="s">
        <v>128</v>
      </c>
      <c r="C56" s="441">
        <v>656</v>
      </c>
      <c r="D56" s="402">
        <v>1</v>
      </c>
      <c r="E56" s="402">
        <v>7</v>
      </c>
      <c r="F56" s="347" t="s">
        <v>101</v>
      </c>
      <c r="G56" s="348">
        <v>200</v>
      </c>
      <c r="H56" s="268">
        <f>H57</f>
        <v>770019</v>
      </c>
      <c r="I56" s="269">
        <v>0</v>
      </c>
      <c r="J56" s="268">
        <f>J57</f>
        <v>0</v>
      </c>
      <c r="K56" s="269">
        <v>0</v>
      </c>
      <c r="L56" s="268">
        <f>L57</f>
        <v>0</v>
      </c>
      <c r="M56" s="269">
        <v>0</v>
      </c>
    </row>
    <row r="57" spans="1:13" s="10" customFormat="1" ht="24" customHeight="1" thickBot="1" x14ac:dyDescent="0.3">
      <c r="A57" s="29"/>
      <c r="B57" s="229" t="s">
        <v>506</v>
      </c>
      <c r="C57" s="441">
        <v>656</v>
      </c>
      <c r="D57" s="402">
        <v>1</v>
      </c>
      <c r="E57" s="402">
        <v>7</v>
      </c>
      <c r="F57" s="347" t="s">
        <v>101</v>
      </c>
      <c r="G57" s="348">
        <v>244</v>
      </c>
      <c r="H57" s="268">
        <f>'0'!V26</f>
        <v>770019</v>
      </c>
      <c r="I57" s="269">
        <v>0</v>
      </c>
      <c r="J57" s="268">
        <f>'по нов.7'!W69</f>
        <v>0</v>
      </c>
      <c r="K57" s="269">
        <v>0</v>
      </c>
      <c r="L57" s="268">
        <f>'по нов.7'!X69</f>
        <v>0</v>
      </c>
      <c r="M57" s="269">
        <v>0</v>
      </c>
    </row>
    <row r="58" spans="1:13" s="36" customFormat="1" ht="13.8" thickBot="1" x14ac:dyDescent="0.3">
      <c r="A58" s="34"/>
      <c r="B58" s="240" t="s">
        <v>15</v>
      </c>
      <c r="C58" s="443">
        <v>656</v>
      </c>
      <c r="D58" s="405">
        <v>1</v>
      </c>
      <c r="E58" s="405">
        <v>11</v>
      </c>
      <c r="F58" s="399" t="s">
        <v>122</v>
      </c>
      <c r="G58" s="346">
        <v>0</v>
      </c>
      <c r="H58" s="271">
        <f t="shared" ref="H58:M58" si="2">H60</f>
        <v>80000</v>
      </c>
      <c r="I58" s="272">
        <f t="shared" si="2"/>
        <v>0</v>
      </c>
      <c r="J58" s="271">
        <f t="shared" si="2"/>
        <v>80000</v>
      </c>
      <c r="K58" s="272">
        <f t="shared" si="2"/>
        <v>0</v>
      </c>
      <c r="L58" s="271">
        <f t="shared" si="2"/>
        <v>68000</v>
      </c>
      <c r="M58" s="272">
        <f t="shared" si="2"/>
        <v>0</v>
      </c>
    </row>
    <row r="59" spans="1:13" s="10" customFormat="1" ht="18" hidden="1" customHeight="1" x14ac:dyDescent="0.25">
      <c r="A59" s="29"/>
      <c r="B59" s="151"/>
      <c r="C59" s="441"/>
      <c r="D59" s="402"/>
      <c r="E59" s="402"/>
      <c r="F59" s="347"/>
      <c r="G59" s="348"/>
      <c r="H59" s="268"/>
      <c r="I59" s="269"/>
      <c r="J59" s="268"/>
      <c r="K59" s="269"/>
      <c r="L59" s="268"/>
      <c r="M59" s="269"/>
    </row>
    <row r="60" spans="1:13" s="10" customFormat="1" ht="42.6" customHeight="1" x14ac:dyDescent="0.25">
      <c r="A60" s="29"/>
      <c r="B60" s="151" t="s">
        <v>422</v>
      </c>
      <c r="C60" s="441">
        <v>656</v>
      </c>
      <c r="D60" s="402">
        <v>1</v>
      </c>
      <c r="E60" s="402">
        <v>11</v>
      </c>
      <c r="F60" s="347" t="s">
        <v>107</v>
      </c>
      <c r="G60" s="348">
        <v>0</v>
      </c>
      <c r="H60" s="268">
        <f>H61</f>
        <v>80000</v>
      </c>
      <c r="I60" s="269"/>
      <c r="J60" s="268">
        <f>J61</f>
        <v>80000</v>
      </c>
      <c r="K60" s="269"/>
      <c r="L60" s="268">
        <f>L61</f>
        <v>68000</v>
      </c>
      <c r="M60" s="269"/>
    </row>
    <row r="61" spans="1:13" s="10" customFormat="1" ht="38.25" customHeight="1" x14ac:dyDescent="0.25">
      <c r="A61" s="29"/>
      <c r="B61" s="103" t="s">
        <v>508</v>
      </c>
      <c r="C61" s="441">
        <v>656</v>
      </c>
      <c r="D61" s="402">
        <v>1</v>
      </c>
      <c r="E61" s="402">
        <v>11</v>
      </c>
      <c r="F61" s="347" t="s">
        <v>108</v>
      </c>
      <c r="G61" s="348">
        <v>0</v>
      </c>
      <c r="H61" s="268">
        <v>80000</v>
      </c>
      <c r="I61" s="269">
        <v>0</v>
      </c>
      <c r="J61" s="268">
        <v>80000</v>
      </c>
      <c r="K61" s="269">
        <v>0</v>
      </c>
      <c r="L61" s="268">
        <f>L62</f>
        <v>68000</v>
      </c>
      <c r="M61" s="269">
        <v>0</v>
      </c>
    </row>
    <row r="62" spans="1:13" s="10" customFormat="1" ht="12.75" customHeight="1" x14ac:dyDescent="0.25">
      <c r="A62" s="29"/>
      <c r="B62" s="151" t="s">
        <v>78</v>
      </c>
      <c r="C62" s="441">
        <v>656</v>
      </c>
      <c r="D62" s="402">
        <v>1</v>
      </c>
      <c r="E62" s="402">
        <v>11</v>
      </c>
      <c r="F62" s="347" t="s">
        <v>108</v>
      </c>
      <c r="G62" s="348">
        <v>800</v>
      </c>
      <c r="H62" s="268">
        <v>80000</v>
      </c>
      <c r="I62" s="269">
        <v>0</v>
      </c>
      <c r="J62" s="268">
        <v>80000</v>
      </c>
      <c r="K62" s="269">
        <v>0</v>
      </c>
      <c r="L62" s="268">
        <f>L63</f>
        <v>68000</v>
      </c>
      <c r="M62" s="269">
        <v>0</v>
      </c>
    </row>
    <row r="63" spans="1:13" s="10" customFormat="1" ht="12.75" customHeight="1" thickBot="1" x14ac:dyDescent="0.3">
      <c r="A63" s="29"/>
      <c r="B63" s="151" t="s">
        <v>61</v>
      </c>
      <c r="C63" s="441">
        <v>656</v>
      </c>
      <c r="D63" s="402">
        <v>1</v>
      </c>
      <c r="E63" s="402">
        <v>11</v>
      </c>
      <c r="F63" s="347" t="s">
        <v>108</v>
      </c>
      <c r="G63" s="348">
        <v>870</v>
      </c>
      <c r="H63" s="268">
        <f>'по нов.7'!R110</f>
        <v>80000</v>
      </c>
      <c r="I63" s="269">
        <v>0</v>
      </c>
      <c r="J63" s="268">
        <f>'по нов.7'!W110</f>
        <v>80000</v>
      </c>
      <c r="K63" s="269">
        <v>0</v>
      </c>
      <c r="L63" s="268">
        <f>'по нов.7'!X110</f>
        <v>68000</v>
      </c>
      <c r="M63" s="269">
        <v>0</v>
      </c>
    </row>
    <row r="64" spans="1:13" s="10" customFormat="1" ht="13.5" customHeight="1" thickBot="1" x14ac:dyDescent="0.3">
      <c r="A64" s="29"/>
      <c r="B64" s="240" t="s">
        <v>16</v>
      </c>
      <c r="C64" s="443">
        <v>656</v>
      </c>
      <c r="D64" s="405">
        <v>1</v>
      </c>
      <c r="E64" s="405">
        <v>13</v>
      </c>
      <c r="F64" s="399" t="s">
        <v>122</v>
      </c>
      <c r="G64" s="346">
        <v>0</v>
      </c>
      <c r="H64" s="271">
        <f>H89+H74+H68</f>
        <v>7446584.3200000003</v>
      </c>
      <c r="I64" s="271">
        <f t="shared" ref="I64:M64" si="3">I89+I74+I68</f>
        <v>0</v>
      </c>
      <c r="J64" s="271">
        <f>J89+J74+J68+J85</f>
        <v>7246767.9000000004</v>
      </c>
      <c r="K64" s="271">
        <f t="shared" si="3"/>
        <v>0</v>
      </c>
      <c r="L64" s="271">
        <f>L89+L74+L68+L85</f>
        <v>5958464</v>
      </c>
      <c r="M64" s="271">
        <f t="shared" si="3"/>
        <v>0</v>
      </c>
    </row>
    <row r="65" spans="1:13" s="10" customFormat="1" ht="18" hidden="1" customHeight="1" x14ac:dyDescent="0.25">
      <c r="A65" s="29"/>
      <c r="B65" s="151" t="s">
        <v>14</v>
      </c>
      <c r="C65" s="441"/>
      <c r="D65" s="402">
        <v>1</v>
      </c>
      <c r="E65" s="402">
        <v>13</v>
      </c>
      <c r="F65" s="408" t="s">
        <v>51</v>
      </c>
      <c r="G65" s="348">
        <v>0</v>
      </c>
      <c r="H65" s="268"/>
      <c r="I65" s="269"/>
      <c r="J65" s="268"/>
      <c r="K65" s="269"/>
      <c r="L65" s="268"/>
      <c r="M65" s="269"/>
    </row>
    <row r="66" spans="1:13" s="10" customFormat="1" ht="18" hidden="1" customHeight="1" x14ac:dyDescent="0.25">
      <c r="A66" s="29"/>
      <c r="B66" s="151" t="s">
        <v>53</v>
      </c>
      <c r="C66" s="441"/>
      <c r="D66" s="402">
        <v>1</v>
      </c>
      <c r="E66" s="402">
        <v>13</v>
      </c>
      <c r="F66" s="408" t="s">
        <v>52</v>
      </c>
      <c r="G66" s="348">
        <v>500</v>
      </c>
      <c r="H66" s="268">
        <f>H67</f>
        <v>0</v>
      </c>
      <c r="I66" s="269"/>
      <c r="J66" s="268">
        <f>J67</f>
        <v>0</v>
      </c>
      <c r="K66" s="269"/>
      <c r="L66" s="268">
        <f>L67</f>
        <v>0</v>
      </c>
      <c r="M66" s="269"/>
    </row>
    <row r="67" spans="1:13" s="10" customFormat="1" ht="18" hidden="1" customHeight="1" x14ac:dyDescent="0.25">
      <c r="A67" s="29"/>
      <c r="B67" s="151" t="s">
        <v>53</v>
      </c>
      <c r="C67" s="441"/>
      <c r="D67" s="402">
        <v>1</v>
      </c>
      <c r="E67" s="402">
        <v>13</v>
      </c>
      <c r="F67" s="408" t="s">
        <v>52</v>
      </c>
      <c r="G67" s="348">
        <v>500</v>
      </c>
      <c r="H67" s="268"/>
      <c r="I67" s="269"/>
      <c r="J67" s="268"/>
      <c r="K67" s="269"/>
      <c r="L67" s="268"/>
      <c r="M67" s="269"/>
    </row>
    <row r="68" spans="1:13" s="10" customFormat="1" ht="27.75" customHeight="1" thickBot="1" x14ac:dyDescent="0.3">
      <c r="A68" s="29"/>
      <c r="B68" s="248" t="s">
        <v>564</v>
      </c>
      <c r="C68" s="441">
        <v>656</v>
      </c>
      <c r="D68" s="402">
        <v>1</v>
      </c>
      <c r="E68" s="402">
        <v>13</v>
      </c>
      <c r="F68" s="409" t="s">
        <v>526</v>
      </c>
      <c r="G68" s="348">
        <v>0</v>
      </c>
      <c r="H68" s="268">
        <f>H69</f>
        <v>75000</v>
      </c>
      <c r="I68" s="269">
        <v>0</v>
      </c>
      <c r="J68" s="268">
        <f>J69</f>
        <v>0</v>
      </c>
      <c r="K68" s="269">
        <v>0</v>
      </c>
      <c r="L68" s="269">
        <f>L69</f>
        <v>0</v>
      </c>
      <c r="M68" s="268">
        <v>0</v>
      </c>
    </row>
    <row r="69" spans="1:13" s="10" customFormat="1" ht="78" customHeight="1" x14ac:dyDescent="0.25">
      <c r="A69" s="29"/>
      <c r="B69" s="242" t="s">
        <v>565</v>
      </c>
      <c r="C69" s="441">
        <v>656</v>
      </c>
      <c r="D69" s="402">
        <v>1</v>
      </c>
      <c r="E69" s="402">
        <v>13</v>
      </c>
      <c r="F69" s="368" t="s">
        <v>566</v>
      </c>
      <c r="G69" s="348">
        <v>0</v>
      </c>
      <c r="H69" s="268">
        <f>H70</f>
        <v>75000</v>
      </c>
      <c r="I69" s="269">
        <v>0</v>
      </c>
      <c r="J69" s="268">
        <f>J70</f>
        <v>0</v>
      </c>
      <c r="K69" s="269">
        <v>0</v>
      </c>
      <c r="L69" s="269">
        <f>L70</f>
        <v>0</v>
      </c>
      <c r="M69" s="268">
        <v>0</v>
      </c>
    </row>
    <row r="70" spans="1:13" s="10" customFormat="1" ht="24" customHeight="1" x14ac:dyDescent="0.25">
      <c r="A70" s="29"/>
      <c r="B70" s="151" t="s">
        <v>128</v>
      </c>
      <c r="C70" s="441">
        <v>656</v>
      </c>
      <c r="D70" s="402">
        <v>1</v>
      </c>
      <c r="E70" s="402">
        <v>13</v>
      </c>
      <c r="F70" s="368" t="s">
        <v>567</v>
      </c>
      <c r="G70" s="348">
        <v>200</v>
      </c>
      <c r="H70" s="268">
        <f>H73</f>
        <v>75000</v>
      </c>
      <c r="I70" s="269">
        <v>0</v>
      </c>
      <c r="J70" s="268">
        <f>J73</f>
        <v>0</v>
      </c>
      <c r="K70" s="269">
        <v>0</v>
      </c>
      <c r="L70" s="269">
        <f>L73</f>
        <v>0</v>
      </c>
      <c r="M70" s="268">
        <v>0</v>
      </c>
    </row>
    <row r="71" spans="1:13" s="10" customFormat="1" ht="18" hidden="1" customHeight="1" x14ac:dyDescent="0.25">
      <c r="A71" s="29"/>
      <c r="B71" s="151"/>
      <c r="C71" s="441"/>
      <c r="D71" s="402"/>
      <c r="E71" s="402"/>
      <c r="F71" s="347" t="s">
        <v>104</v>
      </c>
      <c r="G71" s="348"/>
      <c r="H71" s="268"/>
      <c r="I71" s="269"/>
      <c r="J71" s="268"/>
      <c r="K71" s="269"/>
      <c r="L71" s="269"/>
      <c r="M71" s="268"/>
    </row>
    <row r="72" spans="1:13" s="10" customFormat="1" ht="18" hidden="1" customHeight="1" x14ac:dyDescent="0.25">
      <c r="A72" s="29"/>
      <c r="B72" s="156"/>
      <c r="C72" s="441"/>
      <c r="D72" s="402"/>
      <c r="E72" s="402"/>
      <c r="F72" s="347" t="s">
        <v>104</v>
      </c>
      <c r="G72" s="348"/>
      <c r="H72" s="268"/>
      <c r="I72" s="269"/>
      <c r="J72" s="268"/>
      <c r="K72" s="269"/>
      <c r="L72" s="269"/>
      <c r="M72" s="268"/>
    </row>
    <row r="73" spans="1:13" s="10" customFormat="1" ht="24" customHeight="1" x14ac:dyDescent="0.25">
      <c r="A73" s="29"/>
      <c r="B73" s="151" t="s">
        <v>60</v>
      </c>
      <c r="C73" s="444">
        <v>656</v>
      </c>
      <c r="D73" s="407">
        <v>1</v>
      </c>
      <c r="E73" s="407">
        <v>13</v>
      </c>
      <c r="F73" s="368" t="s">
        <v>567</v>
      </c>
      <c r="G73" s="377">
        <v>244</v>
      </c>
      <c r="H73" s="273">
        <f>'по нов.7'!R53</f>
        <v>75000</v>
      </c>
      <c r="I73" s="274">
        <v>0</v>
      </c>
      <c r="J73" s="273">
        <f>'по нов.7'!W53</f>
        <v>0</v>
      </c>
      <c r="K73" s="274">
        <v>0</v>
      </c>
      <c r="L73" s="274">
        <f>[1]прил.5!V94</f>
        <v>0</v>
      </c>
      <c r="M73" s="268">
        <v>0</v>
      </c>
    </row>
    <row r="74" spans="1:13" s="10" customFormat="1" ht="40.5" customHeight="1" x14ac:dyDescent="0.25">
      <c r="A74" s="29"/>
      <c r="B74" s="151" t="s">
        <v>420</v>
      </c>
      <c r="C74" s="441">
        <v>656</v>
      </c>
      <c r="D74" s="402">
        <v>1</v>
      </c>
      <c r="E74" s="402">
        <v>13</v>
      </c>
      <c r="F74" s="347" t="s">
        <v>102</v>
      </c>
      <c r="G74" s="348">
        <v>0</v>
      </c>
      <c r="H74" s="268">
        <f>H75+H82</f>
        <v>400249.63</v>
      </c>
      <c r="I74" s="269">
        <v>0</v>
      </c>
      <c r="J74" s="268">
        <f>J75+J82</f>
        <v>200000</v>
      </c>
      <c r="K74" s="269">
        <v>0</v>
      </c>
      <c r="L74" s="268">
        <f>L75+L82</f>
        <v>200000</v>
      </c>
      <c r="M74" s="269">
        <v>0</v>
      </c>
    </row>
    <row r="75" spans="1:13" s="10" customFormat="1" ht="52.2" customHeight="1" x14ac:dyDescent="0.25">
      <c r="A75" s="29"/>
      <c r="B75" s="63" t="s">
        <v>483</v>
      </c>
      <c r="C75" s="441">
        <v>656</v>
      </c>
      <c r="D75" s="402">
        <v>1</v>
      </c>
      <c r="E75" s="402">
        <v>13</v>
      </c>
      <c r="F75" s="347" t="s">
        <v>104</v>
      </c>
      <c r="G75" s="348">
        <v>0</v>
      </c>
      <c r="H75" s="268">
        <f>H76+H78</f>
        <v>377249.63</v>
      </c>
      <c r="I75" s="269">
        <v>0</v>
      </c>
      <c r="J75" s="268">
        <f>J76+J78</f>
        <v>200000</v>
      </c>
      <c r="K75" s="269">
        <v>0</v>
      </c>
      <c r="L75" s="268">
        <f>L76+L78</f>
        <v>200000</v>
      </c>
      <c r="M75" s="269">
        <v>0</v>
      </c>
    </row>
    <row r="76" spans="1:13" s="10" customFormat="1" ht="53.25" customHeight="1" x14ac:dyDescent="0.25">
      <c r="A76" s="29"/>
      <c r="B76" s="151" t="s">
        <v>75</v>
      </c>
      <c r="C76" s="441">
        <v>656</v>
      </c>
      <c r="D76" s="402">
        <v>1</v>
      </c>
      <c r="E76" s="402">
        <v>13</v>
      </c>
      <c r="F76" s="347" t="s">
        <v>104</v>
      </c>
      <c r="G76" s="348">
        <v>100</v>
      </c>
      <c r="H76" s="268">
        <f>H77</f>
        <v>355521.67</v>
      </c>
      <c r="I76" s="269">
        <v>0</v>
      </c>
      <c r="J76" s="268">
        <f>J77</f>
        <v>200000</v>
      </c>
      <c r="K76" s="269">
        <v>0</v>
      </c>
      <c r="L76" s="268">
        <f>L77</f>
        <v>200000</v>
      </c>
      <c r="M76" s="269">
        <v>0</v>
      </c>
    </row>
    <row r="77" spans="1:13" s="10" customFormat="1" ht="24" customHeight="1" x14ac:dyDescent="0.25">
      <c r="A77" s="29"/>
      <c r="B77" s="151" t="s">
        <v>137</v>
      </c>
      <c r="C77" s="441">
        <v>656</v>
      </c>
      <c r="D77" s="402">
        <v>1</v>
      </c>
      <c r="E77" s="402">
        <v>13</v>
      </c>
      <c r="F77" s="347" t="s">
        <v>104</v>
      </c>
      <c r="G77" s="348">
        <v>122</v>
      </c>
      <c r="H77" s="268">
        <f>'по нов.7'!R86</f>
        <v>355521.67</v>
      </c>
      <c r="I77" s="269">
        <v>0</v>
      </c>
      <c r="J77" s="268">
        <f>'по нов.7'!W86</f>
        <v>200000</v>
      </c>
      <c r="K77" s="269">
        <v>0</v>
      </c>
      <c r="L77" s="268">
        <f>'по нов.7'!X86</f>
        <v>200000</v>
      </c>
      <c r="M77" s="269">
        <v>0</v>
      </c>
    </row>
    <row r="78" spans="1:13" s="10" customFormat="1" ht="24" customHeight="1" x14ac:dyDescent="0.25">
      <c r="A78" s="29"/>
      <c r="B78" s="151" t="s">
        <v>128</v>
      </c>
      <c r="C78" s="441">
        <v>656</v>
      </c>
      <c r="D78" s="402">
        <v>1</v>
      </c>
      <c r="E78" s="402">
        <v>13</v>
      </c>
      <c r="F78" s="347" t="s">
        <v>104</v>
      </c>
      <c r="G78" s="348">
        <v>200</v>
      </c>
      <c r="H78" s="268">
        <f>H81</f>
        <v>21727.96</v>
      </c>
      <c r="I78" s="269">
        <v>0</v>
      </c>
      <c r="J78" s="268">
        <f>J81</f>
        <v>0</v>
      </c>
      <c r="K78" s="269">
        <v>0</v>
      </c>
      <c r="L78" s="268">
        <f>L81</f>
        <v>0</v>
      </c>
      <c r="M78" s="269">
        <v>0</v>
      </c>
    </row>
    <row r="79" spans="1:13" s="10" customFormat="1" ht="18" hidden="1" customHeight="1" x14ac:dyDescent="0.25">
      <c r="A79" s="29"/>
      <c r="B79" s="151"/>
      <c r="C79" s="441"/>
      <c r="D79" s="402"/>
      <c r="E79" s="402"/>
      <c r="F79" s="347" t="s">
        <v>104</v>
      </c>
      <c r="G79" s="348"/>
      <c r="H79" s="268"/>
      <c r="I79" s="269"/>
      <c r="J79" s="268"/>
      <c r="K79" s="269"/>
      <c r="L79" s="268"/>
      <c r="M79" s="269"/>
    </row>
    <row r="80" spans="1:13" s="10" customFormat="1" ht="18" hidden="1" customHeight="1" x14ac:dyDescent="0.25">
      <c r="A80" s="29"/>
      <c r="B80" s="156"/>
      <c r="C80" s="441"/>
      <c r="D80" s="402"/>
      <c r="E80" s="402"/>
      <c r="F80" s="347" t="s">
        <v>104</v>
      </c>
      <c r="G80" s="348"/>
      <c r="H80" s="268"/>
      <c r="I80" s="269"/>
      <c r="J80" s="268"/>
      <c r="K80" s="269"/>
      <c r="L80" s="268"/>
      <c r="M80" s="269"/>
    </row>
    <row r="81" spans="1:17" s="10" customFormat="1" ht="24" customHeight="1" x14ac:dyDescent="0.25">
      <c r="A81" s="29"/>
      <c r="B81" s="229" t="s">
        <v>506</v>
      </c>
      <c r="C81" s="444">
        <v>656</v>
      </c>
      <c r="D81" s="407">
        <v>1</v>
      </c>
      <c r="E81" s="407">
        <v>13</v>
      </c>
      <c r="F81" s="347" t="s">
        <v>104</v>
      </c>
      <c r="G81" s="377">
        <v>244</v>
      </c>
      <c r="H81" s="273">
        <f>'по нов.7'!R88</f>
        <v>21727.96</v>
      </c>
      <c r="I81" s="274">
        <v>0</v>
      </c>
      <c r="J81" s="273">
        <f>'по нов.7'!W88</f>
        <v>0</v>
      </c>
      <c r="K81" s="274">
        <v>0</v>
      </c>
      <c r="L81" s="273">
        <f>'по нов.7'!V88</f>
        <v>0</v>
      </c>
      <c r="M81" s="274">
        <v>0</v>
      </c>
    </row>
    <row r="82" spans="1:17" s="10" customFormat="1" ht="20.25" customHeight="1" x14ac:dyDescent="0.25">
      <c r="A82" s="29"/>
      <c r="B82" s="239" t="s">
        <v>78</v>
      </c>
      <c r="C82" s="444">
        <v>656</v>
      </c>
      <c r="D82" s="407">
        <v>1</v>
      </c>
      <c r="E82" s="407">
        <v>13</v>
      </c>
      <c r="F82" s="347" t="s">
        <v>104</v>
      </c>
      <c r="G82" s="410">
        <v>800</v>
      </c>
      <c r="H82" s="275">
        <f>H83+H84</f>
        <v>23000</v>
      </c>
      <c r="I82" s="276">
        <v>0</v>
      </c>
      <c r="J82" s="275">
        <f>J83+J84</f>
        <v>0</v>
      </c>
      <c r="K82" s="276">
        <v>0</v>
      </c>
      <c r="L82" s="275">
        <f>L83+L84</f>
        <v>0</v>
      </c>
      <c r="M82" s="276">
        <v>0</v>
      </c>
    </row>
    <row r="83" spans="1:17" s="10" customFormat="1" ht="15" customHeight="1" x14ac:dyDescent="0.25">
      <c r="A83" s="29"/>
      <c r="B83" s="151" t="s">
        <v>488</v>
      </c>
      <c r="C83" s="441">
        <v>656</v>
      </c>
      <c r="D83" s="407">
        <v>1</v>
      </c>
      <c r="E83" s="407">
        <v>13</v>
      </c>
      <c r="F83" s="347" t="s">
        <v>104</v>
      </c>
      <c r="G83" s="348">
        <v>851</v>
      </c>
      <c r="H83" s="268">
        <f>'по нов.7'!R90</f>
        <v>6000</v>
      </c>
      <c r="I83" s="269">
        <v>0</v>
      </c>
      <c r="J83" s="268">
        <f>'по нов.7'!W90</f>
        <v>0</v>
      </c>
      <c r="K83" s="269">
        <v>0</v>
      </c>
      <c r="L83" s="268">
        <f>'по нов.7'!V90</f>
        <v>0</v>
      </c>
      <c r="M83" s="269">
        <v>0</v>
      </c>
    </row>
    <row r="84" spans="1:17" s="10" customFormat="1" ht="15" customHeight="1" x14ac:dyDescent="0.25">
      <c r="A84" s="29"/>
      <c r="B84" s="151" t="s">
        <v>348</v>
      </c>
      <c r="C84" s="441">
        <v>656</v>
      </c>
      <c r="D84" s="407">
        <v>1</v>
      </c>
      <c r="E84" s="407">
        <v>13</v>
      </c>
      <c r="F84" s="347" t="s">
        <v>104</v>
      </c>
      <c r="G84" s="348">
        <v>853</v>
      </c>
      <c r="H84" s="268">
        <f>'по нов.7'!R91</f>
        <v>17000</v>
      </c>
      <c r="I84" s="269">
        <v>0</v>
      </c>
      <c r="J84" s="268">
        <f>'по нов.7'!W91</f>
        <v>0</v>
      </c>
      <c r="K84" s="269">
        <v>0</v>
      </c>
      <c r="L84" s="268">
        <f>'по нов.7'!V91</f>
        <v>0</v>
      </c>
      <c r="M84" s="269">
        <v>0</v>
      </c>
    </row>
    <row r="85" spans="1:17" s="10" customFormat="1" ht="37.799999999999997" customHeight="1" x14ac:dyDescent="0.25">
      <c r="A85" s="29"/>
      <c r="B85" s="151" t="s">
        <v>422</v>
      </c>
      <c r="C85" s="441">
        <v>656</v>
      </c>
      <c r="D85" s="407">
        <v>1</v>
      </c>
      <c r="E85" s="407">
        <v>13</v>
      </c>
      <c r="F85" s="347" t="s">
        <v>396</v>
      </c>
      <c r="G85" s="348">
        <v>0</v>
      </c>
      <c r="H85" s="274">
        <v>0</v>
      </c>
      <c r="I85" s="274">
        <v>0</v>
      </c>
      <c r="J85" s="274">
        <f>J86</f>
        <v>650000</v>
      </c>
      <c r="K85" s="274">
        <v>0</v>
      </c>
      <c r="L85" s="274">
        <f>L86</f>
        <v>1338000</v>
      </c>
      <c r="M85" s="274">
        <v>0</v>
      </c>
      <c r="N85" s="18"/>
      <c r="O85" s="18"/>
      <c r="P85" s="18"/>
      <c r="Q85" s="18"/>
    </row>
    <row r="86" spans="1:17" s="10" customFormat="1" ht="36" customHeight="1" x14ac:dyDescent="0.25">
      <c r="A86" s="29"/>
      <c r="B86" s="151" t="s">
        <v>423</v>
      </c>
      <c r="C86" s="441">
        <v>656</v>
      </c>
      <c r="D86" s="407">
        <v>1</v>
      </c>
      <c r="E86" s="407">
        <v>13</v>
      </c>
      <c r="F86" s="347" t="s">
        <v>396</v>
      </c>
      <c r="G86" s="348">
        <v>0</v>
      </c>
      <c r="H86" s="276">
        <v>0</v>
      </c>
      <c r="I86" s="276">
        <v>0</v>
      </c>
      <c r="J86" s="276">
        <f>J87</f>
        <v>650000</v>
      </c>
      <c r="K86" s="276">
        <v>0</v>
      </c>
      <c r="L86" s="276">
        <f>L87</f>
        <v>1338000</v>
      </c>
      <c r="M86" s="276">
        <v>0</v>
      </c>
      <c r="N86" s="18"/>
      <c r="O86" s="18"/>
      <c r="P86" s="18"/>
      <c r="Q86" s="18"/>
    </row>
    <row r="87" spans="1:17" s="10" customFormat="1" ht="15" customHeight="1" x14ac:dyDescent="0.25">
      <c r="A87" s="29"/>
      <c r="B87" s="151" t="s">
        <v>78</v>
      </c>
      <c r="C87" s="441">
        <v>656</v>
      </c>
      <c r="D87" s="407">
        <v>1</v>
      </c>
      <c r="E87" s="407">
        <v>13</v>
      </c>
      <c r="F87" s="347" t="s">
        <v>396</v>
      </c>
      <c r="G87" s="348">
        <v>800</v>
      </c>
      <c r="H87" s="269">
        <v>0</v>
      </c>
      <c r="I87" s="269">
        <v>0</v>
      </c>
      <c r="J87" s="269">
        <f>J88</f>
        <v>650000</v>
      </c>
      <c r="K87" s="269">
        <v>0</v>
      </c>
      <c r="L87" s="269">
        <f>L88</f>
        <v>1338000</v>
      </c>
      <c r="M87" s="269">
        <v>0</v>
      </c>
      <c r="N87" s="18"/>
      <c r="O87" s="18"/>
      <c r="P87" s="18"/>
      <c r="Q87" s="18"/>
    </row>
    <row r="88" spans="1:17" s="10" customFormat="1" ht="17.25" customHeight="1" x14ac:dyDescent="0.25">
      <c r="A88" s="29"/>
      <c r="B88" s="155" t="s">
        <v>255</v>
      </c>
      <c r="C88" s="441">
        <v>656</v>
      </c>
      <c r="D88" s="407">
        <v>1</v>
      </c>
      <c r="E88" s="407">
        <v>13</v>
      </c>
      <c r="F88" s="347" t="s">
        <v>396</v>
      </c>
      <c r="G88" s="348">
        <v>870</v>
      </c>
      <c r="H88" s="269">
        <v>0</v>
      </c>
      <c r="I88" s="269">
        <v>0</v>
      </c>
      <c r="J88" s="269">
        <f>'0'!AB141</f>
        <v>650000</v>
      </c>
      <c r="K88" s="269">
        <v>0</v>
      </c>
      <c r="L88" s="269">
        <f>'по нов.7'!X113</f>
        <v>1338000</v>
      </c>
      <c r="M88" s="269">
        <v>0</v>
      </c>
      <c r="N88" s="18"/>
      <c r="O88" s="18"/>
      <c r="P88" s="18"/>
      <c r="Q88" s="18"/>
    </row>
    <row r="89" spans="1:17" s="10" customFormat="1" ht="37.5" customHeight="1" x14ac:dyDescent="0.25">
      <c r="A89" s="29"/>
      <c r="B89" s="151" t="s">
        <v>424</v>
      </c>
      <c r="C89" s="441">
        <v>656</v>
      </c>
      <c r="D89" s="402">
        <v>1</v>
      </c>
      <c r="E89" s="402">
        <v>13</v>
      </c>
      <c r="F89" s="347" t="s">
        <v>109</v>
      </c>
      <c r="G89" s="348">
        <v>0</v>
      </c>
      <c r="H89" s="268">
        <f>H90+H104</f>
        <v>6971334.6900000004</v>
      </c>
      <c r="I89" s="269">
        <v>0</v>
      </c>
      <c r="J89" s="268">
        <f>J90</f>
        <v>6396767.9000000004</v>
      </c>
      <c r="K89" s="269">
        <v>0</v>
      </c>
      <c r="L89" s="268">
        <f>L90</f>
        <v>4420464</v>
      </c>
      <c r="M89" s="269">
        <v>0</v>
      </c>
    </row>
    <row r="90" spans="1:17" s="10" customFormat="1" ht="63.6" customHeight="1" x14ac:dyDescent="0.25">
      <c r="A90" s="29"/>
      <c r="B90" s="151" t="s">
        <v>425</v>
      </c>
      <c r="C90" s="441">
        <v>656</v>
      </c>
      <c r="D90" s="402">
        <v>1</v>
      </c>
      <c r="E90" s="402">
        <v>13</v>
      </c>
      <c r="F90" s="347" t="s">
        <v>110</v>
      </c>
      <c r="G90" s="348">
        <v>0</v>
      </c>
      <c r="H90" s="268">
        <f>H91+H95+H100</f>
        <v>6635334.6900000004</v>
      </c>
      <c r="I90" s="269">
        <v>0</v>
      </c>
      <c r="J90" s="268">
        <f>J91+J95+J100</f>
        <v>6396767.9000000004</v>
      </c>
      <c r="K90" s="269">
        <v>0</v>
      </c>
      <c r="L90" s="268">
        <f>L91+L95+L100</f>
        <v>4420464</v>
      </c>
      <c r="M90" s="269">
        <v>0</v>
      </c>
    </row>
    <row r="91" spans="1:17" s="10" customFormat="1" ht="54" customHeight="1" x14ac:dyDescent="0.25">
      <c r="A91" s="29"/>
      <c r="B91" s="151" t="s">
        <v>75</v>
      </c>
      <c r="C91" s="441">
        <v>656</v>
      </c>
      <c r="D91" s="402">
        <v>1</v>
      </c>
      <c r="E91" s="402">
        <v>13</v>
      </c>
      <c r="F91" s="347" t="s">
        <v>110</v>
      </c>
      <c r="G91" s="348">
        <v>100</v>
      </c>
      <c r="H91" s="268">
        <f>H92+H93+H94</f>
        <v>4353897</v>
      </c>
      <c r="I91" s="269">
        <v>0</v>
      </c>
      <c r="J91" s="268">
        <f>J92+J93+J94</f>
        <v>5358787.9000000004</v>
      </c>
      <c r="K91" s="269">
        <v>0</v>
      </c>
      <c r="L91" s="268">
        <f>L92+L93+L94</f>
        <v>3369184</v>
      </c>
      <c r="M91" s="269">
        <v>0</v>
      </c>
    </row>
    <row r="92" spans="1:17" s="10" customFormat="1" ht="16.5" customHeight="1" x14ac:dyDescent="0.25">
      <c r="A92" s="29"/>
      <c r="B92" s="239" t="s">
        <v>486</v>
      </c>
      <c r="C92" s="441">
        <v>656</v>
      </c>
      <c r="D92" s="402">
        <v>1</v>
      </c>
      <c r="E92" s="402">
        <v>13</v>
      </c>
      <c r="F92" s="347" t="s">
        <v>110</v>
      </c>
      <c r="G92" s="348">
        <v>111</v>
      </c>
      <c r="H92" s="268">
        <f>'по нов.7'!R117</f>
        <v>3342939</v>
      </c>
      <c r="I92" s="269">
        <v>0</v>
      </c>
      <c r="J92" s="268">
        <f>'по нов.7'!W117</f>
        <v>3961826</v>
      </c>
      <c r="K92" s="269">
        <v>0</v>
      </c>
      <c r="L92" s="268">
        <f>'по нов.7'!X117</f>
        <v>1972226</v>
      </c>
      <c r="M92" s="269">
        <v>0</v>
      </c>
    </row>
    <row r="93" spans="1:17" s="10" customFormat="1" ht="27.75" customHeight="1" x14ac:dyDescent="0.25">
      <c r="A93" s="29"/>
      <c r="B93" s="151" t="s">
        <v>487</v>
      </c>
      <c r="C93" s="441">
        <v>656</v>
      </c>
      <c r="D93" s="402">
        <v>1</v>
      </c>
      <c r="E93" s="402">
        <v>13</v>
      </c>
      <c r="F93" s="347" t="s">
        <v>110</v>
      </c>
      <c r="G93" s="348">
        <v>112</v>
      </c>
      <c r="H93" s="268">
        <f>'по нов.7'!R118</f>
        <v>100000</v>
      </c>
      <c r="I93" s="269">
        <v>0</v>
      </c>
      <c r="J93" s="268">
        <f>'по нов.7'!W118</f>
        <v>200000</v>
      </c>
      <c r="K93" s="269">
        <v>0</v>
      </c>
      <c r="L93" s="268">
        <f>'по нов.7'!X118</f>
        <v>200000</v>
      </c>
      <c r="M93" s="269">
        <v>0</v>
      </c>
    </row>
    <row r="94" spans="1:17" s="10" customFormat="1" ht="24" x14ac:dyDescent="0.25">
      <c r="A94" s="29"/>
      <c r="B94" s="239" t="s">
        <v>491</v>
      </c>
      <c r="C94" s="441">
        <v>656</v>
      </c>
      <c r="D94" s="402">
        <v>1</v>
      </c>
      <c r="E94" s="402">
        <v>13</v>
      </c>
      <c r="F94" s="347" t="s">
        <v>110</v>
      </c>
      <c r="G94" s="348">
        <v>119</v>
      </c>
      <c r="H94" s="268">
        <f>'по нов.7'!R119</f>
        <v>910958</v>
      </c>
      <c r="I94" s="269">
        <v>0</v>
      </c>
      <c r="J94" s="268">
        <f>'по нов.7'!W119</f>
        <v>1196961.8999999999</v>
      </c>
      <c r="K94" s="269">
        <v>0</v>
      </c>
      <c r="L94" s="268">
        <f>'по нов.7'!X119</f>
        <v>1196958</v>
      </c>
      <c r="M94" s="269">
        <v>0</v>
      </c>
    </row>
    <row r="95" spans="1:17" s="10" customFormat="1" ht="24" customHeight="1" x14ac:dyDescent="0.25">
      <c r="A95" s="29"/>
      <c r="B95" s="151" t="s">
        <v>128</v>
      </c>
      <c r="C95" s="441">
        <v>656</v>
      </c>
      <c r="D95" s="402">
        <v>1</v>
      </c>
      <c r="E95" s="402">
        <v>13</v>
      </c>
      <c r="F95" s="347" t="s">
        <v>110</v>
      </c>
      <c r="G95" s="348">
        <v>200</v>
      </c>
      <c r="H95" s="268">
        <f>H96+H99</f>
        <v>2264437.6900000004</v>
      </c>
      <c r="I95" s="269">
        <v>0</v>
      </c>
      <c r="J95" s="268">
        <f>J96+J99</f>
        <v>1037980</v>
      </c>
      <c r="K95" s="269">
        <v>0</v>
      </c>
      <c r="L95" s="268">
        <f>L96+L99</f>
        <v>1051280</v>
      </c>
      <c r="M95" s="269">
        <v>0</v>
      </c>
    </row>
    <row r="96" spans="1:17" s="10" customFormat="1" ht="24" customHeight="1" x14ac:dyDescent="0.25">
      <c r="A96" s="29"/>
      <c r="B96" s="151" t="s">
        <v>59</v>
      </c>
      <c r="C96" s="441">
        <v>656</v>
      </c>
      <c r="D96" s="402">
        <v>1</v>
      </c>
      <c r="E96" s="402">
        <v>13</v>
      </c>
      <c r="F96" s="347" t="s">
        <v>110</v>
      </c>
      <c r="G96" s="348">
        <v>242</v>
      </c>
      <c r="H96" s="268">
        <f>'по нов.7'!R121</f>
        <v>312659.14500000002</v>
      </c>
      <c r="I96" s="269">
        <v>0</v>
      </c>
      <c r="J96" s="268">
        <f>'по нов.7'!W121</f>
        <v>138000</v>
      </c>
      <c r="K96" s="269">
        <v>0</v>
      </c>
      <c r="L96" s="268">
        <f>'по нов.7'!X121</f>
        <v>138000</v>
      </c>
      <c r="M96" s="269">
        <v>0</v>
      </c>
    </row>
    <row r="97" spans="1:13" s="10" customFormat="1" ht="18" hidden="1" customHeight="1" x14ac:dyDescent="0.25">
      <c r="A97" s="29"/>
      <c r="B97" s="151"/>
      <c r="C97" s="441"/>
      <c r="D97" s="402"/>
      <c r="E97" s="402"/>
      <c r="F97" s="347" t="s">
        <v>71</v>
      </c>
      <c r="G97" s="348"/>
      <c r="H97" s="268"/>
      <c r="I97" s="269"/>
      <c r="J97" s="268"/>
      <c r="K97" s="269"/>
      <c r="L97" s="268"/>
      <c r="M97" s="269"/>
    </row>
    <row r="98" spans="1:13" s="10" customFormat="1" ht="18" hidden="1" customHeight="1" x14ac:dyDescent="0.25">
      <c r="A98" s="29"/>
      <c r="B98" s="156"/>
      <c r="C98" s="441"/>
      <c r="D98" s="402"/>
      <c r="E98" s="402"/>
      <c r="F98" s="347" t="s">
        <v>71</v>
      </c>
      <c r="G98" s="348"/>
      <c r="H98" s="268"/>
      <c r="I98" s="269"/>
      <c r="J98" s="268"/>
      <c r="K98" s="269"/>
      <c r="L98" s="268"/>
      <c r="M98" s="269"/>
    </row>
    <row r="99" spans="1:13" s="10" customFormat="1" ht="24" customHeight="1" x14ac:dyDescent="0.25">
      <c r="A99" s="29"/>
      <c r="B99" s="229" t="s">
        <v>506</v>
      </c>
      <c r="C99" s="444">
        <v>656</v>
      </c>
      <c r="D99" s="407">
        <v>1</v>
      </c>
      <c r="E99" s="407">
        <v>13</v>
      </c>
      <c r="F99" s="347" t="s">
        <v>110</v>
      </c>
      <c r="G99" s="377">
        <v>244</v>
      </c>
      <c r="H99" s="273">
        <f>'по нов.7'!R124</f>
        <v>1951778.5450000002</v>
      </c>
      <c r="I99" s="274">
        <v>0</v>
      </c>
      <c r="J99" s="273">
        <f>'по нов.7'!W124</f>
        <v>899980</v>
      </c>
      <c r="K99" s="274">
        <v>0</v>
      </c>
      <c r="L99" s="273">
        <f>'по нов.7'!X124</f>
        <v>913280</v>
      </c>
      <c r="M99" s="274">
        <v>0</v>
      </c>
    </row>
    <row r="100" spans="1:13" s="10" customFormat="1" ht="20.25" customHeight="1" x14ac:dyDescent="0.25">
      <c r="A100" s="29"/>
      <c r="B100" s="239" t="s">
        <v>78</v>
      </c>
      <c r="C100" s="444">
        <v>656</v>
      </c>
      <c r="D100" s="402">
        <v>1</v>
      </c>
      <c r="E100" s="407">
        <v>13</v>
      </c>
      <c r="F100" s="347" t="s">
        <v>110</v>
      </c>
      <c r="G100" s="410">
        <v>800</v>
      </c>
      <c r="H100" s="275">
        <f>H101+H103+H102</f>
        <v>17000</v>
      </c>
      <c r="I100" s="276">
        <v>0</v>
      </c>
      <c r="J100" s="275">
        <f>J101+J103</f>
        <v>0</v>
      </c>
      <c r="K100" s="276">
        <v>0</v>
      </c>
      <c r="L100" s="275">
        <f>L101+L103</f>
        <v>0</v>
      </c>
      <c r="M100" s="276">
        <v>0</v>
      </c>
    </row>
    <row r="101" spans="1:13" s="10" customFormat="1" ht="15" customHeight="1" x14ac:dyDescent="0.25">
      <c r="A101" s="29"/>
      <c r="B101" s="151" t="s">
        <v>488</v>
      </c>
      <c r="C101" s="441">
        <v>656</v>
      </c>
      <c r="D101" s="402">
        <v>1</v>
      </c>
      <c r="E101" s="407">
        <v>13</v>
      </c>
      <c r="F101" s="347" t="s">
        <v>110</v>
      </c>
      <c r="G101" s="348">
        <v>851</v>
      </c>
      <c r="H101" s="268">
        <f>'по нов.7'!R126</f>
        <v>1000</v>
      </c>
      <c r="I101" s="269">
        <v>0</v>
      </c>
      <c r="J101" s="268">
        <v>0</v>
      </c>
      <c r="K101" s="269">
        <v>0</v>
      </c>
      <c r="L101" s="268">
        <v>0</v>
      </c>
      <c r="M101" s="269">
        <v>0</v>
      </c>
    </row>
    <row r="102" spans="1:13" s="10" customFormat="1" ht="15" customHeight="1" x14ac:dyDescent="0.25">
      <c r="A102" s="29"/>
      <c r="B102" s="151" t="s">
        <v>590</v>
      </c>
      <c r="C102" s="441">
        <v>656</v>
      </c>
      <c r="D102" s="402">
        <v>1</v>
      </c>
      <c r="E102" s="407">
        <v>13</v>
      </c>
      <c r="F102" s="347" t="s">
        <v>110</v>
      </c>
      <c r="G102" s="348">
        <v>852</v>
      </c>
      <c r="H102" s="268">
        <f>'по нов.7'!R127</f>
        <v>8000</v>
      </c>
      <c r="I102" s="269">
        <v>0</v>
      </c>
      <c r="J102" s="268">
        <v>0</v>
      </c>
      <c r="K102" s="269">
        <v>0</v>
      </c>
      <c r="L102" s="268">
        <v>0</v>
      </c>
      <c r="M102" s="269">
        <v>0</v>
      </c>
    </row>
    <row r="103" spans="1:13" s="10" customFormat="1" ht="15" customHeight="1" x14ac:dyDescent="0.25">
      <c r="A103" s="29"/>
      <c r="B103" s="151" t="s">
        <v>348</v>
      </c>
      <c r="C103" s="441">
        <v>656</v>
      </c>
      <c r="D103" s="402">
        <v>1</v>
      </c>
      <c r="E103" s="407">
        <v>13</v>
      </c>
      <c r="F103" s="347" t="s">
        <v>110</v>
      </c>
      <c r="G103" s="348">
        <v>853</v>
      </c>
      <c r="H103" s="268">
        <f>'по нов.7'!R128</f>
        <v>8000</v>
      </c>
      <c r="I103" s="269">
        <v>0</v>
      </c>
      <c r="J103" s="268">
        <v>0</v>
      </c>
      <c r="K103" s="269">
        <v>0</v>
      </c>
      <c r="L103" s="268">
        <v>0</v>
      </c>
      <c r="M103" s="269">
        <v>0</v>
      </c>
    </row>
    <row r="104" spans="1:13" s="10" customFormat="1" ht="54" customHeight="1" x14ac:dyDescent="0.25">
      <c r="A104" s="29"/>
      <c r="B104" s="151" t="s">
        <v>75</v>
      </c>
      <c r="C104" s="441">
        <v>656</v>
      </c>
      <c r="D104" s="402">
        <v>1</v>
      </c>
      <c r="E104" s="402">
        <v>13</v>
      </c>
      <c r="F104" s="347" t="s">
        <v>702</v>
      </c>
      <c r="G104" s="348">
        <v>100</v>
      </c>
      <c r="H104" s="268">
        <f>H105+H106</f>
        <v>336000</v>
      </c>
      <c r="I104" s="269">
        <v>0</v>
      </c>
      <c r="J104" s="268">
        <f>J105+J106</f>
        <v>0</v>
      </c>
      <c r="K104" s="269">
        <v>0</v>
      </c>
      <c r="L104" s="268">
        <f>L105+L106</f>
        <v>0</v>
      </c>
      <c r="M104" s="269">
        <v>0</v>
      </c>
    </row>
    <row r="105" spans="1:13" s="10" customFormat="1" ht="16.5" customHeight="1" x14ac:dyDescent="0.25">
      <c r="A105" s="29"/>
      <c r="B105" s="239" t="s">
        <v>486</v>
      </c>
      <c r="C105" s="441">
        <v>656</v>
      </c>
      <c r="D105" s="402">
        <v>1</v>
      </c>
      <c r="E105" s="402">
        <v>13</v>
      </c>
      <c r="F105" s="347" t="s">
        <v>702</v>
      </c>
      <c r="G105" s="348">
        <v>111</v>
      </c>
      <c r="H105" s="268">
        <f>'по нов.7'!R130</f>
        <v>244944</v>
      </c>
      <c r="I105" s="269">
        <v>0</v>
      </c>
      <c r="J105" s="268">
        <f>'по нов.7'!W130</f>
        <v>0</v>
      </c>
      <c r="K105" s="269">
        <v>0</v>
      </c>
      <c r="L105" s="268">
        <f>'по нов.7'!X130</f>
        <v>0</v>
      </c>
      <c r="M105" s="269">
        <v>0</v>
      </c>
    </row>
    <row r="106" spans="1:13" s="10" customFormat="1" ht="24.6" thickBot="1" x14ac:dyDescent="0.3">
      <c r="A106" s="29"/>
      <c r="B106" s="239" t="s">
        <v>491</v>
      </c>
      <c r="C106" s="441">
        <v>656</v>
      </c>
      <c r="D106" s="402">
        <v>1</v>
      </c>
      <c r="E106" s="402">
        <v>13</v>
      </c>
      <c r="F106" s="347" t="s">
        <v>702</v>
      </c>
      <c r="G106" s="348">
        <v>119</v>
      </c>
      <c r="H106" s="268">
        <f>'по нов.7'!R131</f>
        <v>91056</v>
      </c>
      <c r="I106" s="269">
        <v>0</v>
      </c>
      <c r="J106" s="268">
        <v>0</v>
      </c>
      <c r="K106" s="269">
        <v>0</v>
      </c>
      <c r="L106" s="268">
        <v>0</v>
      </c>
      <c r="M106" s="269">
        <v>0</v>
      </c>
    </row>
    <row r="107" spans="1:13" s="10" customFormat="1" ht="16.5" customHeight="1" thickBot="1" x14ac:dyDescent="0.3">
      <c r="A107" s="29"/>
      <c r="B107" s="149" t="s">
        <v>26</v>
      </c>
      <c r="C107" s="445">
        <v>656</v>
      </c>
      <c r="D107" s="411">
        <v>2</v>
      </c>
      <c r="E107" s="412">
        <v>0</v>
      </c>
      <c r="F107" s="399" t="s">
        <v>122</v>
      </c>
      <c r="G107" s="373">
        <v>0</v>
      </c>
      <c r="H107" s="277">
        <f t="shared" ref="H107:M108" si="4">H108</f>
        <v>210100</v>
      </c>
      <c r="I107" s="265">
        <f t="shared" si="4"/>
        <v>210100</v>
      </c>
      <c r="J107" s="277">
        <f t="shared" si="4"/>
        <v>214000</v>
      </c>
      <c r="K107" s="265">
        <f t="shared" si="4"/>
        <v>214000</v>
      </c>
      <c r="L107" s="277">
        <f t="shared" si="4"/>
        <v>227300</v>
      </c>
      <c r="M107" s="265">
        <f t="shared" si="4"/>
        <v>227300</v>
      </c>
    </row>
    <row r="108" spans="1:13" s="36" customFormat="1" ht="13.5" customHeight="1" thickBot="1" x14ac:dyDescent="0.3">
      <c r="A108" s="34"/>
      <c r="B108" s="157" t="s">
        <v>27</v>
      </c>
      <c r="C108" s="440">
        <v>656</v>
      </c>
      <c r="D108" s="400">
        <v>2</v>
      </c>
      <c r="E108" s="400">
        <v>3</v>
      </c>
      <c r="F108" s="399" t="s">
        <v>122</v>
      </c>
      <c r="G108" s="401">
        <v>0</v>
      </c>
      <c r="H108" s="266">
        <f t="shared" si="4"/>
        <v>210100</v>
      </c>
      <c r="I108" s="267">
        <f t="shared" si="4"/>
        <v>210100</v>
      </c>
      <c r="J108" s="266">
        <f t="shared" si="4"/>
        <v>214000</v>
      </c>
      <c r="K108" s="267">
        <f t="shared" si="4"/>
        <v>214000</v>
      </c>
      <c r="L108" s="266">
        <f t="shared" si="4"/>
        <v>227300</v>
      </c>
      <c r="M108" s="267">
        <f t="shared" si="4"/>
        <v>227300</v>
      </c>
    </row>
    <row r="109" spans="1:13" s="10" customFormat="1" ht="38.25" customHeight="1" x14ac:dyDescent="0.25">
      <c r="A109" s="29"/>
      <c r="B109" s="151" t="s">
        <v>426</v>
      </c>
      <c r="C109" s="441">
        <v>656</v>
      </c>
      <c r="D109" s="402">
        <v>2</v>
      </c>
      <c r="E109" s="402">
        <v>3</v>
      </c>
      <c r="F109" s="347" t="s">
        <v>102</v>
      </c>
      <c r="G109" s="348">
        <v>0</v>
      </c>
      <c r="H109" s="268">
        <f>H110</f>
        <v>210100</v>
      </c>
      <c r="I109" s="269">
        <f>H109</f>
        <v>210100</v>
      </c>
      <c r="J109" s="268">
        <f>J110</f>
        <v>214000</v>
      </c>
      <c r="K109" s="269">
        <f>J109</f>
        <v>214000</v>
      </c>
      <c r="L109" s="268">
        <f>L110</f>
        <v>227300</v>
      </c>
      <c r="M109" s="269">
        <f>L109</f>
        <v>227300</v>
      </c>
    </row>
    <row r="110" spans="1:13" s="10" customFormat="1" ht="72.599999999999994" customHeight="1" x14ac:dyDescent="0.25">
      <c r="A110" s="29"/>
      <c r="B110" s="154" t="s">
        <v>519</v>
      </c>
      <c r="C110" s="441">
        <v>656</v>
      </c>
      <c r="D110" s="402">
        <v>2</v>
      </c>
      <c r="E110" s="402">
        <v>3</v>
      </c>
      <c r="F110" s="347" t="s">
        <v>105</v>
      </c>
      <c r="G110" s="348">
        <v>0</v>
      </c>
      <c r="H110" s="268">
        <f>H111+H113+H116</f>
        <v>210100</v>
      </c>
      <c r="I110" s="269">
        <f>H110</f>
        <v>210100</v>
      </c>
      <c r="J110" s="268">
        <f>J111+J113+J116</f>
        <v>214000</v>
      </c>
      <c r="K110" s="269">
        <f>J110</f>
        <v>214000</v>
      </c>
      <c r="L110" s="268">
        <f>L111+L113+L116</f>
        <v>227300</v>
      </c>
      <c r="M110" s="269">
        <f>L110</f>
        <v>227300</v>
      </c>
    </row>
    <row r="111" spans="1:13" s="10" customFormat="1" ht="51" customHeight="1" x14ac:dyDescent="0.25">
      <c r="A111" s="29"/>
      <c r="B111" s="151" t="s">
        <v>75</v>
      </c>
      <c r="C111" s="441">
        <v>656</v>
      </c>
      <c r="D111" s="402">
        <v>2</v>
      </c>
      <c r="E111" s="402">
        <v>3</v>
      </c>
      <c r="F111" s="347" t="s">
        <v>105</v>
      </c>
      <c r="G111" s="348">
        <v>100</v>
      </c>
      <c r="H111" s="268">
        <f>H112+H115</f>
        <v>167200</v>
      </c>
      <c r="I111" s="269">
        <f>H111</f>
        <v>167200</v>
      </c>
      <c r="J111" s="268">
        <f>J112+J115</f>
        <v>167200</v>
      </c>
      <c r="K111" s="269">
        <f>J111</f>
        <v>167200</v>
      </c>
      <c r="L111" s="268">
        <f>L112+L115</f>
        <v>167200</v>
      </c>
      <c r="M111" s="269">
        <f>L111</f>
        <v>167200</v>
      </c>
    </row>
    <row r="112" spans="1:13" s="10" customFormat="1" ht="17.25" customHeight="1" x14ac:dyDescent="0.25">
      <c r="A112" s="29"/>
      <c r="B112" s="239" t="s">
        <v>138</v>
      </c>
      <c r="C112" s="441">
        <v>656</v>
      </c>
      <c r="D112" s="402">
        <v>2</v>
      </c>
      <c r="E112" s="402">
        <v>3</v>
      </c>
      <c r="F112" s="347" t="s">
        <v>105</v>
      </c>
      <c r="G112" s="348">
        <v>121</v>
      </c>
      <c r="H112" s="268">
        <f>'по нов.7'!R94</f>
        <v>128500</v>
      </c>
      <c r="I112" s="269">
        <f>H112</f>
        <v>128500</v>
      </c>
      <c r="J112" s="268">
        <f>'по нов.7'!W94</f>
        <v>128500</v>
      </c>
      <c r="K112" s="269">
        <f>J112</f>
        <v>128500</v>
      </c>
      <c r="L112" s="268">
        <f>'по нов.7'!X94</f>
        <v>128500</v>
      </c>
      <c r="M112" s="269">
        <f>L112</f>
        <v>128500</v>
      </c>
    </row>
    <row r="113" spans="1:13" s="10" customFormat="1" ht="0.75" hidden="1" customHeight="1" x14ac:dyDescent="0.25">
      <c r="A113" s="29"/>
      <c r="B113" s="151" t="s">
        <v>77</v>
      </c>
      <c r="C113" s="441">
        <v>656</v>
      </c>
      <c r="D113" s="407">
        <v>2</v>
      </c>
      <c r="E113" s="407">
        <v>3</v>
      </c>
      <c r="F113" s="347" t="s">
        <v>105</v>
      </c>
      <c r="G113" s="348">
        <v>200</v>
      </c>
      <c r="H113" s="268">
        <f t="shared" ref="H113:M113" si="5">H114</f>
        <v>0</v>
      </c>
      <c r="I113" s="269">
        <f t="shared" si="5"/>
        <v>2400</v>
      </c>
      <c r="J113" s="268">
        <f t="shared" si="5"/>
        <v>0</v>
      </c>
      <c r="K113" s="269">
        <f t="shared" si="5"/>
        <v>2400</v>
      </c>
      <c r="L113" s="268">
        <f t="shared" si="5"/>
        <v>0</v>
      </c>
      <c r="M113" s="269">
        <f t="shared" si="5"/>
        <v>2400</v>
      </c>
    </row>
    <row r="114" spans="1:13" s="10" customFormat="1" ht="25.5" hidden="1" customHeight="1" x14ac:dyDescent="0.25">
      <c r="A114" s="29"/>
      <c r="B114" s="155" t="s">
        <v>60</v>
      </c>
      <c r="C114" s="444">
        <v>656</v>
      </c>
      <c r="D114" s="407">
        <v>2</v>
      </c>
      <c r="E114" s="407">
        <v>3</v>
      </c>
      <c r="F114" s="347" t="s">
        <v>105</v>
      </c>
      <c r="G114" s="377">
        <v>244</v>
      </c>
      <c r="H114" s="273">
        <v>0</v>
      </c>
      <c r="I114" s="274">
        <v>2400</v>
      </c>
      <c r="J114" s="273">
        <v>0</v>
      </c>
      <c r="K114" s="274">
        <v>2400</v>
      </c>
      <c r="L114" s="273">
        <v>0</v>
      </c>
      <c r="M114" s="274">
        <v>2400</v>
      </c>
    </row>
    <row r="115" spans="1:13" s="10" customFormat="1" ht="41.25" customHeight="1" x14ac:dyDescent="0.25">
      <c r="A115" s="29"/>
      <c r="B115" s="239" t="s">
        <v>134</v>
      </c>
      <c r="C115" s="441">
        <v>656</v>
      </c>
      <c r="D115" s="402">
        <v>2</v>
      </c>
      <c r="E115" s="402">
        <v>3</v>
      </c>
      <c r="F115" s="347" t="s">
        <v>105</v>
      </c>
      <c r="G115" s="348">
        <v>129</v>
      </c>
      <c r="H115" s="268">
        <f>'по нов.7'!R95</f>
        <v>38700</v>
      </c>
      <c r="I115" s="269">
        <f>H115</f>
        <v>38700</v>
      </c>
      <c r="J115" s="268">
        <f>'по нов.7'!W95</f>
        <v>38700</v>
      </c>
      <c r="K115" s="269">
        <f>J115</f>
        <v>38700</v>
      </c>
      <c r="L115" s="268">
        <f>'по нов.7'!X95</f>
        <v>38700</v>
      </c>
      <c r="M115" s="269">
        <f>L115</f>
        <v>38700</v>
      </c>
    </row>
    <row r="116" spans="1:13" s="10" customFormat="1" ht="24.6" customHeight="1" x14ac:dyDescent="0.25">
      <c r="A116" s="29"/>
      <c r="B116" s="151" t="s">
        <v>128</v>
      </c>
      <c r="C116" s="444">
        <v>656</v>
      </c>
      <c r="D116" s="402">
        <v>2</v>
      </c>
      <c r="E116" s="402">
        <v>3</v>
      </c>
      <c r="F116" s="347" t="s">
        <v>105</v>
      </c>
      <c r="G116" s="354">
        <v>200</v>
      </c>
      <c r="H116" s="268">
        <f t="shared" ref="H116:M116" si="6">H117</f>
        <v>42900</v>
      </c>
      <c r="I116" s="269">
        <f t="shared" si="6"/>
        <v>42900</v>
      </c>
      <c r="J116" s="268">
        <f t="shared" si="6"/>
        <v>46800</v>
      </c>
      <c r="K116" s="269">
        <f t="shared" si="6"/>
        <v>46800</v>
      </c>
      <c r="L116" s="268">
        <f t="shared" si="6"/>
        <v>60100</v>
      </c>
      <c r="M116" s="269">
        <f t="shared" si="6"/>
        <v>60100</v>
      </c>
    </row>
    <row r="117" spans="1:13" s="10" customFormat="1" ht="24.6" customHeight="1" thickBot="1" x14ac:dyDescent="0.3">
      <c r="A117" s="29"/>
      <c r="B117" s="229" t="s">
        <v>506</v>
      </c>
      <c r="C117" s="444">
        <v>656</v>
      </c>
      <c r="D117" s="402">
        <v>2</v>
      </c>
      <c r="E117" s="402">
        <v>3</v>
      </c>
      <c r="F117" s="347" t="s">
        <v>105</v>
      </c>
      <c r="G117" s="354">
        <v>244</v>
      </c>
      <c r="H117" s="268">
        <f>'по нов.7'!R96</f>
        <v>42900</v>
      </c>
      <c r="I117" s="269">
        <f>H117</f>
        <v>42900</v>
      </c>
      <c r="J117" s="268">
        <f>'по нов.7'!W96</f>
        <v>46800</v>
      </c>
      <c r="K117" s="269">
        <f>J117</f>
        <v>46800</v>
      </c>
      <c r="L117" s="268">
        <f>'по нов.7'!X96</f>
        <v>60100</v>
      </c>
      <c r="M117" s="269">
        <f>L117</f>
        <v>60100</v>
      </c>
    </row>
    <row r="118" spans="1:13" s="10" customFormat="1" ht="26.25" customHeight="1" thickBot="1" x14ac:dyDescent="0.3">
      <c r="A118" s="29"/>
      <c r="B118" s="158" t="s">
        <v>17</v>
      </c>
      <c r="C118" s="439">
        <v>656</v>
      </c>
      <c r="D118" s="398">
        <v>3</v>
      </c>
      <c r="E118" s="398">
        <v>0</v>
      </c>
      <c r="F118" s="399" t="s">
        <v>122</v>
      </c>
      <c r="G118" s="373">
        <v>0</v>
      </c>
      <c r="H118" s="264">
        <f>H119+H127+H137+H132</f>
        <v>1189290</v>
      </c>
      <c r="I118" s="265">
        <f>I119+I127</f>
        <v>12040</v>
      </c>
      <c r="J118" s="264">
        <f>J119+J127+J137</f>
        <v>29610</v>
      </c>
      <c r="K118" s="265">
        <f>K119+K127</f>
        <v>12040</v>
      </c>
      <c r="L118" s="264">
        <f>L119+L127+L137</f>
        <v>29640</v>
      </c>
      <c r="M118" s="265">
        <f>M119+M127</f>
        <v>12040</v>
      </c>
    </row>
    <row r="119" spans="1:13" s="36" customFormat="1" ht="13.8" thickBot="1" x14ac:dyDescent="0.3">
      <c r="A119" s="34"/>
      <c r="B119" s="157" t="s">
        <v>55</v>
      </c>
      <c r="C119" s="440">
        <v>656</v>
      </c>
      <c r="D119" s="400">
        <v>3</v>
      </c>
      <c r="E119" s="400">
        <v>4</v>
      </c>
      <c r="F119" s="399" t="s">
        <v>122</v>
      </c>
      <c r="G119" s="401">
        <v>0</v>
      </c>
      <c r="H119" s="266">
        <f>H120</f>
        <v>12040</v>
      </c>
      <c r="I119" s="266">
        <f t="shared" ref="I119:M119" si="7">I120</f>
        <v>12040</v>
      </c>
      <c r="J119" s="266">
        <f t="shared" si="7"/>
        <v>12040</v>
      </c>
      <c r="K119" s="266">
        <f t="shared" si="7"/>
        <v>12040</v>
      </c>
      <c r="L119" s="266">
        <f t="shared" si="7"/>
        <v>12040</v>
      </c>
      <c r="M119" s="266">
        <f t="shared" si="7"/>
        <v>12040</v>
      </c>
    </row>
    <row r="120" spans="1:13" s="10" customFormat="1" ht="39" customHeight="1" x14ac:dyDescent="0.25">
      <c r="A120" s="29"/>
      <c r="B120" s="151" t="s">
        <v>420</v>
      </c>
      <c r="C120" s="441">
        <v>656</v>
      </c>
      <c r="D120" s="402">
        <v>3</v>
      </c>
      <c r="E120" s="402">
        <v>4</v>
      </c>
      <c r="F120" s="347" t="s">
        <v>102</v>
      </c>
      <c r="G120" s="348">
        <v>0</v>
      </c>
      <c r="H120" s="268">
        <f>H121+H124</f>
        <v>12040</v>
      </c>
      <c r="I120" s="268">
        <f t="shared" ref="I120:M120" si="8">I121+I124</f>
        <v>12040</v>
      </c>
      <c r="J120" s="268">
        <f t="shared" si="8"/>
        <v>12040</v>
      </c>
      <c r="K120" s="268">
        <f t="shared" si="8"/>
        <v>12040</v>
      </c>
      <c r="L120" s="268">
        <f t="shared" si="8"/>
        <v>12040</v>
      </c>
      <c r="M120" s="268">
        <f t="shared" si="8"/>
        <v>12040</v>
      </c>
    </row>
    <row r="121" spans="1:13" s="10" customFormat="1" ht="111" customHeight="1" x14ac:dyDescent="0.25">
      <c r="A121" s="29"/>
      <c r="B121" s="154" t="s">
        <v>523</v>
      </c>
      <c r="C121" s="441">
        <v>656</v>
      </c>
      <c r="D121" s="402">
        <v>3</v>
      </c>
      <c r="E121" s="402">
        <v>4</v>
      </c>
      <c r="F121" s="347" t="s">
        <v>106</v>
      </c>
      <c r="G121" s="348">
        <v>0</v>
      </c>
      <c r="H121" s="273">
        <f t="shared" ref="H121:M122" si="9">H122</f>
        <v>1470</v>
      </c>
      <c r="I121" s="274">
        <f t="shared" si="9"/>
        <v>1470</v>
      </c>
      <c r="J121" s="273">
        <f t="shared" si="9"/>
        <v>1470</v>
      </c>
      <c r="K121" s="274">
        <f t="shared" si="9"/>
        <v>1470</v>
      </c>
      <c r="L121" s="273">
        <f t="shared" si="9"/>
        <v>1470</v>
      </c>
      <c r="M121" s="274">
        <f t="shared" si="9"/>
        <v>1470</v>
      </c>
    </row>
    <row r="122" spans="1:13" s="10" customFormat="1" ht="23.25" customHeight="1" x14ac:dyDescent="0.25">
      <c r="A122" s="29"/>
      <c r="B122" s="151" t="s">
        <v>128</v>
      </c>
      <c r="C122" s="441">
        <v>656</v>
      </c>
      <c r="D122" s="402">
        <v>3</v>
      </c>
      <c r="E122" s="402">
        <v>4</v>
      </c>
      <c r="F122" s="347" t="s">
        <v>106</v>
      </c>
      <c r="G122" s="348">
        <v>200</v>
      </c>
      <c r="H122" s="273">
        <f>H123</f>
        <v>1470</v>
      </c>
      <c r="I122" s="273">
        <f t="shared" si="9"/>
        <v>1470</v>
      </c>
      <c r="J122" s="273">
        <f t="shared" si="9"/>
        <v>1470</v>
      </c>
      <c r="K122" s="273">
        <f t="shared" si="9"/>
        <v>1470</v>
      </c>
      <c r="L122" s="273">
        <f t="shared" si="9"/>
        <v>1470</v>
      </c>
      <c r="M122" s="273">
        <f t="shared" si="9"/>
        <v>1470</v>
      </c>
    </row>
    <row r="123" spans="1:13" s="10" customFormat="1" ht="27" customHeight="1" x14ac:dyDescent="0.25">
      <c r="A123" s="29"/>
      <c r="B123" s="229" t="s">
        <v>506</v>
      </c>
      <c r="C123" s="444">
        <v>656</v>
      </c>
      <c r="D123" s="407">
        <v>3</v>
      </c>
      <c r="E123" s="407">
        <v>4</v>
      </c>
      <c r="F123" s="347" t="s">
        <v>106</v>
      </c>
      <c r="G123" s="377">
        <v>244</v>
      </c>
      <c r="H123" s="273">
        <f>'0'!V163</f>
        <v>1470</v>
      </c>
      <c r="I123" s="274">
        <f>H123</f>
        <v>1470</v>
      </c>
      <c r="J123" s="273">
        <f>'0'!AB163</f>
        <v>1470</v>
      </c>
      <c r="K123" s="274">
        <f>J123</f>
        <v>1470</v>
      </c>
      <c r="L123" s="273">
        <f>'0'!AC163</f>
        <v>1470</v>
      </c>
      <c r="M123" s="274">
        <f>L123</f>
        <v>1470</v>
      </c>
    </row>
    <row r="124" spans="1:13" s="10" customFormat="1" ht="111" customHeight="1" x14ac:dyDescent="0.25">
      <c r="A124" s="29"/>
      <c r="B124" s="154" t="s">
        <v>444</v>
      </c>
      <c r="C124" s="441">
        <v>656</v>
      </c>
      <c r="D124" s="402">
        <v>3</v>
      </c>
      <c r="E124" s="402">
        <v>4</v>
      </c>
      <c r="F124" s="347" t="s">
        <v>469</v>
      </c>
      <c r="G124" s="348">
        <v>0</v>
      </c>
      <c r="H124" s="273">
        <f t="shared" ref="H124:M124" si="10">H125</f>
        <v>10570</v>
      </c>
      <c r="I124" s="274">
        <f t="shared" si="10"/>
        <v>10570</v>
      </c>
      <c r="J124" s="273">
        <f t="shared" si="10"/>
        <v>10570</v>
      </c>
      <c r="K124" s="274">
        <f t="shared" si="10"/>
        <v>10570</v>
      </c>
      <c r="L124" s="273">
        <f t="shared" si="10"/>
        <v>10570</v>
      </c>
      <c r="M124" s="274">
        <f t="shared" si="10"/>
        <v>10570</v>
      </c>
    </row>
    <row r="125" spans="1:13" s="10" customFormat="1" ht="23.25" customHeight="1" x14ac:dyDescent="0.25">
      <c r="A125" s="29"/>
      <c r="B125" s="151" t="s">
        <v>128</v>
      </c>
      <c r="C125" s="441">
        <v>656</v>
      </c>
      <c r="D125" s="402">
        <v>3</v>
      </c>
      <c r="E125" s="402">
        <v>4</v>
      </c>
      <c r="F125" s="347" t="s">
        <v>469</v>
      </c>
      <c r="G125" s="348">
        <v>200</v>
      </c>
      <c r="H125" s="273">
        <f>H126</f>
        <v>10570</v>
      </c>
      <c r="I125" s="273">
        <f t="shared" ref="I125:M125" si="11">I126+I129</f>
        <v>10570</v>
      </c>
      <c r="J125" s="273">
        <f t="shared" si="11"/>
        <v>10570</v>
      </c>
      <c r="K125" s="273">
        <f t="shared" si="11"/>
        <v>10570</v>
      </c>
      <c r="L125" s="273">
        <f t="shared" si="11"/>
        <v>10570</v>
      </c>
      <c r="M125" s="273">
        <f t="shared" si="11"/>
        <v>10570</v>
      </c>
    </row>
    <row r="126" spans="1:13" s="10" customFormat="1" ht="27" customHeight="1" thickBot="1" x14ac:dyDescent="0.3">
      <c r="A126" s="29"/>
      <c r="B126" s="229" t="s">
        <v>506</v>
      </c>
      <c r="C126" s="444">
        <v>656</v>
      </c>
      <c r="D126" s="407">
        <v>3</v>
      </c>
      <c r="E126" s="407">
        <v>4</v>
      </c>
      <c r="F126" s="347" t="s">
        <v>469</v>
      </c>
      <c r="G126" s="377">
        <v>244</v>
      </c>
      <c r="H126" s="273">
        <f>'0'!V164</f>
        <v>10570</v>
      </c>
      <c r="I126" s="274">
        <f>H126</f>
        <v>10570</v>
      </c>
      <c r="J126" s="273">
        <f>'0'!AB164</f>
        <v>10570</v>
      </c>
      <c r="K126" s="274">
        <f>J126</f>
        <v>10570</v>
      </c>
      <c r="L126" s="273">
        <f>'0'!AC164</f>
        <v>10570</v>
      </c>
      <c r="M126" s="274">
        <f>L126</f>
        <v>10570</v>
      </c>
    </row>
    <row r="127" spans="1:13" s="36" customFormat="1" ht="36.6" customHeight="1" thickBot="1" x14ac:dyDescent="0.3">
      <c r="A127" s="34"/>
      <c r="B127" s="159" t="s">
        <v>86</v>
      </c>
      <c r="C127" s="446" t="s">
        <v>356</v>
      </c>
      <c r="D127" s="413">
        <v>3</v>
      </c>
      <c r="E127" s="413">
        <v>9</v>
      </c>
      <c r="F127" s="399" t="s">
        <v>122</v>
      </c>
      <c r="G127" s="414">
        <v>0</v>
      </c>
      <c r="H127" s="271">
        <f>H128+H133</f>
        <v>1159680</v>
      </c>
      <c r="I127" s="272">
        <v>0</v>
      </c>
      <c r="J127" s="271">
        <f>J128</f>
        <v>0</v>
      </c>
      <c r="K127" s="272">
        <v>0</v>
      </c>
      <c r="L127" s="271">
        <f>L128</f>
        <v>0</v>
      </c>
      <c r="M127" s="272">
        <v>0</v>
      </c>
    </row>
    <row r="128" spans="1:13" s="10" customFormat="1" ht="49.5" customHeight="1" x14ac:dyDescent="0.25">
      <c r="A128" s="29"/>
      <c r="B128" s="160" t="s">
        <v>427</v>
      </c>
      <c r="C128" s="444">
        <v>656</v>
      </c>
      <c r="D128" s="415">
        <v>3</v>
      </c>
      <c r="E128" s="415">
        <v>9</v>
      </c>
      <c r="F128" s="378" t="s">
        <v>124</v>
      </c>
      <c r="G128" s="361">
        <v>0</v>
      </c>
      <c r="H128" s="278">
        <f>H131</f>
        <v>709680</v>
      </c>
      <c r="I128" s="279">
        <v>0</v>
      </c>
      <c r="J128" s="278">
        <f>J131</f>
        <v>0</v>
      </c>
      <c r="K128" s="279">
        <v>0</v>
      </c>
      <c r="L128" s="278">
        <f>L131</f>
        <v>0</v>
      </c>
      <c r="M128" s="279">
        <v>0</v>
      </c>
    </row>
    <row r="129" spans="1:13" s="10" customFormat="1" ht="62.25" customHeight="1" x14ac:dyDescent="0.25">
      <c r="A129" s="29"/>
      <c r="B129" s="151" t="s">
        <v>509</v>
      </c>
      <c r="C129" s="444">
        <v>656</v>
      </c>
      <c r="D129" s="416">
        <v>3</v>
      </c>
      <c r="E129" s="416">
        <v>9</v>
      </c>
      <c r="F129" s="353" t="s">
        <v>116</v>
      </c>
      <c r="G129" s="354">
        <v>0</v>
      </c>
      <c r="H129" s="268">
        <f>H130</f>
        <v>709680</v>
      </c>
      <c r="I129" s="269">
        <v>0</v>
      </c>
      <c r="J129" s="268">
        <f>J130</f>
        <v>0</v>
      </c>
      <c r="K129" s="269">
        <v>0</v>
      </c>
      <c r="L129" s="268">
        <f>L130</f>
        <v>0</v>
      </c>
      <c r="M129" s="269">
        <v>0</v>
      </c>
    </row>
    <row r="130" spans="1:13" s="10" customFormat="1" ht="22.5" customHeight="1" x14ac:dyDescent="0.25">
      <c r="A130" s="29"/>
      <c r="B130" s="151" t="s">
        <v>128</v>
      </c>
      <c r="C130" s="444">
        <v>656</v>
      </c>
      <c r="D130" s="416">
        <v>3</v>
      </c>
      <c r="E130" s="416">
        <v>9</v>
      </c>
      <c r="F130" s="353" t="s">
        <v>116</v>
      </c>
      <c r="G130" s="354">
        <v>200</v>
      </c>
      <c r="H130" s="268">
        <f>H131</f>
        <v>709680</v>
      </c>
      <c r="I130" s="269">
        <v>0</v>
      </c>
      <c r="J130" s="268">
        <f>J131</f>
        <v>0</v>
      </c>
      <c r="K130" s="269">
        <v>0</v>
      </c>
      <c r="L130" s="268">
        <f>L131</f>
        <v>0</v>
      </c>
      <c r="M130" s="269">
        <v>0</v>
      </c>
    </row>
    <row r="131" spans="1:13" s="10" customFormat="1" ht="24.75" customHeight="1" x14ac:dyDescent="0.25">
      <c r="A131" s="29"/>
      <c r="B131" s="229" t="s">
        <v>506</v>
      </c>
      <c r="C131" s="444">
        <v>656</v>
      </c>
      <c r="D131" s="416">
        <v>3</v>
      </c>
      <c r="E131" s="416">
        <v>9</v>
      </c>
      <c r="F131" s="353" t="s">
        <v>116</v>
      </c>
      <c r="G131" s="354">
        <v>244</v>
      </c>
      <c r="H131" s="268">
        <f>'по нов.7'!R175</f>
        <v>709680</v>
      </c>
      <c r="I131" s="269">
        <v>0</v>
      </c>
      <c r="J131" s="268">
        <f>'по нов.7'!W175</f>
        <v>0</v>
      </c>
      <c r="K131" s="269">
        <v>0</v>
      </c>
      <c r="L131" s="268">
        <f>'по нов.7'!X175</f>
        <v>0</v>
      </c>
      <c r="M131" s="269">
        <v>0</v>
      </c>
    </row>
    <row r="132" spans="1:13" s="36" customFormat="1" ht="22.8" hidden="1" customHeight="1" thickBot="1" x14ac:dyDescent="0.3">
      <c r="A132" s="34"/>
      <c r="B132" s="159"/>
      <c r="C132" s="446"/>
      <c r="D132" s="413"/>
      <c r="E132" s="413"/>
      <c r="F132" s="399"/>
      <c r="G132" s="414"/>
      <c r="H132" s="271"/>
      <c r="I132" s="272"/>
      <c r="J132" s="271"/>
      <c r="K132" s="272"/>
      <c r="L132" s="271"/>
      <c r="M132" s="272"/>
    </row>
    <row r="133" spans="1:13" s="10" customFormat="1" ht="30" customHeight="1" x14ac:dyDescent="0.25">
      <c r="A133" s="29"/>
      <c r="B133" s="162" t="s">
        <v>445</v>
      </c>
      <c r="C133" s="444">
        <v>656</v>
      </c>
      <c r="D133" s="416">
        <v>3</v>
      </c>
      <c r="E133" s="416">
        <v>9</v>
      </c>
      <c r="F133" s="378" t="s">
        <v>125</v>
      </c>
      <c r="G133" s="361">
        <v>0</v>
      </c>
      <c r="H133" s="278">
        <f>H136</f>
        <v>450000</v>
      </c>
      <c r="I133" s="279">
        <v>0</v>
      </c>
      <c r="J133" s="278">
        <f>J136</f>
        <v>0</v>
      </c>
      <c r="K133" s="279">
        <v>0</v>
      </c>
      <c r="L133" s="278">
        <f>L136</f>
        <v>0</v>
      </c>
      <c r="M133" s="279">
        <v>0</v>
      </c>
    </row>
    <row r="134" spans="1:13" s="10" customFormat="1" ht="54.6" customHeight="1" x14ac:dyDescent="0.25">
      <c r="A134" s="29"/>
      <c r="B134" s="239" t="s">
        <v>428</v>
      </c>
      <c r="C134" s="444">
        <v>656</v>
      </c>
      <c r="D134" s="416">
        <v>3</v>
      </c>
      <c r="E134" s="416">
        <v>9</v>
      </c>
      <c r="F134" s="353" t="s">
        <v>405</v>
      </c>
      <c r="G134" s="354">
        <v>0</v>
      </c>
      <c r="H134" s="268">
        <f>H135</f>
        <v>450000</v>
      </c>
      <c r="I134" s="269">
        <v>0</v>
      </c>
      <c r="J134" s="268">
        <f>J135</f>
        <v>0</v>
      </c>
      <c r="K134" s="269">
        <v>0</v>
      </c>
      <c r="L134" s="268">
        <f>L135</f>
        <v>0</v>
      </c>
      <c r="M134" s="269">
        <v>0</v>
      </c>
    </row>
    <row r="135" spans="1:13" s="10" customFormat="1" ht="27.6" customHeight="1" x14ac:dyDescent="0.25">
      <c r="A135" s="29"/>
      <c r="B135" s="151" t="s">
        <v>128</v>
      </c>
      <c r="C135" s="444">
        <v>656</v>
      </c>
      <c r="D135" s="416">
        <v>3</v>
      </c>
      <c r="E135" s="416">
        <v>9</v>
      </c>
      <c r="F135" s="353" t="s">
        <v>405</v>
      </c>
      <c r="G135" s="354">
        <v>200</v>
      </c>
      <c r="H135" s="268">
        <f>H136</f>
        <v>450000</v>
      </c>
      <c r="I135" s="269">
        <v>0</v>
      </c>
      <c r="J135" s="268">
        <f>J136</f>
        <v>0</v>
      </c>
      <c r="K135" s="269">
        <v>0</v>
      </c>
      <c r="L135" s="268">
        <f>L136</f>
        <v>0</v>
      </c>
      <c r="M135" s="269">
        <v>0</v>
      </c>
    </row>
    <row r="136" spans="1:13" s="10" customFormat="1" ht="27.6" customHeight="1" thickBot="1" x14ac:dyDescent="0.3">
      <c r="A136" s="29"/>
      <c r="B136" s="229" t="s">
        <v>506</v>
      </c>
      <c r="C136" s="444">
        <v>656</v>
      </c>
      <c r="D136" s="416">
        <v>3</v>
      </c>
      <c r="E136" s="416">
        <v>9</v>
      </c>
      <c r="F136" s="353" t="s">
        <v>405</v>
      </c>
      <c r="G136" s="354">
        <v>244</v>
      </c>
      <c r="H136" s="268">
        <f>'по нов.7'!R229</f>
        <v>450000</v>
      </c>
      <c r="I136" s="269">
        <v>0</v>
      </c>
      <c r="J136" s="268">
        <v>0</v>
      </c>
      <c r="K136" s="269">
        <v>0</v>
      </c>
      <c r="L136" s="268">
        <v>0</v>
      </c>
      <c r="M136" s="269">
        <v>0</v>
      </c>
    </row>
    <row r="137" spans="1:13" s="36" customFormat="1" ht="29.25" customHeight="1" thickBot="1" x14ac:dyDescent="0.3">
      <c r="A137" s="34"/>
      <c r="B137" s="240" t="s">
        <v>65</v>
      </c>
      <c r="C137" s="446" t="s">
        <v>356</v>
      </c>
      <c r="D137" s="417">
        <v>3</v>
      </c>
      <c r="E137" s="417">
        <v>14</v>
      </c>
      <c r="F137" s="399" t="s">
        <v>122</v>
      </c>
      <c r="G137" s="418">
        <v>0</v>
      </c>
      <c r="H137" s="271">
        <f>H138</f>
        <v>17570</v>
      </c>
      <c r="I137" s="272">
        <v>0</v>
      </c>
      <c r="J137" s="271">
        <f>J138</f>
        <v>17570</v>
      </c>
      <c r="K137" s="272">
        <v>0</v>
      </c>
      <c r="L137" s="271">
        <f>L138</f>
        <v>17600</v>
      </c>
      <c r="M137" s="272">
        <v>0</v>
      </c>
    </row>
    <row r="138" spans="1:13" s="10" customFormat="1" ht="40.5" customHeight="1" x14ac:dyDescent="0.25">
      <c r="A138" s="29"/>
      <c r="B138" s="161" t="s">
        <v>0</v>
      </c>
      <c r="C138" s="444">
        <v>656</v>
      </c>
      <c r="D138" s="416">
        <v>3</v>
      </c>
      <c r="E138" s="416">
        <v>14</v>
      </c>
      <c r="F138" s="353" t="s">
        <v>97</v>
      </c>
      <c r="G138" s="354">
        <v>0</v>
      </c>
      <c r="H138" s="268">
        <f>H139+H142</f>
        <v>17570</v>
      </c>
      <c r="I138" s="269">
        <v>0</v>
      </c>
      <c r="J138" s="268">
        <f>J139+J142</f>
        <v>17570</v>
      </c>
      <c r="K138" s="269">
        <v>0</v>
      </c>
      <c r="L138" s="268">
        <f>L139+L142</f>
        <v>17600</v>
      </c>
      <c r="M138" s="269">
        <v>0</v>
      </c>
    </row>
    <row r="139" spans="1:13" s="10" customFormat="1" ht="80.400000000000006" customHeight="1" x14ac:dyDescent="0.25">
      <c r="A139" s="29"/>
      <c r="B139" s="237" t="s">
        <v>516</v>
      </c>
      <c r="C139" s="444">
        <v>656</v>
      </c>
      <c r="D139" s="416">
        <v>3</v>
      </c>
      <c r="E139" s="416">
        <v>14</v>
      </c>
      <c r="F139" s="353" t="s">
        <v>98</v>
      </c>
      <c r="G139" s="354">
        <v>0</v>
      </c>
      <c r="H139" s="273">
        <f>H140</f>
        <v>5270</v>
      </c>
      <c r="I139" s="274">
        <v>0</v>
      </c>
      <c r="J139" s="273">
        <f>J140</f>
        <v>5270</v>
      </c>
      <c r="K139" s="274">
        <v>0</v>
      </c>
      <c r="L139" s="273">
        <f>L140</f>
        <v>5280</v>
      </c>
      <c r="M139" s="274">
        <v>0</v>
      </c>
    </row>
    <row r="140" spans="1:13" s="10" customFormat="1" ht="27" customHeight="1" x14ac:dyDescent="0.25">
      <c r="A140" s="29"/>
      <c r="B140" s="151" t="s">
        <v>128</v>
      </c>
      <c r="C140" s="444">
        <v>656</v>
      </c>
      <c r="D140" s="416">
        <v>3</v>
      </c>
      <c r="E140" s="416">
        <v>14</v>
      </c>
      <c r="F140" s="353" t="s">
        <v>98</v>
      </c>
      <c r="G140" s="354">
        <v>200</v>
      </c>
      <c r="H140" s="273">
        <f>H141</f>
        <v>5270</v>
      </c>
      <c r="I140" s="274">
        <v>0</v>
      </c>
      <c r="J140" s="273">
        <f>J141</f>
        <v>5270</v>
      </c>
      <c r="K140" s="274">
        <v>0</v>
      </c>
      <c r="L140" s="273">
        <f>L141</f>
        <v>5280</v>
      </c>
      <c r="M140" s="274">
        <v>0</v>
      </c>
    </row>
    <row r="141" spans="1:13" s="10" customFormat="1" ht="24" customHeight="1" x14ac:dyDescent="0.25">
      <c r="A141" s="29"/>
      <c r="B141" s="229" t="s">
        <v>506</v>
      </c>
      <c r="C141" s="444">
        <v>656</v>
      </c>
      <c r="D141" s="416">
        <v>3</v>
      </c>
      <c r="E141" s="416">
        <v>14</v>
      </c>
      <c r="F141" s="353" t="s">
        <v>98</v>
      </c>
      <c r="G141" s="354">
        <v>244</v>
      </c>
      <c r="H141" s="273">
        <f>'по нов.7'!R42</f>
        <v>5270</v>
      </c>
      <c r="I141" s="274">
        <v>0</v>
      </c>
      <c r="J141" s="273">
        <f>'по нов.7'!W42</f>
        <v>5270</v>
      </c>
      <c r="K141" s="274">
        <v>0</v>
      </c>
      <c r="L141" s="273">
        <f>'по нов.7'!X42</f>
        <v>5280</v>
      </c>
      <c r="M141" s="274">
        <v>0</v>
      </c>
    </row>
    <row r="142" spans="1:13" s="10" customFormat="1" ht="70.5" customHeight="1" x14ac:dyDescent="0.25">
      <c r="A142" s="29"/>
      <c r="B142" s="238" t="s">
        <v>517</v>
      </c>
      <c r="C142" s="444">
        <v>656</v>
      </c>
      <c r="D142" s="419">
        <v>3</v>
      </c>
      <c r="E142" s="419">
        <v>14</v>
      </c>
      <c r="F142" s="353" t="s">
        <v>100</v>
      </c>
      <c r="G142" s="356">
        <v>0</v>
      </c>
      <c r="H142" s="273">
        <f>H144</f>
        <v>12300</v>
      </c>
      <c r="I142" s="274">
        <v>0</v>
      </c>
      <c r="J142" s="273">
        <f>J144</f>
        <v>12300</v>
      </c>
      <c r="K142" s="274">
        <v>0</v>
      </c>
      <c r="L142" s="273">
        <f>L144</f>
        <v>12320</v>
      </c>
      <c r="M142" s="274">
        <v>0</v>
      </c>
    </row>
    <row r="143" spans="1:13" s="10" customFormat="1" ht="24" customHeight="1" x14ac:dyDescent="0.25">
      <c r="A143" s="29"/>
      <c r="B143" s="151" t="s">
        <v>128</v>
      </c>
      <c r="C143" s="444">
        <v>656</v>
      </c>
      <c r="D143" s="419">
        <v>3</v>
      </c>
      <c r="E143" s="419">
        <v>14</v>
      </c>
      <c r="F143" s="353" t="s">
        <v>100</v>
      </c>
      <c r="G143" s="356">
        <v>200</v>
      </c>
      <c r="H143" s="273">
        <f>H144</f>
        <v>12300</v>
      </c>
      <c r="I143" s="274">
        <v>0</v>
      </c>
      <c r="J143" s="273">
        <f>J144</f>
        <v>12300</v>
      </c>
      <c r="K143" s="274">
        <v>0</v>
      </c>
      <c r="L143" s="273">
        <f>L144</f>
        <v>12320</v>
      </c>
      <c r="M143" s="274">
        <v>0</v>
      </c>
    </row>
    <row r="144" spans="1:13" s="10" customFormat="1" ht="27.75" customHeight="1" thickBot="1" x14ac:dyDescent="0.3">
      <c r="A144" s="29"/>
      <c r="B144" s="229" t="s">
        <v>506</v>
      </c>
      <c r="C144" s="444">
        <v>656</v>
      </c>
      <c r="D144" s="419">
        <v>3</v>
      </c>
      <c r="E144" s="419">
        <v>14</v>
      </c>
      <c r="F144" s="353" t="s">
        <v>100</v>
      </c>
      <c r="G144" s="356">
        <v>244</v>
      </c>
      <c r="H144" s="273">
        <f>'по нов.7'!R45</f>
        <v>12300</v>
      </c>
      <c r="I144" s="269">
        <v>0</v>
      </c>
      <c r="J144" s="273">
        <f>'по нов.7'!W45</f>
        <v>12300</v>
      </c>
      <c r="K144" s="269">
        <v>0</v>
      </c>
      <c r="L144" s="273">
        <f>'по нов.7'!X45</f>
        <v>12320</v>
      </c>
      <c r="M144" s="269">
        <v>0</v>
      </c>
    </row>
    <row r="145" spans="1:13" s="10" customFormat="1" ht="16.5" customHeight="1" thickBot="1" x14ac:dyDescent="0.3">
      <c r="A145" s="29"/>
      <c r="B145" s="158" t="s">
        <v>18</v>
      </c>
      <c r="C145" s="439">
        <v>656</v>
      </c>
      <c r="D145" s="398">
        <v>4</v>
      </c>
      <c r="E145" s="398">
        <v>0</v>
      </c>
      <c r="F145" s="399" t="s">
        <v>122</v>
      </c>
      <c r="G145" s="373">
        <v>0</v>
      </c>
      <c r="H145" s="264">
        <f>H154+H171+H146+H176</f>
        <v>7256671.7599999998</v>
      </c>
      <c r="I145" s="265">
        <f>I176</f>
        <v>0</v>
      </c>
      <c r="J145" s="264">
        <f>J154+J171+J146+J176</f>
        <v>4933296.0999999996</v>
      </c>
      <c r="K145" s="265">
        <f>K176</f>
        <v>0</v>
      </c>
      <c r="L145" s="264">
        <f>L154+L171+L146+L176</f>
        <v>5180000</v>
      </c>
      <c r="M145" s="265">
        <f>M176</f>
        <v>0</v>
      </c>
    </row>
    <row r="146" spans="1:13" s="36" customFormat="1" ht="30" customHeight="1" thickBot="1" x14ac:dyDescent="0.3">
      <c r="A146" s="34"/>
      <c r="B146" s="197" t="s">
        <v>429</v>
      </c>
      <c r="C146" s="444">
        <v>656</v>
      </c>
      <c r="D146" s="400">
        <v>4</v>
      </c>
      <c r="E146" s="400">
        <v>1</v>
      </c>
      <c r="F146" s="420" t="s">
        <v>355</v>
      </c>
      <c r="G146" s="401">
        <v>0</v>
      </c>
      <c r="H146" s="266">
        <f>H147+H151</f>
        <v>1798502.93</v>
      </c>
      <c r="I146" s="267">
        <v>0</v>
      </c>
      <c r="J146" s="266">
        <f>J147</f>
        <v>0</v>
      </c>
      <c r="K146" s="267">
        <v>0</v>
      </c>
      <c r="L146" s="266">
        <f>L147</f>
        <v>0</v>
      </c>
      <c r="M146" s="267">
        <v>0</v>
      </c>
    </row>
    <row r="147" spans="1:13" s="10" customFormat="1" ht="60" x14ac:dyDescent="0.25">
      <c r="A147" s="29"/>
      <c r="B147" s="62" t="s">
        <v>510</v>
      </c>
      <c r="C147" s="444">
        <v>656</v>
      </c>
      <c r="D147" s="402">
        <v>4</v>
      </c>
      <c r="E147" s="402">
        <v>1</v>
      </c>
      <c r="F147" s="355" t="s">
        <v>388</v>
      </c>
      <c r="G147" s="348">
        <v>0</v>
      </c>
      <c r="H147" s="268">
        <f>H148</f>
        <v>885467.92999999993</v>
      </c>
      <c r="I147" s="269">
        <v>0</v>
      </c>
      <c r="J147" s="268">
        <f>J148</f>
        <v>0</v>
      </c>
      <c r="K147" s="269">
        <v>0</v>
      </c>
      <c r="L147" s="268">
        <f>L148</f>
        <v>0</v>
      </c>
      <c r="M147" s="269">
        <v>0</v>
      </c>
    </row>
    <row r="148" spans="1:13" s="10" customFormat="1" ht="48" x14ac:dyDescent="0.25">
      <c r="A148" s="29"/>
      <c r="B148" s="151" t="s">
        <v>75</v>
      </c>
      <c r="C148" s="444">
        <v>656</v>
      </c>
      <c r="D148" s="402">
        <v>4</v>
      </c>
      <c r="E148" s="402">
        <v>1</v>
      </c>
      <c r="F148" s="355" t="s">
        <v>388</v>
      </c>
      <c r="G148" s="348">
        <v>100</v>
      </c>
      <c r="H148" s="268">
        <f>H149+H150</f>
        <v>885467.92999999993</v>
      </c>
      <c r="I148" s="269">
        <v>0</v>
      </c>
      <c r="J148" s="268">
        <f>J149+J150</f>
        <v>0</v>
      </c>
      <c r="K148" s="269">
        <v>0</v>
      </c>
      <c r="L148" s="268">
        <f>L149+L150</f>
        <v>0</v>
      </c>
      <c r="M148" s="269">
        <v>0</v>
      </c>
    </row>
    <row r="149" spans="1:13" s="10" customFormat="1" x14ac:dyDescent="0.25">
      <c r="A149" s="29"/>
      <c r="B149" s="239" t="s">
        <v>138</v>
      </c>
      <c r="C149" s="444">
        <v>656</v>
      </c>
      <c r="D149" s="402">
        <v>4</v>
      </c>
      <c r="E149" s="402">
        <v>1</v>
      </c>
      <c r="F149" s="355" t="s">
        <v>388</v>
      </c>
      <c r="G149" s="348">
        <v>111</v>
      </c>
      <c r="H149" s="268">
        <f>'по нов.7'!R240</f>
        <v>678215.5</v>
      </c>
      <c r="I149" s="269">
        <v>0</v>
      </c>
      <c r="J149" s="268">
        <f>'по нов.7'!W240</f>
        <v>0</v>
      </c>
      <c r="K149" s="269">
        <v>0</v>
      </c>
      <c r="L149" s="268">
        <f>'по нов.7'!X240</f>
        <v>0</v>
      </c>
      <c r="M149" s="269">
        <v>0</v>
      </c>
    </row>
    <row r="150" spans="1:13" s="10" customFormat="1" ht="36" x14ac:dyDescent="0.25">
      <c r="A150" s="29"/>
      <c r="B150" s="239" t="s">
        <v>134</v>
      </c>
      <c r="C150" s="444">
        <v>656</v>
      </c>
      <c r="D150" s="402">
        <v>4</v>
      </c>
      <c r="E150" s="402">
        <v>1</v>
      </c>
      <c r="F150" s="355" t="s">
        <v>388</v>
      </c>
      <c r="G150" s="348">
        <v>119</v>
      </c>
      <c r="H150" s="268">
        <f>'по нов.7'!R241</f>
        <v>207252.43</v>
      </c>
      <c r="I150" s="269"/>
      <c r="J150" s="268">
        <f>'по нов.7'!W241</f>
        <v>0</v>
      </c>
      <c r="K150" s="269"/>
      <c r="L150" s="268">
        <f>'по нов.7'!X241</f>
        <v>0</v>
      </c>
      <c r="M150" s="269"/>
    </row>
    <row r="151" spans="1:13" s="10" customFormat="1" ht="48" x14ac:dyDescent="0.25">
      <c r="A151" s="29"/>
      <c r="B151" s="151" t="s">
        <v>75</v>
      </c>
      <c r="C151" s="444">
        <v>656</v>
      </c>
      <c r="D151" s="402">
        <v>4</v>
      </c>
      <c r="E151" s="402">
        <v>1</v>
      </c>
      <c r="F151" s="355" t="s">
        <v>572</v>
      </c>
      <c r="G151" s="348">
        <v>100</v>
      </c>
      <c r="H151" s="268">
        <f>H152+H153</f>
        <v>913035</v>
      </c>
      <c r="I151" s="269">
        <v>0</v>
      </c>
      <c r="J151" s="268">
        <f>J152+J153</f>
        <v>0</v>
      </c>
      <c r="K151" s="269">
        <v>0</v>
      </c>
      <c r="L151" s="268">
        <f>L152+L153</f>
        <v>0</v>
      </c>
      <c r="M151" s="269">
        <v>0</v>
      </c>
    </row>
    <row r="152" spans="1:13" s="10" customFormat="1" x14ac:dyDescent="0.25">
      <c r="A152" s="29"/>
      <c r="B152" s="239" t="s">
        <v>138</v>
      </c>
      <c r="C152" s="444">
        <v>656</v>
      </c>
      <c r="D152" s="402">
        <v>4</v>
      </c>
      <c r="E152" s="402">
        <v>1</v>
      </c>
      <c r="F152" s="355" t="s">
        <v>572</v>
      </c>
      <c r="G152" s="348">
        <v>111</v>
      </c>
      <c r="H152" s="268">
        <f>'по нов.7'!R242</f>
        <v>665602.5</v>
      </c>
      <c r="I152" s="269">
        <v>0</v>
      </c>
      <c r="J152" s="268">
        <f>'по нов.7'!W243</f>
        <v>0</v>
      </c>
      <c r="K152" s="269">
        <v>0</v>
      </c>
      <c r="L152" s="268">
        <f>'по нов.7'!X243</f>
        <v>0</v>
      </c>
      <c r="M152" s="269">
        <v>0</v>
      </c>
    </row>
    <row r="153" spans="1:13" s="10" customFormat="1" ht="36.6" thickBot="1" x14ac:dyDescent="0.3">
      <c r="A153" s="29"/>
      <c r="B153" s="239" t="s">
        <v>134</v>
      </c>
      <c r="C153" s="444">
        <v>656</v>
      </c>
      <c r="D153" s="402">
        <v>4</v>
      </c>
      <c r="E153" s="402">
        <v>1</v>
      </c>
      <c r="F153" s="355" t="s">
        <v>572</v>
      </c>
      <c r="G153" s="348">
        <v>119</v>
      </c>
      <c r="H153" s="268">
        <f>'по нов.7'!R243</f>
        <v>247432.5</v>
      </c>
      <c r="I153" s="269"/>
      <c r="J153" s="268">
        <v>0</v>
      </c>
      <c r="K153" s="269"/>
      <c r="L153" s="268">
        <v>0</v>
      </c>
      <c r="M153" s="269"/>
    </row>
    <row r="154" spans="1:13" s="36" customFormat="1" ht="14.25" customHeight="1" thickBot="1" x14ac:dyDescent="0.3">
      <c r="A154" s="34"/>
      <c r="B154" s="159" t="s">
        <v>68</v>
      </c>
      <c r="C154" s="439">
        <v>656</v>
      </c>
      <c r="D154" s="417">
        <v>4</v>
      </c>
      <c r="E154" s="417">
        <v>9</v>
      </c>
      <c r="F154" s="399" t="s">
        <v>122</v>
      </c>
      <c r="G154" s="418">
        <v>0</v>
      </c>
      <c r="H154" s="271">
        <f>H157+H168</f>
        <v>4712270.2</v>
      </c>
      <c r="I154" s="272">
        <v>0</v>
      </c>
      <c r="J154" s="271">
        <f>J157+J168</f>
        <v>4933296.0999999996</v>
      </c>
      <c r="K154" s="272">
        <v>0</v>
      </c>
      <c r="L154" s="271">
        <f>L157+L168</f>
        <v>5180000</v>
      </c>
      <c r="M154" s="272">
        <v>0</v>
      </c>
    </row>
    <row r="155" spans="1:13" s="36" customFormat="1" ht="36.6" customHeight="1" thickBot="1" x14ac:dyDescent="0.3">
      <c r="A155" s="34"/>
      <c r="B155" s="192" t="s">
        <v>70</v>
      </c>
      <c r="C155" s="447">
        <v>656</v>
      </c>
      <c r="D155" s="417">
        <v>4</v>
      </c>
      <c r="E155" s="417">
        <v>9</v>
      </c>
      <c r="F155" s="421" t="s">
        <v>93</v>
      </c>
      <c r="G155" s="418">
        <v>0</v>
      </c>
      <c r="H155" s="272">
        <f t="shared" ref="H155:M156" si="12">H156</f>
        <v>4712270.2</v>
      </c>
      <c r="I155" s="272">
        <f t="shared" si="12"/>
        <v>0</v>
      </c>
      <c r="J155" s="272">
        <f t="shared" si="12"/>
        <v>4933296.0999999996</v>
      </c>
      <c r="K155" s="272">
        <f t="shared" si="12"/>
        <v>0</v>
      </c>
      <c r="L155" s="272">
        <f t="shared" si="12"/>
        <v>5180000</v>
      </c>
      <c r="M155" s="272">
        <f t="shared" si="12"/>
        <v>0</v>
      </c>
    </row>
    <row r="156" spans="1:13" s="36" customFormat="1" ht="30.6" customHeight="1" x14ac:dyDescent="0.25">
      <c r="A156" s="34"/>
      <c r="B156" s="62" t="s">
        <v>481</v>
      </c>
      <c r="C156" s="444">
        <v>656</v>
      </c>
      <c r="D156" s="416">
        <v>4</v>
      </c>
      <c r="E156" s="416">
        <v>9</v>
      </c>
      <c r="F156" s="353" t="s">
        <v>94</v>
      </c>
      <c r="G156" s="354">
        <v>0</v>
      </c>
      <c r="H156" s="269">
        <f t="shared" si="12"/>
        <v>4712270.2</v>
      </c>
      <c r="I156" s="269">
        <f t="shared" si="12"/>
        <v>0</v>
      </c>
      <c r="J156" s="269">
        <f t="shared" si="12"/>
        <v>4933296.0999999996</v>
      </c>
      <c r="K156" s="269">
        <f t="shared" si="12"/>
        <v>0</v>
      </c>
      <c r="L156" s="269">
        <f t="shared" si="12"/>
        <v>5180000</v>
      </c>
      <c r="M156" s="269">
        <f t="shared" si="12"/>
        <v>0</v>
      </c>
    </row>
    <row r="157" spans="1:13" s="10" customFormat="1" ht="54" customHeight="1" x14ac:dyDescent="0.25">
      <c r="A157" s="29"/>
      <c r="B157" s="162" t="s">
        <v>96</v>
      </c>
      <c r="C157" s="444">
        <v>656</v>
      </c>
      <c r="D157" s="416">
        <v>4</v>
      </c>
      <c r="E157" s="416">
        <v>9</v>
      </c>
      <c r="F157" s="353" t="s">
        <v>95</v>
      </c>
      <c r="G157" s="354">
        <v>0</v>
      </c>
      <c r="H157" s="269">
        <f>H158</f>
        <v>4712270.2</v>
      </c>
      <c r="I157" s="269">
        <v>0</v>
      </c>
      <c r="J157" s="269">
        <f>J158</f>
        <v>4933296.0999999996</v>
      </c>
      <c r="K157" s="269">
        <v>0</v>
      </c>
      <c r="L157" s="269">
        <f>L158</f>
        <v>5180000</v>
      </c>
      <c r="M157" s="269">
        <v>0</v>
      </c>
    </row>
    <row r="158" spans="1:13" s="10" customFormat="1" ht="27.75" customHeight="1" x14ac:dyDescent="0.25">
      <c r="A158" s="29"/>
      <c r="B158" s="151" t="s">
        <v>128</v>
      </c>
      <c r="C158" s="444">
        <v>656</v>
      </c>
      <c r="D158" s="416">
        <v>4</v>
      </c>
      <c r="E158" s="416">
        <v>9</v>
      </c>
      <c r="F158" s="353" t="s">
        <v>95</v>
      </c>
      <c r="G158" s="354">
        <v>200</v>
      </c>
      <c r="H158" s="268">
        <f>H159</f>
        <v>4712270.2</v>
      </c>
      <c r="I158" s="269">
        <v>0</v>
      </c>
      <c r="J158" s="268">
        <f>J159</f>
        <v>4933296.0999999996</v>
      </c>
      <c r="K158" s="269">
        <v>0</v>
      </c>
      <c r="L158" s="268">
        <f>L159</f>
        <v>5180000</v>
      </c>
      <c r="M158" s="269">
        <v>0</v>
      </c>
    </row>
    <row r="159" spans="1:13" s="39" customFormat="1" ht="24.75" customHeight="1" thickBot="1" x14ac:dyDescent="0.3">
      <c r="A159" s="37"/>
      <c r="B159" s="229" t="s">
        <v>506</v>
      </c>
      <c r="C159" s="444">
        <v>656</v>
      </c>
      <c r="D159" s="416">
        <v>4</v>
      </c>
      <c r="E159" s="416">
        <v>9</v>
      </c>
      <c r="F159" s="353" t="s">
        <v>95</v>
      </c>
      <c r="G159" s="354">
        <v>244</v>
      </c>
      <c r="H159" s="268">
        <f>'по нов.7'!R31</f>
        <v>4712270.2</v>
      </c>
      <c r="I159" s="269">
        <v>0</v>
      </c>
      <c r="J159" s="268">
        <f>'по нов.7'!W31</f>
        <v>4933296.0999999996</v>
      </c>
      <c r="K159" s="269">
        <v>0</v>
      </c>
      <c r="L159" s="268">
        <f>'по нов.7'!X31</f>
        <v>5180000</v>
      </c>
      <c r="M159" s="269">
        <v>0</v>
      </c>
    </row>
    <row r="160" spans="1:13" s="10" customFormat="1" ht="122.25" hidden="1" customHeight="1" x14ac:dyDescent="0.25">
      <c r="A160" s="29"/>
      <c r="B160" s="162"/>
      <c r="C160" s="444"/>
      <c r="D160" s="416"/>
      <c r="E160" s="416"/>
      <c r="F160" s="353"/>
      <c r="G160" s="354"/>
      <c r="H160" s="268"/>
      <c r="I160" s="269"/>
      <c r="J160" s="268"/>
      <c r="K160" s="269"/>
      <c r="L160" s="268"/>
      <c r="M160" s="269"/>
    </row>
    <row r="161" spans="1:13" s="10" customFormat="1" ht="25.5" hidden="1" customHeight="1" thickBot="1" x14ac:dyDescent="0.3">
      <c r="A161" s="29"/>
      <c r="B161" s="151"/>
      <c r="C161" s="444"/>
      <c r="D161" s="416"/>
      <c r="E161" s="416"/>
      <c r="F161" s="353"/>
      <c r="G161" s="354"/>
      <c r="H161" s="268"/>
      <c r="I161" s="269"/>
      <c r="J161" s="268"/>
      <c r="K161" s="269"/>
      <c r="L161" s="268"/>
      <c r="M161" s="269"/>
    </row>
    <row r="162" spans="1:13" s="39" customFormat="1" ht="24.75" hidden="1" customHeight="1" x14ac:dyDescent="0.25">
      <c r="A162" s="37"/>
      <c r="B162" s="151"/>
      <c r="C162" s="444"/>
      <c r="D162" s="416"/>
      <c r="E162" s="416"/>
      <c r="F162" s="353"/>
      <c r="G162" s="354"/>
      <c r="H162" s="268"/>
      <c r="I162" s="269"/>
      <c r="J162" s="268"/>
      <c r="K162" s="269"/>
      <c r="L162" s="268"/>
      <c r="M162" s="269"/>
    </row>
    <row r="163" spans="1:13" s="10" customFormat="1" ht="60" hidden="1" customHeight="1" x14ac:dyDescent="0.25">
      <c r="A163" s="29"/>
      <c r="B163" s="162" t="s">
        <v>142</v>
      </c>
      <c r="C163" s="444">
        <v>656</v>
      </c>
      <c r="D163" s="416">
        <v>4</v>
      </c>
      <c r="E163" s="416">
        <v>9</v>
      </c>
      <c r="F163" s="353" t="s">
        <v>123</v>
      </c>
      <c r="G163" s="354">
        <v>0</v>
      </c>
      <c r="H163" s="268">
        <f>H166</f>
        <v>0</v>
      </c>
      <c r="I163" s="269">
        <v>0</v>
      </c>
      <c r="J163" s="268">
        <f>J166</f>
        <v>0</v>
      </c>
      <c r="K163" s="269">
        <v>0</v>
      </c>
      <c r="L163" s="268">
        <f>L166</f>
        <v>0</v>
      </c>
      <c r="M163" s="269">
        <v>0</v>
      </c>
    </row>
    <row r="164" spans="1:13" s="10" customFormat="1" ht="135.75" hidden="1" customHeight="1" x14ac:dyDescent="0.25">
      <c r="A164" s="29"/>
      <c r="B164" s="162" t="s">
        <v>352</v>
      </c>
      <c r="C164" s="444">
        <v>656</v>
      </c>
      <c r="D164" s="416">
        <v>4</v>
      </c>
      <c r="E164" s="416">
        <v>9</v>
      </c>
      <c r="F164" s="353" t="s">
        <v>350</v>
      </c>
      <c r="G164" s="354">
        <v>0</v>
      </c>
      <c r="H164" s="268">
        <f>H165</f>
        <v>0</v>
      </c>
      <c r="I164" s="269">
        <v>0</v>
      </c>
      <c r="J164" s="268">
        <f>J165</f>
        <v>0</v>
      </c>
      <c r="K164" s="269">
        <v>0</v>
      </c>
      <c r="L164" s="268">
        <f>L165</f>
        <v>0</v>
      </c>
      <c r="M164" s="269">
        <v>0</v>
      </c>
    </row>
    <row r="165" spans="1:13" s="10" customFormat="1" ht="20.25" hidden="1" customHeight="1" thickBot="1" x14ac:dyDescent="0.3">
      <c r="A165" s="29"/>
      <c r="B165" s="239" t="s">
        <v>74</v>
      </c>
      <c r="C165" s="444">
        <v>656</v>
      </c>
      <c r="D165" s="416">
        <v>4</v>
      </c>
      <c r="E165" s="416">
        <v>9</v>
      </c>
      <c r="F165" s="353" t="s">
        <v>350</v>
      </c>
      <c r="G165" s="354">
        <v>500</v>
      </c>
      <c r="H165" s="268">
        <f>H166</f>
        <v>0</v>
      </c>
      <c r="I165" s="269">
        <v>0</v>
      </c>
      <c r="J165" s="268">
        <f>J166</f>
        <v>0</v>
      </c>
      <c r="K165" s="269">
        <v>0</v>
      </c>
      <c r="L165" s="268">
        <f>L166</f>
        <v>0</v>
      </c>
      <c r="M165" s="269">
        <v>0</v>
      </c>
    </row>
    <row r="166" spans="1:13" s="10" customFormat="1" ht="17.25" hidden="1" customHeight="1" thickBot="1" x14ac:dyDescent="0.3">
      <c r="A166" s="29"/>
      <c r="B166" s="239" t="s">
        <v>63</v>
      </c>
      <c r="C166" s="444">
        <v>656</v>
      </c>
      <c r="D166" s="416">
        <v>4</v>
      </c>
      <c r="E166" s="416">
        <v>9</v>
      </c>
      <c r="F166" s="353" t="s">
        <v>350</v>
      </c>
      <c r="G166" s="354">
        <v>540</v>
      </c>
      <c r="H166" s="268">
        <f>'по нов.7'!R213</f>
        <v>0</v>
      </c>
      <c r="I166" s="269">
        <v>0</v>
      </c>
      <c r="J166" s="268">
        <f>'по нов.7'!T213</f>
        <v>0</v>
      </c>
      <c r="K166" s="269">
        <v>0</v>
      </c>
      <c r="L166" s="268">
        <f>'по нов.7'!V213</f>
        <v>0</v>
      </c>
      <c r="M166" s="269">
        <v>0</v>
      </c>
    </row>
    <row r="167" spans="1:13" s="10" customFormat="1" ht="50.25" hidden="1" customHeight="1" x14ac:dyDescent="0.25">
      <c r="A167" s="29"/>
      <c r="B167" s="162"/>
      <c r="C167" s="444">
        <v>656</v>
      </c>
      <c r="D167" s="416">
        <v>4</v>
      </c>
      <c r="E167" s="416">
        <v>9</v>
      </c>
      <c r="F167" s="353" t="s">
        <v>94</v>
      </c>
      <c r="G167" s="354">
        <v>0</v>
      </c>
      <c r="H167" s="269">
        <f>H168</f>
        <v>0</v>
      </c>
      <c r="I167" s="269">
        <v>0</v>
      </c>
      <c r="J167" s="269">
        <f>J168</f>
        <v>0</v>
      </c>
      <c r="K167" s="269">
        <v>0</v>
      </c>
      <c r="L167" s="269">
        <f>L168</f>
        <v>0</v>
      </c>
      <c r="M167" s="269">
        <v>0</v>
      </c>
    </row>
    <row r="168" spans="1:13" s="10" customFormat="1" ht="50.25" hidden="1" customHeight="1" x14ac:dyDescent="0.25">
      <c r="A168" s="29"/>
      <c r="B168" s="162" t="s">
        <v>390</v>
      </c>
      <c r="C168" s="444">
        <v>656</v>
      </c>
      <c r="D168" s="416">
        <v>4</v>
      </c>
      <c r="E168" s="416">
        <v>9</v>
      </c>
      <c r="F168" s="353" t="s">
        <v>391</v>
      </c>
      <c r="G168" s="354">
        <v>0</v>
      </c>
      <c r="H168" s="269">
        <f>H169</f>
        <v>0</v>
      </c>
      <c r="I168" s="269">
        <v>0</v>
      </c>
      <c r="J168" s="269">
        <f>J169</f>
        <v>0</v>
      </c>
      <c r="K168" s="269">
        <v>0</v>
      </c>
      <c r="L168" s="269">
        <f>L169</f>
        <v>0</v>
      </c>
      <c r="M168" s="269">
        <v>0</v>
      </c>
    </row>
    <row r="169" spans="1:13" s="10" customFormat="1" ht="27.75" hidden="1" customHeight="1" x14ac:dyDescent="0.25">
      <c r="A169" s="29"/>
      <c r="B169" s="151" t="s">
        <v>128</v>
      </c>
      <c r="C169" s="444">
        <v>656</v>
      </c>
      <c r="D169" s="416">
        <v>4</v>
      </c>
      <c r="E169" s="416">
        <v>9</v>
      </c>
      <c r="F169" s="353" t="s">
        <v>391</v>
      </c>
      <c r="G169" s="354">
        <v>200</v>
      </c>
      <c r="H169" s="268">
        <f>H170</f>
        <v>0</v>
      </c>
      <c r="I169" s="269">
        <v>0</v>
      </c>
      <c r="J169" s="268">
        <f>J170</f>
        <v>0</v>
      </c>
      <c r="K169" s="269">
        <v>0</v>
      </c>
      <c r="L169" s="268">
        <f>L170</f>
        <v>0</v>
      </c>
      <c r="M169" s="269">
        <v>0</v>
      </c>
    </row>
    <row r="170" spans="1:13" s="39" customFormat="1" ht="24.75" hidden="1" customHeight="1" x14ac:dyDescent="0.25">
      <c r="A170" s="37"/>
      <c r="B170" s="154" t="s">
        <v>60</v>
      </c>
      <c r="C170" s="444">
        <v>656</v>
      </c>
      <c r="D170" s="416">
        <v>4</v>
      </c>
      <c r="E170" s="416">
        <v>9</v>
      </c>
      <c r="F170" s="353" t="s">
        <v>391</v>
      </c>
      <c r="G170" s="354">
        <v>244</v>
      </c>
      <c r="H170" s="268">
        <f>'по нов.7'!R37</f>
        <v>0</v>
      </c>
      <c r="I170" s="269">
        <v>0</v>
      </c>
      <c r="J170" s="268">
        <f>'по нов.7'!W37</f>
        <v>0</v>
      </c>
      <c r="K170" s="269">
        <v>0</v>
      </c>
      <c r="L170" s="268">
        <f>'по нов.7'!X37</f>
        <v>0</v>
      </c>
      <c r="M170" s="269">
        <v>0</v>
      </c>
    </row>
    <row r="171" spans="1:13" s="36" customFormat="1" ht="12" customHeight="1" thickBot="1" x14ac:dyDescent="0.3">
      <c r="A171" s="34"/>
      <c r="B171" s="159" t="s">
        <v>32</v>
      </c>
      <c r="C171" s="439">
        <v>656</v>
      </c>
      <c r="D171" s="417">
        <v>4</v>
      </c>
      <c r="E171" s="417">
        <v>10</v>
      </c>
      <c r="F171" s="399" t="s">
        <v>122</v>
      </c>
      <c r="G171" s="418">
        <v>0</v>
      </c>
      <c r="H171" s="271">
        <f>H172</f>
        <v>245898.63</v>
      </c>
      <c r="I171" s="272">
        <v>0</v>
      </c>
      <c r="J171" s="271">
        <f>J172</f>
        <v>0</v>
      </c>
      <c r="K171" s="272">
        <v>0</v>
      </c>
      <c r="L171" s="271">
        <f>L172</f>
        <v>0</v>
      </c>
      <c r="M171" s="272">
        <v>0</v>
      </c>
    </row>
    <row r="172" spans="1:13" s="10" customFormat="1" ht="38.25" customHeight="1" x14ac:dyDescent="0.25">
      <c r="A172" s="29"/>
      <c r="B172" s="239" t="s">
        <v>430</v>
      </c>
      <c r="C172" s="444">
        <v>656</v>
      </c>
      <c r="D172" s="416">
        <v>4</v>
      </c>
      <c r="E172" s="416">
        <v>10</v>
      </c>
      <c r="F172" s="353" t="s">
        <v>117</v>
      </c>
      <c r="G172" s="354">
        <v>0</v>
      </c>
      <c r="H172" s="268">
        <f>H175</f>
        <v>245898.63</v>
      </c>
      <c r="I172" s="269">
        <v>0</v>
      </c>
      <c r="J172" s="268">
        <f>J175</f>
        <v>0</v>
      </c>
      <c r="K172" s="269">
        <v>0</v>
      </c>
      <c r="L172" s="268">
        <f>L175</f>
        <v>0</v>
      </c>
      <c r="M172" s="269">
        <v>0</v>
      </c>
    </row>
    <row r="173" spans="1:13" s="10" customFormat="1" ht="48" customHeight="1" x14ac:dyDescent="0.25">
      <c r="A173" s="29"/>
      <c r="B173" s="239" t="s">
        <v>518</v>
      </c>
      <c r="C173" s="444">
        <v>656</v>
      </c>
      <c r="D173" s="416">
        <v>4</v>
      </c>
      <c r="E173" s="416">
        <v>10</v>
      </c>
      <c r="F173" s="353" t="s">
        <v>132</v>
      </c>
      <c r="G173" s="354">
        <v>0</v>
      </c>
      <c r="H173" s="268">
        <f>H174</f>
        <v>245898.63</v>
      </c>
      <c r="I173" s="269">
        <v>0</v>
      </c>
      <c r="J173" s="268">
        <f>J174</f>
        <v>0</v>
      </c>
      <c r="K173" s="269">
        <v>0</v>
      </c>
      <c r="L173" s="268">
        <f>L174</f>
        <v>0</v>
      </c>
      <c r="M173" s="269">
        <v>0</v>
      </c>
    </row>
    <row r="174" spans="1:13" s="10" customFormat="1" ht="16.5" customHeight="1" x14ac:dyDescent="0.25">
      <c r="A174" s="29"/>
      <c r="B174" s="151" t="s">
        <v>78</v>
      </c>
      <c r="C174" s="444">
        <v>656</v>
      </c>
      <c r="D174" s="416">
        <v>4</v>
      </c>
      <c r="E174" s="416">
        <v>10</v>
      </c>
      <c r="F174" s="353" t="s">
        <v>132</v>
      </c>
      <c r="G174" s="354">
        <v>800</v>
      </c>
      <c r="H174" s="268">
        <f>H175</f>
        <v>245898.63</v>
      </c>
      <c r="I174" s="269">
        <v>0</v>
      </c>
      <c r="J174" s="268">
        <f>J175</f>
        <v>0</v>
      </c>
      <c r="K174" s="269">
        <v>0</v>
      </c>
      <c r="L174" s="268">
        <f>L175</f>
        <v>0</v>
      </c>
      <c r="M174" s="269">
        <v>0</v>
      </c>
    </row>
    <row r="175" spans="1:13" s="10" customFormat="1" ht="36.75" customHeight="1" x14ac:dyDescent="0.25">
      <c r="A175" s="29"/>
      <c r="B175" s="239" t="s">
        <v>407</v>
      </c>
      <c r="C175" s="444">
        <v>656</v>
      </c>
      <c r="D175" s="416">
        <v>4</v>
      </c>
      <c r="E175" s="416">
        <v>10</v>
      </c>
      <c r="F175" s="353" t="s">
        <v>132</v>
      </c>
      <c r="G175" s="354">
        <v>810</v>
      </c>
      <c r="H175" s="268">
        <f>'по нов.7'!R179</f>
        <v>245898.63</v>
      </c>
      <c r="I175" s="269">
        <v>0</v>
      </c>
      <c r="J175" s="268">
        <f>'по нов.7'!W179</f>
        <v>0</v>
      </c>
      <c r="K175" s="269">
        <v>0</v>
      </c>
      <c r="L175" s="268">
        <f>'по нов.7'!X179</f>
        <v>0</v>
      </c>
      <c r="M175" s="269">
        <v>0</v>
      </c>
    </row>
    <row r="176" spans="1:13" s="10" customFormat="1" ht="18" customHeight="1" x14ac:dyDescent="0.25">
      <c r="A176" s="29"/>
      <c r="B176" s="159" t="s">
        <v>54</v>
      </c>
      <c r="C176" s="444">
        <v>656</v>
      </c>
      <c r="D176" s="417">
        <v>4</v>
      </c>
      <c r="E176" s="417">
        <v>12</v>
      </c>
      <c r="F176" s="353" t="s">
        <v>123</v>
      </c>
      <c r="G176" s="418">
        <v>0</v>
      </c>
      <c r="H176" s="271">
        <f>H178</f>
        <v>500000</v>
      </c>
      <c r="I176" s="272">
        <v>0</v>
      </c>
      <c r="J176" s="271">
        <f>J178</f>
        <v>0</v>
      </c>
      <c r="K176" s="272">
        <v>0</v>
      </c>
      <c r="L176" s="271">
        <f>L178</f>
        <v>0</v>
      </c>
      <c r="M176" s="272">
        <v>0</v>
      </c>
    </row>
    <row r="177" spans="1:13" s="10" customFormat="1" ht="64.2" customHeight="1" x14ac:dyDescent="0.25">
      <c r="A177" s="29"/>
      <c r="B177" s="162" t="s">
        <v>431</v>
      </c>
      <c r="C177" s="444">
        <v>656</v>
      </c>
      <c r="D177" s="416">
        <v>4</v>
      </c>
      <c r="E177" s="416">
        <v>12</v>
      </c>
      <c r="F177" s="353" t="s">
        <v>123</v>
      </c>
      <c r="G177" s="354">
        <v>0</v>
      </c>
      <c r="H177" s="268">
        <f>H178</f>
        <v>500000</v>
      </c>
      <c r="I177" s="269">
        <v>0</v>
      </c>
      <c r="J177" s="268">
        <f>J178</f>
        <v>0</v>
      </c>
      <c r="K177" s="269">
        <v>0</v>
      </c>
      <c r="L177" s="268">
        <f>L178</f>
        <v>0</v>
      </c>
      <c r="M177" s="269">
        <v>0</v>
      </c>
    </row>
    <row r="178" spans="1:13" s="10" customFormat="1" ht="136.19999999999999" customHeight="1" x14ac:dyDescent="0.25">
      <c r="A178" s="29"/>
      <c r="B178" s="162" t="s">
        <v>502</v>
      </c>
      <c r="C178" s="444">
        <v>656</v>
      </c>
      <c r="D178" s="416">
        <v>4</v>
      </c>
      <c r="E178" s="416">
        <v>12</v>
      </c>
      <c r="F178" s="388" t="s">
        <v>351</v>
      </c>
      <c r="G178" s="354">
        <v>0</v>
      </c>
      <c r="H178" s="268">
        <f>H180</f>
        <v>500000</v>
      </c>
      <c r="I178" s="269">
        <v>0</v>
      </c>
      <c r="J178" s="268">
        <f>J179</f>
        <v>0</v>
      </c>
      <c r="K178" s="269">
        <v>0</v>
      </c>
      <c r="L178" s="268">
        <f>L180</f>
        <v>0</v>
      </c>
      <c r="M178" s="269">
        <v>0</v>
      </c>
    </row>
    <row r="179" spans="1:13" s="10" customFormat="1" ht="16.5" customHeight="1" x14ac:dyDescent="0.25">
      <c r="A179" s="29"/>
      <c r="B179" s="239" t="s">
        <v>74</v>
      </c>
      <c r="C179" s="444">
        <v>656</v>
      </c>
      <c r="D179" s="416">
        <v>4</v>
      </c>
      <c r="E179" s="416">
        <v>12</v>
      </c>
      <c r="F179" s="353" t="s">
        <v>351</v>
      </c>
      <c r="G179" s="354">
        <v>500</v>
      </c>
      <c r="H179" s="268">
        <f>H180</f>
        <v>500000</v>
      </c>
      <c r="I179" s="269">
        <v>0</v>
      </c>
      <c r="J179" s="268">
        <f>J180</f>
        <v>0</v>
      </c>
      <c r="K179" s="269">
        <v>0</v>
      </c>
      <c r="L179" s="268">
        <f>L180</f>
        <v>0</v>
      </c>
      <c r="M179" s="269">
        <v>0</v>
      </c>
    </row>
    <row r="180" spans="1:13" s="10" customFormat="1" ht="18.75" customHeight="1" thickBot="1" x14ac:dyDescent="0.3">
      <c r="A180" s="29"/>
      <c r="B180" s="239" t="s">
        <v>63</v>
      </c>
      <c r="C180" s="444">
        <v>656</v>
      </c>
      <c r="D180" s="416">
        <v>4</v>
      </c>
      <c r="E180" s="416">
        <v>12</v>
      </c>
      <c r="F180" s="388" t="s">
        <v>351</v>
      </c>
      <c r="G180" s="354">
        <v>540</v>
      </c>
      <c r="H180" s="268">
        <f>'по нов.7'!R225</f>
        <v>500000</v>
      </c>
      <c r="I180" s="269">
        <v>0</v>
      </c>
      <c r="J180" s="268">
        <f>'по нов.7'!W225</f>
        <v>0</v>
      </c>
      <c r="K180" s="269">
        <v>0</v>
      </c>
      <c r="L180" s="268">
        <f>'по нов.7'!X225</f>
        <v>0</v>
      </c>
      <c r="M180" s="269">
        <v>0</v>
      </c>
    </row>
    <row r="181" spans="1:13" s="10" customFormat="1" ht="15.75" customHeight="1" thickBot="1" x14ac:dyDescent="0.3">
      <c r="A181" s="29"/>
      <c r="B181" s="158" t="s">
        <v>19</v>
      </c>
      <c r="C181" s="439">
        <v>656</v>
      </c>
      <c r="D181" s="398">
        <v>5</v>
      </c>
      <c r="E181" s="398">
        <v>0</v>
      </c>
      <c r="F181" s="399" t="s">
        <v>122</v>
      </c>
      <c r="G181" s="373">
        <v>0</v>
      </c>
      <c r="H181" s="264">
        <f t="shared" ref="H181:M181" si="13">H182+H197+H214</f>
        <v>30546459.710000001</v>
      </c>
      <c r="I181" s="265">
        <f t="shared" si="13"/>
        <v>0</v>
      </c>
      <c r="J181" s="264">
        <f t="shared" si="13"/>
        <v>3785310</v>
      </c>
      <c r="K181" s="265">
        <f t="shared" si="13"/>
        <v>0</v>
      </c>
      <c r="L181" s="264">
        <f t="shared" si="13"/>
        <v>3943720</v>
      </c>
      <c r="M181" s="265">
        <f t="shared" si="13"/>
        <v>0</v>
      </c>
    </row>
    <row r="182" spans="1:13" s="36" customFormat="1" ht="16.5" customHeight="1" thickBot="1" x14ac:dyDescent="0.3">
      <c r="A182" s="34"/>
      <c r="B182" s="163" t="s">
        <v>50</v>
      </c>
      <c r="C182" s="439">
        <v>656</v>
      </c>
      <c r="D182" s="422">
        <v>5</v>
      </c>
      <c r="E182" s="422">
        <v>1</v>
      </c>
      <c r="F182" s="399" t="s">
        <v>122</v>
      </c>
      <c r="G182" s="423">
        <v>0</v>
      </c>
      <c r="H182" s="266">
        <f>H185+H187+H194</f>
        <v>17773681.68</v>
      </c>
      <c r="I182" s="267">
        <v>0</v>
      </c>
      <c r="J182" s="266">
        <f>J185+J187+J194</f>
        <v>3785310</v>
      </c>
      <c r="K182" s="267">
        <v>0</v>
      </c>
      <c r="L182" s="266">
        <f>L185+L187+L194</f>
        <v>3943720</v>
      </c>
      <c r="M182" s="267">
        <v>0</v>
      </c>
    </row>
    <row r="183" spans="1:13" s="36" customFormat="1" ht="37.5" customHeight="1" x14ac:dyDescent="0.25">
      <c r="A183" s="34"/>
      <c r="B183" s="156" t="s">
        <v>433</v>
      </c>
      <c r="C183" s="444">
        <v>656</v>
      </c>
      <c r="D183" s="416">
        <v>5</v>
      </c>
      <c r="E183" s="416">
        <v>1</v>
      </c>
      <c r="F183" s="353" t="s">
        <v>117</v>
      </c>
      <c r="G183" s="361">
        <v>0</v>
      </c>
      <c r="H183" s="278">
        <f>H184</f>
        <v>3633270</v>
      </c>
      <c r="I183" s="279">
        <v>0</v>
      </c>
      <c r="J183" s="278">
        <f>J184</f>
        <v>3785310</v>
      </c>
      <c r="K183" s="279">
        <v>0</v>
      </c>
      <c r="L183" s="278">
        <f>L184</f>
        <v>3943720</v>
      </c>
      <c r="M183" s="279">
        <v>0</v>
      </c>
    </row>
    <row r="184" spans="1:13" s="36" customFormat="1" ht="78" customHeight="1" x14ac:dyDescent="0.25">
      <c r="A184" s="34"/>
      <c r="B184" s="164" t="s">
        <v>503</v>
      </c>
      <c r="C184" s="444">
        <v>656</v>
      </c>
      <c r="D184" s="416">
        <v>5</v>
      </c>
      <c r="E184" s="416">
        <v>1</v>
      </c>
      <c r="F184" s="353" t="s">
        <v>129</v>
      </c>
      <c r="G184" s="361">
        <v>0</v>
      </c>
      <c r="H184" s="278">
        <f>H185</f>
        <v>3633270</v>
      </c>
      <c r="I184" s="279"/>
      <c r="J184" s="278">
        <f>J185</f>
        <v>3785310</v>
      </c>
      <c r="K184" s="279"/>
      <c r="L184" s="278">
        <f>L185</f>
        <v>3943720</v>
      </c>
      <c r="M184" s="279"/>
    </row>
    <row r="185" spans="1:13" s="10" customFormat="1" ht="18" customHeight="1" x14ac:dyDescent="0.25">
      <c r="A185" s="29"/>
      <c r="B185" s="151" t="s">
        <v>78</v>
      </c>
      <c r="C185" s="444">
        <v>656</v>
      </c>
      <c r="D185" s="416">
        <v>5</v>
      </c>
      <c r="E185" s="416">
        <v>1</v>
      </c>
      <c r="F185" s="353" t="s">
        <v>129</v>
      </c>
      <c r="G185" s="354">
        <v>800</v>
      </c>
      <c r="H185" s="268">
        <f>H186</f>
        <v>3633270</v>
      </c>
      <c r="I185" s="269">
        <v>0</v>
      </c>
      <c r="J185" s="268">
        <f>J186</f>
        <v>3785310</v>
      </c>
      <c r="K185" s="269">
        <v>0</v>
      </c>
      <c r="L185" s="268">
        <f>L186</f>
        <v>3943720</v>
      </c>
      <c r="M185" s="269">
        <v>0</v>
      </c>
    </row>
    <row r="186" spans="1:13" s="10" customFormat="1" ht="39" customHeight="1" x14ac:dyDescent="0.25">
      <c r="A186" s="29"/>
      <c r="B186" s="239" t="s">
        <v>408</v>
      </c>
      <c r="C186" s="444">
        <v>656</v>
      </c>
      <c r="D186" s="416">
        <v>5</v>
      </c>
      <c r="E186" s="416">
        <v>1</v>
      </c>
      <c r="F186" s="353" t="s">
        <v>129</v>
      </c>
      <c r="G186" s="354">
        <v>810</v>
      </c>
      <c r="H186" s="268">
        <f>'по нов.7'!R182</f>
        <v>3633270</v>
      </c>
      <c r="I186" s="269">
        <v>0</v>
      </c>
      <c r="J186" s="268">
        <f>'по нов.7'!W182</f>
        <v>3785310</v>
      </c>
      <c r="K186" s="269">
        <v>0</v>
      </c>
      <c r="L186" s="268">
        <f>'по нов.7'!X182</f>
        <v>3943720</v>
      </c>
      <c r="M186" s="269">
        <v>0</v>
      </c>
    </row>
    <row r="187" spans="1:13" s="10" customFormat="1" ht="72" customHeight="1" x14ac:dyDescent="0.25">
      <c r="A187" s="29"/>
      <c r="B187" s="162" t="s">
        <v>432</v>
      </c>
      <c r="C187" s="444">
        <v>656</v>
      </c>
      <c r="D187" s="416">
        <v>5</v>
      </c>
      <c r="E187" s="416">
        <v>1</v>
      </c>
      <c r="F187" s="353" t="s">
        <v>125</v>
      </c>
      <c r="G187" s="354">
        <v>0</v>
      </c>
      <c r="H187" s="268">
        <f>H190</f>
        <v>397000</v>
      </c>
      <c r="I187" s="269">
        <v>0</v>
      </c>
      <c r="J187" s="268">
        <f>J190</f>
        <v>0</v>
      </c>
      <c r="K187" s="269">
        <v>0</v>
      </c>
      <c r="L187" s="268">
        <f>L190</f>
        <v>0</v>
      </c>
      <c r="M187" s="269">
        <v>0</v>
      </c>
    </row>
    <row r="188" spans="1:13" s="10" customFormat="1" ht="62.25" customHeight="1" x14ac:dyDescent="0.25">
      <c r="A188" s="29"/>
      <c r="B188" s="239" t="s">
        <v>505</v>
      </c>
      <c r="C188" s="444">
        <v>656</v>
      </c>
      <c r="D188" s="416">
        <v>5</v>
      </c>
      <c r="E188" s="416">
        <v>1</v>
      </c>
      <c r="F188" s="353" t="s">
        <v>120</v>
      </c>
      <c r="G188" s="354">
        <v>0</v>
      </c>
      <c r="H188" s="268">
        <f>H189</f>
        <v>397000</v>
      </c>
      <c r="I188" s="269">
        <v>0</v>
      </c>
      <c r="J188" s="268">
        <f>J189</f>
        <v>0</v>
      </c>
      <c r="K188" s="269">
        <v>0</v>
      </c>
      <c r="L188" s="268">
        <f>L189</f>
        <v>0</v>
      </c>
      <c r="M188" s="269">
        <v>0</v>
      </c>
    </row>
    <row r="189" spans="1:13" s="10" customFormat="1" ht="31.5" customHeight="1" x14ac:dyDescent="0.25">
      <c r="A189" s="29"/>
      <c r="B189" s="151" t="s">
        <v>128</v>
      </c>
      <c r="C189" s="444">
        <v>656</v>
      </c>
      <c r="D189" s="416">
        <v>5</v>
      </c>
      <c r="E189" s="416">
        <v>1</v>
      </c>
      <c r="F189" s="353" t="s">
        <v>120</v>
      </c>
      <c r="G189" s="354">
        <v>200</v>
      </c>
      <c r="H189" s="268">
        <f>H190</f>
        <v>397000</v>
      </c>
      <c r="I189" s="269">
        <v>0</v>
      </c>
      <c r="J189" s="268">
        <f>J190</f>
        <v>0</v>
      </c>
      <c r="K189" s="269">
        <v>0</v>
      </c>
      <c r="L189" s="268">
        <f>L190</f>
        <v>0</v>
      </c>
      <c r="M189" s="269">
        <v>0</v>
      </c>
    </row>
    <row r="190" spans="1:13" s="10" customFormat="1" ht="25.5" customHeight="1" x14ac:dyDescent="0.25">
      <c r="A190" s="29"/>
      <c r="B190" s="229" t="s">
        <v>506</v>
      </c>
      <c r="C190" s="444">
        <v>656</v>
      </c>
      <c r="D190" s="416">
        <v>5</v>
      </c>
      <c r="E190" s="416">
        <v>1</v>
      </c>
      <c r="F190" s="353" t="s">
        <v>120</v>
      </c>
      <c r="G190" s="354">
        <v>244</v>
      </c>
      <c r="H190" s="268">
        <f>'по нов.7'!R232</f>
        <v>397000</v>
      </c>
      <c r="I190" s="269">
        <v>0</v>
      </c>
      <c r="J190" s="268">
        <f>'по нов.7'!W232</f>
        <v>0</v>
      </c>
      <c r="K190" s="269">
        <v>0</v>
      </c>
      <c r="L190" s="268">
        <f>'по нов.7'!X232</f>
        <v>0</v>
      </c>
      <c r="M190" s="269">
        <v>0</v>
      </c>
    </row>
    <row r="191" spans="1:13" s="33" customFormat="1" ht="48" hidden="1" customHeight="1" thickBot="1" x14ac:dyDescent="0.35">
      <c r="A191" s="31"/>
      <c r="B191" s="239"/>
      <c r="C191" s="448"/>
      <c r="D191" s="416"/>
      <c r="E191" s="416"/>
      <c r="F191" s="353"/>
      <c r="G191" s="354"/>
      <c r="H191" s="268"/>
      <c r="I191" s="280"/>
      <c r="J191" s="268"/>
      <c r="K191" s="280"/>
      <c r="L191" s="268"/>
      <c r="M191" s="280"/>
    </row>
    <row r="192" spans="1:13" s="33" customFormat="1" ht="36" hidden="1" customHeight="1" thickBot="1" x14ac:dyDescent="0.35">
      <c r="A192" s="31"/>
      <c r="B192" s="239"/>
      <c r="C192" s="448"/>
      <c r="D192" s="416"/>
      <c r="E192" s="416"/>
      <c r="F192" s="353"/>
      <c r="G192" s="354"/>
      <c r="H192" s="268"/>
      <c r="I192" s="280"/>
      <c r="J192" s="268"/>
      <c r="K192" s="280"/>
      <c r="L192" s="268"/>
      <c r="M192" s="280"/>
    </row>
    <row r="193" spans="1:13" s="10" customFormat="1" ht="60" customHeight="1" x14ac:dyDescent="0.25">
      <c r="A193" s="29"/>
      <c r="B193" s="162" t="s">
        <v>585</v>
      </c>
      <c r="C193" s="444">
        <v>656</v>
      </c>
      <c r="D193" s="416">
        <v>5</v>
      </c>
      <c r="E193" s="416">
        <v>1</v>
      </c>
      <c r="F193" s="353" t="s">
        <v>123</v>
      </c>
      <c r="G193" s="354">
        <v>0</v>
      </c>
      <c r="H193" s="268">
        <f>H196+H203</f>
        <v>13743411.68</v>
      </c>
      <c r="I193" s="269">
        <v>0</v>
      </c>
      <c r="J193" s="268">
        <f>J196+J203</f>
        <v>0</v>
      </c>
      <c r="K193" s="269">
        <v>0</v>
      </c>
      <c r="L193" s="268">
        <f>L196+L203</f>
        <v>0</v>
      </c>
      <c r="M193" s="269">
        <v>0</v>
      </c>
    </row>
    <row r="194" spans="1:13" s="10" customFormat="1" ht="135.75" customHeight="1" x14ac:dyDescent="0.25">
      <c r="A194" s="29"/>
      <c r="B194" s="162" t="s">
        <v>578</v>
      </c>
      <c r="C194" s="444">
        <v>656</v>
      </c>
      <c r="D194" s="416">
        <v>5</v>
      </c>
      <c r="E194" s="416">
        <v>1</v>
      </c>
      <c r="F194" s="353" t="s">
        <v>351</v>
      </c>
      <c r="G194" s="354">
        <v>0</v>
      </c>
      <c r="H194" s="268">
        <f>H195</f>
        <v>13743411.68</v>
      </c>
      <c r="I194" s="269">
        <v>0</v>
      </c>
      <c r="J194" s="268">
        <f>J195</f>
        <v>0</v>
      </c>
      <c r="K194" s="269">
        <v>0</v>
      </c>
      <c r="L194" s="268">
        <f>L195</f>
        <v>0</v>
      </c>
      <c r="M194" s="269">
        <v>0</v>
      </c>
    </row>
    <row r="195" spans="1:13" s="10" customFormat="1" ht="20.25" customHeight="1" x14ac:dyDescent="0.25">
      <c r="A195" s="29"/>
      <c r="B195" s="239" t="s">
        <v>74</v>
      </c>
      <c r="C195" s="444">
        <v>656</v>
      </c>
      <c r="D195" s="416">
        <v>5</v>
      </c>
      <c r="E195" s="416">
        <v>1</v>
      </c>
      <c r="F195" s="353" t="s">
        <v>351</v>
      </c>
      <c r="G195" s="354">
        <v>500</v>
      </c>
      <c r="H195" s="268">
        <f>H196</f>
        <v>13743411.68</v>
      </c>
      <c r="I195" s="269">
        <v>0</v>
      </c>
      <c r="J195" s="268">
        <f>J196</f>
        <v>0</v>
      </c>
      <c r="K195" s="269">
        <v>0</v>
      </c>
      <c r="L195" s="268">
        <f>L196</f>
        <v>0</v>
      </c>
      <c r="M195" s="269">
        <v>0</v>
      </c>
    </row>
    <row r="196" spans="1:13" s="10" customFormat="1" ht="17.25" customHeight="1" thickBot="1" x14ac:dyDescent="0.3">
      <c r="A196" s="29"/>
      <c r="B196" s="239" t="s">
        <v>63</v>
      </c>
      <c r="C196" s="444">
        <v>656</v>
      </c>
      <c r="D196" s="416">
        <v>5</v>
      </c>
      <c r="E196" s="416">
        <v>1</v>
      </c>
      <c r="F196" s="353" t="s">
        <v>351</v>
      </c>
      <c r="G196" s="354">
        <v>540</v>
      </c>
      <c r="H196" s="268">
        <f>'по нов.7'!R219</f>
        <v>13743411.68</v>
      </c>
      <c r="I196" s="269">
        <v>0</v>
      </c>
      <c r="J196" s="268">
        <f>'по нов.7'!T219</f>
        <v>0</v>
      </c>
      <c r="K196" s="269">
        <v>0</v>
      </c>
      <c r="L196" s="268">
        <f>'по нов.7'!V219</f>
        <v>0</v>
      </c>
      <c r="M196" s="269">
        <v>0</v>
      </c>
    </row>
    <row r="197" spans="1:13" s="36" customFormat="1" ht="14.25" customHeight="1" thickBot="1" x14ac:dyDescent="0.3">
      <c r="A197" s="34"/>
      <c r="B197" s="159" t="s">
        <v>57</v>
      </c>
      <c r="C197" s="439">
        <v>656</v>
      </c>
      <c r="D197" s="417">
        <v>5</v>
      </c>
      <c r="E197" s="417">
        <v>2</v>
      </c>
      <c r="F197" s="399" t="s">
        <v>122</v>
      </c>
      <c r="G197" s="418">
        <v>0</v>
      </c>
      <c r="H197" s="271">
        <f>H198</f>
        <v>10637920</v>
      </c>
      <c r="I197" s="272">
        <v>0</v>
      </c>
      <c r="J197" s="271">
        <f>J198</f>
        <v>0</v>
      </c>
      <c r="K197" s="272">
        <v>0</v>
      </c>
      <c r="L197" s="271">
        <f>L198</f>
        <v>0</v>
      </c>
      <c r="M197" s="272">
        <v>0</v>
      </c>
    </row>
    <row r="198" spans="1:13" s="10" customFormat="1" ht="60" customHeight="1" x14ac:dyDescent="0.25">
      <c r="A198" s="29"/>
      <c r="B198" s="162" t="s">
        <v>434</v>
      </c>
      <c r="C198" s="444">
        <v>656</v>
      </c>
      <c r="D198" s="416">
        <v>5</v>
      </c>
      <c r="E198" s="416">
        <v>2</v>
      </c>
      <c r="F198" s="353" t="s">
        <v>123</v>
      </c>
      <c r="G198" s="354">
        <v>0</v>
      </c>
      <c r="H198" s="268">
        <f>H199+H211+H208</f>
        <v>10637920</v>
      </c>
      <c r="I198" s="269">
        <v>0</v>
      </c>
      <c r="J198" s="268">
        <f>J199+J211+J208</f>
        <v>0</v>
      </c>
      <c r="K198" s="269">
        <v>0</v>
      </c>
      <c r="L198" s="268">
        <f>L199+L211+L208</f>
        <v>0</v>
      </c>
      <c r="M198" s="269">
        <v>0</v>
      </c>
    </row>
    <row r="199" spans="1:13" s="10" customFormat="1" ht="134.4" customHeight="1" x14ac:dyDescent="0.25">
      <c r="A199" s="29"/>
      <c r="B199" s="86" t="s">
        <v>524</v>
      </c>
      <c r="C199" s="444">
        <v>656</v>
      </c>
      <c r="D199" s="416">
        <v>5</v>
      </c>
      <c r="E199" s="416">
        <v>2</v>
      </c>
      <c r="F199" s="353" t="s">
        <v>119</v>
      </c>
      <c r="G199" s="354">
        <v>0</v>
      </c>
      <c r="H199" s="268">
        <f>H200</f>
        <v>10637920</v>
      </c>
      <c r="I199" s="269">
        <v>0</v>
      </c>
      <c r="J199" s="268">
        <f>J200</f>
        <v>0</v>
      </c>
      <c r="K199" s="269">
        <v>0</v>
      </c>
      <c r="L199" s="268">
        <f>L200</f>
        <v>0</v>
      </c>
      <c r="M199" s="269">
        <v>0</v>
      </c>
    </row>
    <row r="200" spans="1:13" s="10" customFormat="1" ht="20.25" customHeight="1" x14ac:dyDescent="0.25">
      <c r="A200" s="29"/>
      <c r="B200" s="239" t="s">
        <v>74</v>
      </c>
      <c r="C200" s="444">
        <v>656</v>
      </c>
      <c r="D200" s="416">
        <v>5</v>
      </c>
      <c r="E200" s="416">
        <v>2</v>
      </c>
      <c r="F200" s="353" t="s">
        <v>119</v>
      </c>
      <c r="G200" s="354">
        <v>500</v>
      </c>
      <c r="H200" s="268">
        <f>H201</f>
        <v>10637920</v>
      </c>
      <c r="I200" s="269">
        <v>0</v>
      </c>
      <c r="J200" s="268">
        <f>J201</f>
        <v>0</v>
      </c>
      <c r="K200" s="269">
        <v>0</v>
      </c>
      <c r="L200" s="268">
        <f>L201</f>
        <v>0</v>
      </c>
      <c r="M200" s="269">
        <v>0</v>
      </c>
    </row>
    <row r="201" spans="1:13" s="10" customFormat="1" ht="17.25" customHeight="1" thickBot="1" x14ac:dyDescent="0.3">
      <c r="A201" s="29"/>
      <c r="B201" s="239" t="s">
        <v>63</v>
      </c>
      <c r="C201" s="444">
        <v>656</v>
      </c>
      <c r="D201" s="416">
        <v>5</v>
      </c>
      <c r="E201" s="416">
        <v>2</v>
      </c>
      <c r="F201" s="353" t="s">
        <v>119</v>
      </c>
      <c r="G201" s="354">
        <v>540</v>
      </c>
      <c r="H201" s="268">
        <f>'по нов.7'!R210</f>
        <v>10637920</v>
      </c>
      <c r="I201" s="269">
        <v>0</v>
      </c>
      <c r="J201" s="268">
        <f>'по нов.7'!W210</f>
        <v>0</v>
      </c>
      <c r="K201" s="269">
        <v>0</v>
      </c>
      <c r="L201" s="268">
        <f>'по нов.7'!X210</f>
        <v>0</v>
      </c>
      <c r="M201" s="269">
        <v>0</v>
      </c>
    </row>
    <row r="202" spans="1:13" s="10" customFormat="1" ht="55.5" hidden="1" customHeight="1" x14ac:dyDescent="0.25">
      <c r="A202" s="29"/>
      <c r="B202" s="239"/>
      <c r="C202" s="441"/>
      <c r="D202" s="416"/>
      <c r="E202" s="416"/>
      <c r="F202" s="353"/>
      <c r="G202" s="354"/>
      <c r="H202" s="268"/>
      <c r="I202" s="269"/>
      <c r="J202" s="268"/>
      <c r="K202" s="269"/>
      <c r="L202" s="268"/>
      <c r="M202" s="269"/>
    </row>
    <row r="203" spans="1:13" s="10" customFormat="1" ht="14.25" hidden="1" customHeight="1" x14ac:dyDescent="0.25">
      <c r="A203" s="29"/>
      <c r="B203" s="239"/>
      <c r="C203" s="441"/>
      <c r="D203" s="416"/>
      <c r="E203" s="416"/>
      <c r="F203" s="353"/>
      <c r="G203" s="354"/>
      <c r="H203" s="268"/>
      <c r="I203" s="269"/>
      <c r="J203" s="268"/>
      <c r="K203" s="269"/>
      <c r="L203" s="268"/>
      <c r="M203" s="269"/>
    </row>
    <row r="204" spans="1:13" s="10" customFormat="1" ht="27" hidden="1" customHeight="1" x14ac:dyDescent="0.25">
      <c r="A204" s="29"/>
      <c r="B204" s="239"/>
      <c r="C204" s="441"/>
      <c r="D204" s="416"/>
      <c r="E204" s="416"/>
      <c r="F204" s="353"/>
      <c r="G204" s="354"/>
      <c r="H204" s="268"/>
      <c r="I204" s="269"/>
      <c r="J204" s="268"/>
      <c r="K204" s="269"/>
      <c r="L204" s="268"/>
      <c r="M204" s="269"/>
    </row>
    <row r="205" spans="1:13" s="10" customFormat="1" ht="18" hidden="1" customHeight="1" x14ac:dyDescent="0.25">
      <c r="A205" s="29"/>
      <c r="B205" s="239"/>
      <c r="C205" s="441"/>
      <c r="D205" s="416"/>
      <c r="E205" s="416"/>
      <c r="F205" s="353"/>
      <c r="G205" s="354"/>
      <c r="H205" s="268"/>
      <c r="I205" s="269"/>
      <c r="J205" s="268"/>
      <c r="K205" s="269"/>
      <c r="L205" s="268"/>
      <c r="M205" s="269"/>
    </row>
    <row r="206" spans="1:13" s="10" customFormat="1" ht="18" hidden="1" customHeight="1" x14ac:dyDescent="0.25">
      <c r="A206" s="29"/>
      <c r="B206" s="239"/>
      <c r="C206" s="441"/>
      <c r="D206" s="416"/>
      <c r="E206" s="416"/>
      <c r="F206" s="353"/>
      <c r="G206" s="354"/>
      <c r="H206" s="268"/>
      <c r="I206" s="269"/>
      <c r="J206" s="268"/>
      <c r="K206" s="269"/>
      <c r="L206" s="268"/>
      <c r="M206" s="269"/>
    </row>
    <row r="207" spans="1:13" s="10" customFormat="1" ht="48.6" hidden="1" customHeight="1" x14ac:dyDescent="0.25">
      <c r="A207" s="29"/>
      <c r="B207" s="239"/>
      <c r="C207" s="441"/>
      <c r="D207" s="416"/>
      <c r="E207" s="416"/>
      <c r="F207" s="353"/>
      <c r="G207" s="354"/>
      <c r="H207" s="268"/>
      <c r="I207" s="269"/>
      <c r="J207" s="268"/>
      <c r="K207" s="269"/>
      <c r="L207" s="268"/>
      <c r="M207" s="269"/>
    </row>
    <row r="208" spans="1:13" s="10" customFormat="1" ht="148.5" hidden="1" customHeight="1" thickBot="1" x14ac:dyDescent="0.3">
      <c r="A208" s="29"/>
      <c r="B208" s="162" t="s">
        <v>584</v>
      </c>
      <c r="C208" s="444">
        <v>656</v>
      </c>
      <c r="D208" s="416">
        <v>5</v>
      </c>
      <c r="E208" s="416">
        <v>2</v>
      </c>
      <c r="F208" s="353" t="s">
        <v>119</v>
      </c>
      <c r="G208" s="354">
        <v>0</v>
      </c>
      <c r="H208" s="268">
        <f>H209</f>
        <v>0</v>
      </c>
      <c r="I208" s="269">
        <v>0</v>
      </c>
      <c r="J208" s="268">
        <f>J209</f>
        <v>0</v>
      </c>
      <c r="K208" s="269">
        <v>0</v>
      </c>
      <c r="L208" s="268">
        <f>L209</f>
        <v>0</v>
      </c>
      <c r="M208" s="269">
        <v>0</v>
      </c>
    </row>
    <row r="209" spans="1:13" s="10" customFormat="1" ht="20.25" hidden="1" customHeight="1" thickBot="1" x14ac:dyDescent="0.3">
      <c r="A209" s="29"/>
      <c r="B209" s="239" t="s">
        <v>74</v>
      </c>
      <c r="C209" s="444">
        <v>656</v>
      </c>
      <c r="D209" s="416">
        <v>5</v>
      </c>
      <c r="E209" s="416">
        <v>2</v>
      </c>
      <c r="F209" s="353" t="s">
        <v>119</v>
      </c>
      <c r="G209" s="354">
        <v>500</v>
      </c>
      <c r="H209" s="268">
        <f>H210</f>
        <v>0</v>
      </c>
      <c r="I209" s="269">
        <v>0</v>
      </c>
      <c r="J209" s="268">
        <f>J210</f>
        <v>0</v>
      </c>
      <c r="K209" s="269">
        <v>0</v>
      </c>
      <c r="L209" s="268">
        <f>L210</f>
        <v>0</v>
      </c>
      <c r="M209" s="269">
        <v>0</v>
      </c>
    </row>
    <row r="210" spans="1:13" s="10" customFormat="1" ht="17.25" hidden="1" customHeight="1" x14ac:dyDescent="0.25">
      <c r="A210" s="29"/>
      <c r="B210" s="239" t="s">
        <v>63</v>
      </c>
      <c r="C210" s="444">
        <v>656</v>
      </c>
      <c r="D210" s="416">
        <v>5</v>
      </c>
      <c r="E210" s="416">
        <v>2</v>
      </c>
      <c r="F210" s="353" t="s">
        <v>119</v>
      </c>
      <c r="G210" s="354">
        <v>540</v>
      </c>
      <c r="H210" s="268"/>
      <c r="I210" s="269">
        <v>0</v>
      </c>
      <c r="J210" s="268">
        <f>'по нов.7'!T222</f>
        <v>0</v>
      </c>
      <c r="K210" s="269">
        <v>0</v>
      </c>
      <c r="L210" s="268">
        <f>'по нов.7'!V222</f>
        <v>0</v>
      </c>
      <c r="M210" s="269">
        <v>0</v>
      </c>
    </row>
    <row r="211" spans="1:13" s="10" customFormat="1" ht="138.75" hidden="1" customHeight="1" x14ac:dyDescent="0.25">
      <c r="A211" s="29"/>
      <c r="B211" s="162" t="s">
        <v>354</v>
      </c>
      <c r="C211" s="444">
        <v>656</v>
      </c>
      <c r="D211" s="416">
        <v>5</v>
      </c>
      <c r="E211" s="416">
        <v>2</v>
      </c>
      <c r="F211" s="353" t="s">
        <v>351</v>
      </c>
      <c r="G211" s="354">
        <v>0</v>
      </c>
      <c r="H211" s="268">
        <f>H212</f>
        <v>0</v>
      </c>
      <c r="I211" s="269">
        <v>0</v>
      </c>
      <c r="J211" s="268">
        <f>J212</f>
        <v>0</v>
      </c>
      <c r="K211" s="269">
        <v>0</v>
      </c>
      <c r="L211" s="268">
        <f>L212</f>
        <v>0</v>
      </c>
      <c r="M211" s="269">
        <v>0</v>
      </c>
    </row>
    <row r="212" spans="1:13" s="10" customFormat="1" ht="20.25" hidden="1" customHeight="1" x14ac:dyDescent="0.25">
      <c r="A212" s="29"/>
      <c r="B212" s="239" t="s">
        <v>74</v>
      </c>
      <c r="C212" s="444">
        <v>656</v>
      </c>
      <c r="D212" s="416">
        <v>5</v>
      </c>
      <c r="E212" s="416">
        <v>2</v>
      </c>
      <c r="F212" s="353" t="s">
        <v>351</v>
      </c>
      <c r="G212" s="354">
        <v>500</v>
      </c>
      <c r="H212" s="268">
        <f>H213</f>
        <v>0</v>
      </c>
      <c r="I212" s="269">
        <v>0</v>
      </c>
      <c r="J212" s="268">
        <f>J213</f>
        <v>0</v>
      </c>
      <c r="K212" s="269">
        <v>0</v>
      </c>
      <c r="L212" s="268">
        <f>L213</f>
        <v>0</v>
      </c>
      <c r="M212" s="269">
        <v>0</v>
      </c>
    </row>
    <row r="213" spans="1:13" s="10" customFormat="1" ht="17.25" hidden="1" customHeight="1" x14ac:dyDescent="0.25">
      <c r="A213" s="29"/>
      <c r="B213" s="239" t="s">
        <v>63</v>
      </c>
      <c r="C213" s="444">
        <v>656</v>
      </c>
      <c r="D213" s="416">
        <v>5</v>
      </c>
      <c r="E213" s="416">
        <v>2</v>
      </c>
      <c r="F213" s="353" t="s">
        <v>351</v>
      </c>
      <c r="G213" s="354">
        <v>540</v>
      </c>
      <c r="H213" s="268">
        <v>0</v>
      </c>
      <c r="I213" s="269">
        <v>0</v>
      </c>
      <c r="J213" s="268">
        <v>0</v>
      </c>
      <c r="K213" s="269">
        <v>0</v>
      </c>
      <c r="L213" s="268">
        <v>0</v>
      </c>
      <c r="M213" s="269">
        <v>0</v>
      </c>
    </row>
    <row r="214" spans="1:13" s="36" customFormat="1" ht="13.5" customHeight="1" thickBot="1" x14ac:dyDescent="0.3">
      <c r="A214" s="34"/>
      <c r="B214" s="165" t="s">
        <v>39</v>
      </c>
      <c r="C214" s="439">
        <v>656</v>
      </c>
      <c r="D214" s="405">
        <v>5</v>
      </c>
      <c r="E214" s="405">
        <v>3</v>
      </c>
      <c r="F214" s="399" t="s">
        <v>122</v>
      </c>
      <c r="G214" s="346">
        <v>0</v>
      </c>
      <c r="H214" s="271">
        <f>H215+H223+H227+H230+H233+H237</f>
        <v>2134858.0300000003</v>
      </c>
      <c r="I214" s="271">
        <f t="shared" ref="I214:M214" si="14">I215+I223+I227+I230+I233+I237</f>
        <v>0</v>
      </c>
      <c r="J214" s="271">
        <f t="shared" si="14"/>
        <v>0</v>
      </c>
      <c r="K214" s="271">
        <f t="shared" si="14"/>
        <v>0</v>
      </c>
      <c r="L214" s="271">
        <f t="shared" si="14"/>
        <v>0</v>
      </c>
      <c r="M214" s="271">
        <f t="shared" si="14"/>
        <v>0</v>
      </c>
    </row>
    <row r="215" spans="1:13" s="10" customFormat="1" ht="38.25" customHeight="1" x14ac:dyDescent="0.25">
      <c r="A215" s="29"/>
      <c r="B215" s="239" t="s">
        <v>433</v>
      </c>
      <c r="C215" s="444">
        <v>656</v>
      </c>
      <c r="D215" s="416">
        <v>5</v>
      </c>
      <c r="E215" s="416">
        <v>3</v>
      </c>
      <c r="F215" s="353" t="s">
        <v>117</v>
      </c>
      <c r="G215" s="354">
        <v>0</v>
      </c>
      <c r="H215" s="268">
        <f>H218</f>
        <v>759165</v>
      </c>
      <c r="I215" s="269">
        <v>0</v>
      </c>
      <c r="J215" s="268">
        <f>J218</f>
        <v>0</v>
      </c>
      <c r="K215" s="269">
        <v>0</v>
      </c>
      <c r="L215" s="268">
        <f>L218</f>
        <v>0</v>
      </c>
      <c r="M215" s="269">
        <v>0</v>
      </c>
    </row>
    <row r="216" spans="1:13" s="10" customFormat="1" ht="53.25" customHeight="1" x14ac:dyDescent="0.25">
      <c r="A216" s="29"/>
      <c r="B216" s="239" t="s">
        <v>495</v>
      </c>
      <c r="C216" s="444">
        <v>656</v>
      </c>
      <c r="D216" s="402">
        <v>5</v>
      </c>
      <c r="E216" s="402">
        <v>3</v>
      </c>
      <c r="F216" s="353" t="s">
        <v>130</v>
      </c>
      <c r="G216" s="354">
        <v>0</v>
      </c>
      <c r="H216" s="268">
        <f>H217</f>
        <v>759165</v>
      </c>
      <c r="I216" s="269">
        <v>0</v>
      </c>
      <c r="J216" s="268">
        <f>J217</f>
        <v>0</v>
      </c>
      <c r="K216" s="269">
        <v>0</v>
      </c>
      <c r="L216" s="268">
        <f>L217</f>
        <v>0</v>
      </c>
      <c r="M216" s="269">
        <v>0</v>
      </c>
    </row>
    <row r="217" spans="1:13" s="10" customFormat="1" ht="24" customHeight="1" x14ac:dyDescent="0.25">
      <c r="A217" s="29"/>
      <c r="B217" s="151" t="s">
        <v>128</v>
      </c>
      <c r="C217" s="444">
        <v>656</v>
      </c>
      <c r="D217" s="402">
        <v>5</v>
      </c>
      <c r="E217" s="402">
        <v>3</v>
      </c>
      <c r="F217" s="353" t="s">
        <v>130</v>
      </c>
      <c r="G217" s="354">
        <v>200</v>
      </c>
      <c r="H217" s="268">
        <f>H218</f>
        <v>759165</v>
      </c>
      <c r="I217" s="269">
        <v>0</v>
      </c>
      <c r="J217" s="268">
        <f>J218</f>
        <v>0</v>
      </c>
      <c r="K217" s="269">
        <v>0</v>
      </c>
      <c r="L217" s="268">
        <f>L218</f>
        <v>0</v>
      </c>
      <c r="M217" s="269">
        <v>0</v>
      </c>
    </row>
    <row r="218" spans="1:13" s="10" customFormat="1" ht="29.25" customHeight="1" x14ac:dyDescent="0.25">
      <c r="A218" s="29"/>
      <c r="B218" s="229" t="s">
        <v>506</v>
      </c>
      <c r="C218" s="444">
        <v>656</v>
      </c>
      <c r="D218" s="416">
        <v>5</v>
      </c>
      <c r="E218" s="416">
        <v>3</v>
      </c>
      <c r="F218" s="353" t="s">
        <v>130</v>
      </c>
      <c r="G218" s="354">
        <v>244</v>
      </c>
      <c r="H218" s="268">
        <f>'по нов.7'!R185</f>
        <v>759165</v>
      </c>
      <c r="I218" s="269">
        <f>'по нов.7'!R185</f>
        <v>759165</v>
      </c>
      <c r="J218" s="268">
        <f>'по нов.7'!W185</f>
        <v>0</v>
      </c>
      <c r="K218" s="269">
        <f>'по нов.7'!T185</f>
        <v>0</v>
      </c>
      <c r="L218" s="268">
        <f>'по нов.7'!X185</f>
        <v>0</v>
      </c>
      <c r="M218" s="269">
        <f>'по нов.7'!V185</f>
        <v>0</v>
      </c>
    </row>
    <row r="219" spans="1:13" s="33" customFormat="1" ht="27" hidden="1" customHeight="1" x14ac:dyDescent="0.3">
      <c r="A219" s="31"/>
      <c r="B219" s="239"/>
      <c r="C219" s="444">
        <v>656</v>
      </c>
      <c r="D219" s="416"/>
      <c r="E219" s="416"/>
      <c r="F219" s="353" t="s">
        <v>129</v>
      </c>
      <c r="G219" s="354"/>
      <c r="H219" s="268"/>
      <c r="I219" s="280"/>
      <c r="J219" s="268"/>
      <c r="K219" s="280"/>
      <c r="L219" s="268"/>
      <c r="M219" s="280"/>
    </row>
    <row r="220" spans="1:13" s="33" customFormat="1" ht="27" hidden="1" customHeight="1" x14ac:dyDescent="0.3">
      <c r="A220" s="31"/>
      <c r="B220" s="239"/>
      <c r="C220" s="444">
        <v>656</v>
      </c>
      <c r="D220" s="416"/>
      <c r="E220" s="416"/>
      <c r="F220" s="353" t="s">
        <v>129</v>
      </c>
      <c r="G220" s="354"/>
      <c r="H220" s="268"/>
      <c r="I220" s="280"/>
      <c r="J220" s="268"/>
      <c r="K220" s="280"/>
      <c r="L220" s="268"/>
      <c r="M220" s="280"/>
    </row>
    <row r="221" spans="1:13" s="33" customFormat="1" ht="27" hidden="1" customHeight="1" x14ac:dyDescent="0.3">
      <c r="A221" s="31"/>
      <c r="B221" s="239"/>
      <c r="C221" s="444">
        <v>656</v>
      </c>
      <c r="D221" s="416"/>
      <c r="E221" s="416"/>
      <c r="F221" s="353" t="s">
        <v>129</v>
      </c>
      <c r="G221" s="354"/>
      <c r="H221" s="268"/>
      <c r="I221" s="280"/>
      <c r="J221" s="268"/>
      <c r="K221" s="280"/>
      <c r="L221" s="268"/>
      <c r="M221" s="280"/>
    </row>
    <row r="222" spans="1:13" s="33" customFormat="1" ht="27" hidden="1" customHeight="1" x14ac:dyDescent="0.3">
      <c r="A222" s="31"/>
      <c r="B222" s="239"/>
      <c r="C222" s="444">
        <v>656</v>
      </c>
      <c r="D222" s="416"/>
      <c r="E222" s="416"/>
      <c r="F222" s="353" t="s">
        <v>129</v>
      </c>
      <c r="G222" s="354"/>
      <c r="H222" s="268"/>
      <c r="I222" s="280"/>
      <c r="J222" s="268"/>
      <c r="K222" s="280"/>
      <c r="L222" s="268"/>
      <c r="M222" s="280"/>
    </row>
    <row r="223" spans="1:13" s="10" customFormat="1" ht="60.75" customHeight="1" x14ac:dyDescent="0.25">
      <c r="A223" s="29"/>
      <c r="B223" s="151" t="s">
        <v>521</v>
      </c>
      <c r="C223" s="444">
        <v>656</v>
      </c>
      <c r="D223" s="402">
        <v>5</v>
      </c>
      <c r="E223" s="402">
        <v>3</v>
      </c>
      <c r="F223" s="353" t="s">
        <v>131</v>
      </c>
      <c r="G223" s="387">
        <v>0</v>
      </c>
      <c r="H223" s="268">
        <f>H224</f>
        <v>80664.36</v>
      </c>
      <c r="I223" s="274">
        <v>0</v>
      </c>
      <c r="J223" s="268">
        <f>J224</f>
        <v>0</v>
      </c>
      <c r="K223" s="274">
        <v>0</v>
      </c>
      <c r="L223" s="268">
        <f>L224</f>
        <v>0</v>
      </c>
      <c r="M223" s="274">
        <v>0</v>
      </c>
    </row>
    <row r="224" spans="1:13" s="10" customFormat="1" ht="24" customHeight="1" x14ac:dyDescent="0.25">
      <c r="A224" s="29"/>
      <c r="B224" s="151" t="s">
        <v>128</v>
      </c>
      <c r="C224" s="444">
        <v>656</v>
      </c>
      <c r="D224" s="402">
        <v>5</v>
      </c>
      <c r="E224" s="402">
        <v>3</v>
      </c>
      <c r="F224" s="353" t="s">
        <v>131</v>
      </c>
      <c r="G224" s="354">
        <v>200</v>
      </c>
      <c r="H224" s="268">
        <f>H225</f>
        <v>80664.36</v>
      </c>
      <c r="I224" s="274">
        <v>0</v>
      </c>
      <c r="J224" s="268">
        <f>J225</f>
        <v>0</v>
      </c>
      <c r="K224" s="274">
        <v>0</v>
      </c>
      <c r="L224" s="268">
        <f>L225</f>
        <v>0</v>
      </c>
      <c r="M224" s="274">
        <v>0</v>
      </c>
    </row>
    <row r="225" spans="1:14" s="10" customFormat="1" ht="25.5" customHeight="1" x14ac:dyDescent="0.25">
      <c r="A225" s="29"/>
      <c r="B225" s="229" t="s">
        <v>506</v>
      </c>
      <c r="C225" s="444">
        <v>656</v>
      </c>
      <c r="D225" s="407">
        <v>5</v>
      </c>
      <c r="E225" s="407">
        <v>3</v>
      </c>
      <c r="F225" s="353" t="s">
        <v>131</v>
      </c>
      <c r="G225" s="356">
        <v>244</v>
      </c>
      <c r="H225" s="268">
        <f>'по нов.7'!R193</f>
        <v>80664.36</v>
      </c>
      <c r="I225" s="274">
        <v>0</v>
      </c>
      <c r="J225" s="268">
        <f>'по нов.7'!W193</f>
        <v>0</v>
      </c>
      <c r="K225" s="274">
        <v>0</v>
      </c>
      <c r="L225" s="268">
        <f>'по нов.7'!X193</f>
        <v>0</v>
      </c>
      <c r="M225" s="274">
        <v>0</v>
      </c>
    </row>
    <row r="226" spans="1:14" s="10" customFormat="1" ht="27" hidden="1" customHeight="1" x14ac:dyDescent="0.25">
      <c r="A226" s="29"/>
      <c r="B226" s="151"/>
      <c r="C226" s="444">
        <v>656</v>
      </c>
      <c r="D226" s="402"/>
      <c r="E226" s="402"/>
      <c r="F226" s="353" t="s">
        <v>130</v>
      </c>
      <c r="G226" s="348"/>
      <c r="H226" s="268"/>
      <c r="I226" s="269"/>
      <c r="J226" s="268"/>
      <c r="K226" s="269"/>
      <c r="L226" s="268"/>
      <c r="M226" s="269"/>
    </row>
    <row r="227" spans="1:14" s="10" customFormat="1" ht="61.5" hidden="1" customHeight="1" thickBot="1" x14ac:dyDescent="0.3">
      <c r="A227" s="29"/>
      <c r="B227" s="151" t="s">
        <v>143</v>
      </c>
      <c r="C227" s="444">
        <v>656</v>
      </c>
      <c r="D227" s="402">
        <v>5</v>
      </c>
      <c r="E227" s="402">
        <v>3</v>
      </c>
      <c r="F227" s="353" t="s">
        <v>133</v>
      </c>
      <c r="G227" s="387">
        <v>0</v>
      </c>
      <c r="H227" s="268">
        <f>H228</f>
        <v>36000</v>
      </c>
      <c r="I227" s="274">
        <v>0</v>
      </c>
      <c r="J227" s="268">
        <f>J228</f>
        <v>0</v>
      </c>
      <c r="K227" s="274">
        <v>0</v>
      </c>
      <c r="L227" s="268">
        <f>L228</f>
        <v>0</v>
      </c>
      <c r="M227" s="274">
        <v>0</v>
      </c>
    </row>
    <row r="228" spans="1:14" s="10" customFormat="1" ht="27" hidden="1" customHeight="1" x14ac:dyDescent="0.25">
      <c r="A228" s="29"/>
      <c r="B228" s="151" t="s">
        <v>128</v>
      </c>
      <c r="C228" s="444">
        <v>656</v>
      </c>
      <c r="D228" s="402">
        <v>5</v>
      </c>
      <c r="E228" s="402">
        <v>3</v>
      </c>
      <c r="F228" s="353" t="s">
        <v>133</v>
      </c>
      <c r="G228" s="354">
        <v>200</v>
      </c>
      <c r="H228" s="268">
        <f>H229</f>
        <v>36000</v>
      </c>
      <c r="I228" s="274">
        <v>0</v>
      </c>
      <c r="J228" s="268">
        <f>J229</f>
        <v>0</v>
      </c>
      <c r="K228" s="274">
        <v>0</v>
      </c>
      <c r="L228" s="268">
        <f>L229</f>
        <v>0</v>
      </c>
      <c r="M228" s="274">
        <v>0</v>
      </c>
    </row>
    <row r="229" spans="1:14" s="10" customFormat="1" ht="25.5" hidden="1" customHeight="1" x14ac:dyDescent="0.25">
      <c r="A229" s="29"/>
      <c r="B229" s="239" t="s">
        <v>60</v>
      </c>
      <c r="C229" s="444">
        <v>656</v>
      </c>
      <c r="D229" s="407">
        <v>5</v>
      </c>
      <c r="E229" s="407">
        <v>3</v>
      </c>
      <c r="F229" s="353" t="s">
        <v>133</v>
      </c>
      <c r="G229" s="356">
        <v>244</v>
      </c>
      <c r="H229" s="268">
        <f>'по нов.7'!R196</f>
        <v>36000</v>
      </c>
      <c r="I229" s="274">
        <v>0</v>
      </c>
      <c r="J229" s="268">
        <f>'по нов.7'!T196</f>
        <v>0</v>
      </c>
      <c r="K229" s="274">
        <v>0</v>
      </c>
      <c r="L229" s="268">
        <f>'по нов.7'!V196</f>
        <v>0</v>
      </c>
      <c r="M229" s="274">
        <v>0</v>
      </c>
    </row>
    <row r="230" spans="1:14" s="10" customFormat="1" ht="40.200000000000003" customHeight="1" x14ac:dyDescent="0.25">
      <c r="A230" s="29"/>
      <c r="B230" s="151" t="s">
        <v>497</v>
      </c>
      <c r="C230" s="444">
        <v>656</v>
      </c>
      <c r="D230" s="402">
        <v>5</v>
      </c>
      <c r="E230" s="402">
        <v>3</v>
      </c>
      <c r="F230" s="353" t="s">
        <v>349</v>
      </c>
      <c r="G230" s="387">
        <v>0</v>
      </c>
      <c r="H230" s="268">
        <f>H231</f>
        <v>429741.67000000004</v>
      </c>
      <c r="I230" s="274">
        <v>0</v>
      </c>
      <c r="J230" s="268">
        <f>J231</f>
        <v>0</v>
      </c>
      <c r="K230" s="274">
        <v>0</v>
      </c>
      <c r="L230" s="268">
        <f>L231</f>
        <v>0</v>
      </c>
      <c r="M230" s="274">
        <v>0</v>
      </c>
    </row>
    <row r="231" spans="1:14" s="10" customFormat="1" ht="27" customHeight="1" x14ac:dyDescent="0.25">
      <c r="A231" s="29"/>
      <c r="B231" s="151" t="s">
        <v>128</v>
      </c>
      <c r="C231" s="444">
        <v>656</v>
      </c>
      <c r="D231" s="402">
        <v>5</v>
      </c>
      <c r="E231" s="402">
        <v>3</v>
      </c>
      <c r="F231" s="353" t="s">
        <v>349</v>
      </c>
      <c r="G231" s="354">
        <v>200</v>
      </c>
      <c r="H231" s="268">
        <f>H232</f>
        <v>429741.67000000004</v>
      </c>
      <c r="I231" s="274">
        <v>0</v>
      </c>
      <c r="J231" s="268">
        <f>J232</f>
        <v>0</v>
      </c>
      <c r="K231" s="274">
        <v>0</v>
      </c>
      <c r="L231" s="268">
        <f>L232</f>
        <v>0</v>
      </c>
      <c r="M231" s="274">
        <v>0</v>
      </c>
    </row>
    <row r="232" spans="1:14" s="10" customFormat="1" ht="25.5" customHeight="1" x14ac:dyDescent="0.25">
      <c r="A232" s="29"/>
      <c r="B232" s="229" t="s">
        <v>506</v>
      </c>
      <c r="C232" s="444">
        <v>656</v>
      </c>
      <c r="D232" s="407">
        <v>5</v>
      </c>
      <c r="E232" s="407">
        <v>3</v>
      </c>
      <c r="F232" s="353" t="s">
        <v>349</v>
      </c>
      <c r="G232" s="356">
        <v>244</v>
      </c>
      <c r="H232" s="268">
        <f>'по нов.7'!R199</f>
        <v>429741.67000000004</v>
      </c>
      <c r="I232" s="274">
        <v>0</v>
      </c>
      <c r="J232" s="268">
        <f>'по нов.7'!T199</f>
        <v>0</v>
      </c>
      <c r="K232" s="274">
        <v>0</v>
      </c>
      <c r="L232" s="268">
        <f>'по нов.7'!V199</f>
        <v>0</v>
      </c>
      <c r="M232" s="274">
        <v>0</v>
      </c>
    </row>
    <row r="233" spans="1:14" s="10" customFormat="1" ht="38.25" customHeight="1" x14ac:dyDescent="0.25">
      <c r="A233" s="29"/>
      <c r="B233" s="239" t="s">
        <v>146</v>
      </c>
      <c r="C233" s="444">
        <v>656</v>
      </c>
      <c r="D233" s="416">
        <v>5</v>
      </c>
      <c r="E233" s="416">
        <v>3</v>
      </c>
      <c r="F233" s="353" t="s">
        <v>147</v>
      </c>
      <c r="G233" s="354">
        <v>0</v>
      </c>
      <c r="H233" s="268">
        <f>H236</f>
        <v>178200</v>
      </c>
      <c r="I233" s="269">
        <v>0</v>
      </c>
      <c r="J233" s="268">
        <f>J236</f>
        <v>0</v>
      </c>
      <c r="K233" s="269">
        <v>0</v>
      </c>
      <c r="L233" s="268">
        <f>L236</f>
        <v>0</v>
      </c>
      <c r="M233" s="269">
        <v>0</v>
      </c>
    </row>
    <row r="234" spans="1:14" s="10" customFormat="1" ht="62.25" customHeight="1" x14ac:dyDescent="0.25">
      <c r="A234" s="29"/>
      <c r="B234" s="239" t="s">
        <v>357</v>
      </c>
      <c r="C234" s="444">
        <v>656</v>
      </c>
      <c r="D234" s="402">
        <v>5</v>
      </c>
      <c r="E234" s="402">
        <v>3</v>
      </c>
      <c r="F234" s="353" t="s">
        <v>147</v>
      </c>
      <c r="G234" s="354">
        <v>0</v>
      </c>
      <c r="H234" s="268">
        <f>H235</f>
        <v>178200</v>
      </c>
      <c r="I234" s="269">
        <v>0</v>
      </c>
      <c r="J234" s="268">
        <f>J235</f>
        <v>0</v>
      </c>
      <c r="K234" s="269">
        <v>0</v>
      </c>
      <c r="L234" s="268">
        <f>L235</f>
        <v>0</v>
      </c>
      <c r="M234" s="269">
        <v>0</v>
      </c>
    </row>
    <row r="235" spans="1:14" s="10" customFormat="1" ht="24" customHeight="1" x14ac:dyDescent="0.25">
      <c r="A235" s="29"/>
      <c r="B235" s="151" t="s">
        <v>128</v>
      </c>
      <c r="C235" s="444">
        <v>656</v>
      </c>
      <c r="D235" s="402">
        <v>5</v>
      </c>
      <c r="E235" s="402">
        <v>3</v>
      </c>
      <c r="F235" s="353" t="s">
        <v>147</v>
      </c>
      <c r="G235" s="354">
        <v>200</v>
      </c>
      <c r="H235" s="268">
        <f>H236</f>
        <v>178200</v>
      </c>
      <c r="I235" s="269">
        <v>0</v>
      </c>
      <c r="J235" s="268">
        <f>J236</f>
        <v>0</v>
      </c>
      <c r="K235" s="269">
        <v>0</v>
      </c>
      <c r="L235" s="268">
        <f>L236</f>
        <v>0</v>
      </c>
      <c r="M235" s="269">
        <v>0</v>
      </c>
    </row>
    <row r="236" spans="1:14" s="10" customFormat="1" ht="29.25" customHeight="1" thickBot="1" x14ac:dyDescent="0.3">
      <c r="A236" s="29"/>
      <c r="B236" s="239" t="s">
        <v>60</v>
      </c>
      <c r="C236" s="444">
        <v>656</v>
      </c>
      <c r="D236" s="416">
        <v>5</v>
      </c>
      <c r="E236" s="416">
        <v>3</v>
      </c>
      <c r="F236" s="353" t="s">
        <v>147</v>
      </c>
      <c r="G236" s="354">
        <v>244</v>
      </c>
      <c r="H236" s="268">
        <f>'по нов.7'!R236</f>
        <v>178200</v>
      </c>
      <c r="I236" s="269">
        <v>0</v>
      </c>
      <c r="J236" s="268">
        <f>'по нов.7'!T236</f>
        <v>0</v>
      </c>
      <c r="K236" s="269">
        <v>0</v>
      </c>
      <c r="L236" s="268">
        <f>'по нов.7'!V236</f>
        <v>0</v>
      </c>
      <c r="M236" s="269">
        <v>0</v>
      </c>
    </row>
    <row r="237" spans="1:14" s="10" customFormat="1" ht="23.4" thickBot="1" x14ac:dyDescent="0.3">
      <c r="A237" s="29"/>
      <c r="B237" s="249" t="s">
        <v>528</v>
      </c>
      <c r="C237" s="449">
        <v>656</v>
      </c>
      <c r="D237" s="411">
        <v>5</v>
      </c>
      <c r="E237" s="412">
        <v>3</v>
      </c>
      <c r="F237" s="424" t="s">
        <v>527</v>
      </c>
      <c r="G237" s="363">
        <v>0</v>
      </c>
      <c r="H237" s="281">
        <f>H238+H241</f>
        <v>651087</v>
      </c>
      <c r="I237" s="282">
        <f>[1]прил.5!S58</f>
        <v>0</v>
      </c>
      <c r="J237" s="281">
        <f>[1]прил.5!T58</f>
        <v>0</v>
      </c>
      <c r="K237" s="282">
        <f>[1]прил.5!U58</f>
        <v>0</v>
      </c>
      <c r="L237" s="281">
        <f>[1]прил.5!V58</f>
        <v>0</v>
      </c>
      <c r="M237" s="283">
        <f>[1]прил.5!W58</f>
        <v>0</v>
      </c>
      <c r="N237" s="18"/>
    </row>
    <row r="238" spans="1:14" s="10" customFormat="1" ht="36" x14ac:dyDescent="0.25">
      <c r="A238" s="29"/>
      <c r="B238" s="242" t="s">
        <v>571</v>
      </c>
      <c r="C238" s="450">
        <v>656</v>
      </c>
      <c r="D238" s="425">
        <v>5</v>
      </c>
      <c r="E238" s="425">
        <v>3</v>
      </c>
      <c r="F238" s="368" t="s">
        <v>568</v>
      </c>
      <c r="G238" s="369">
        <v>0</v>
      </c>
      <c r="H238" s="278">
        <f>H239</f>
        <v>362887</v>
      </c>
      <c r="I238" s="278">
        <f>[1]прил.5!S59</f>
        <v>0</v>
      </c>
      <c r="J238" s="278">
        <f>[1]прил.5!T59</f>
        <v>0</v>
      </c>
      <c r="K238" s="278">
        <f>[1]прил.5!U59</f>
        <v>0</v>
      </c>
      <c r="L238" s="278">
        <f>[1]прил.5!V59</f>
        <v>0</v>
      </c>
      <c r="M238" s="278">
        <f>[1]прил.5!W59</f>
        <v>0</v>
      </c>
      <c r="N238" s="18"/>
    </row>
    <row r="239" spans="1:14" s="10" customFormat="1" ht="24" x14ac:dyDescent="0.25">
      <c r="A239" s="29"/>
      <c r="B239" s="151" t="s">
        <v>128</v>
      </c>
      <c r="C239" s="444">
        <v>656</v>
      </c>
      <c r="D239" s="402">
        <v>5</v>
      </c>
      <c r="E239" s="402">
        <v>3</v>
      </c>
      <c r="F239" s="368" t="s">
        <v>568</v>
      </c>
      <c r="G239" s="369">
        <v>200</v>
      </c>
      <c r="H239" s="268">
        <f>H240</f>
        <v>362887</v>
      </c>
      <c r="I239" s="268">
        <f>[1]прил.5!S60</f>
        <v>0</v>
      </c>
      <c r="J239" s="268">
        <f>[1]прил.5!T60</f>
        <v>0</v>
      </c>
      <c r="K239" s="268">
        <f>[1]прил.5!U60</f>
        <v>0</v>
      </c>
      <c r="L239" s="268">
        <f>[1]прил.5!V60</f>
        <v>0</v>
      </c>
      <c r="M239" s="268">
        <f>[1]прил.5!W60</f>
        <v>0</v>
      </c>
      <c r="N239" s="18"/>
    </row>
    <row r="240" spans="1:14" s="10" customFormat="1" ht="24" x14ac:dyDescent="0.25">
      <c r="A240" s="29"/>
      <c r="B240" s="247" t="s">
        <v>81</v>
      </c>
      <c r="C240" s="444">
        <v>656</v>
      </c>
      <c r="D240" s="402">
        <v>5</v>
      </c>
      <c r="E240" s="402">
        <v>3</v>
      </c>
      <c r="F240" s="368" t="s">
        <v>568</v>
      </c>
      <c r="G240" s="369">
        <v>244</v>
      </c>
      <c r="H240" s="268">
        <f>'по нов.7'!R57</f>
        <v>362887</v>
      </c>
      <c r="I240" s="268">
        <f>[1]прил.5!S61</f>
        <v>0</v>
      </c>
      <c r="J240" s="268">
        <f>[1]прил.5!T61</f>
        <v>0</v>
      </c>
      <c r="K240" s="268">
        <f>[1]прил.5!U61</f>
        <v>0</v>
      </c>
      <c r="L240" s="268">
        <f>[1]прил.5!V61</f>
        <v>0</v>
      </c>
      <c r="M240" s="268">
        <f>[1]прил.5!W61</f>
        <v>0</v>
      </c>
      <c r="N240" s="18"/>
    </row>
    <row r="241" spans="1:14" s="10" customFormat="1" ht="36" x14ac:dyDescent="0.25">
      <c r="A241" s="29"/>
      <c r="B241" s="250" t="s">
        <v>570</v>
      </c>
      <c r="C241" s="444">
        <v>656</v>
      </c>
      <c r="D241" s="402">
        <v>5</v>
      </c>
      <c r="E241" s="402">
        <v>3</v>
      </c>
      <c r="F241" s="370" t="s">
        <v>569</v>
      </c>
      <c r="G241" s="371">
        <v>0</v>
      </c>
      <c r="H241" s="268">
        <f>H242</f>
        <v>288200</v>
      </c>
      <c r="I241" s="268">
        <f>[1]прил.5!S62</f>
        <v>0</v>
      </c>
      <c r="J241" s="268">
        <f>[1]прил.5!T62</f>
        <v>0</v>
      </c>
      <c r="K241" s="268">
        <f>[1]прил.5!U62</f>
        <v>0</v>
      </c>
      <c r="L241" s="268">
        <f>[1]прил.5!V62</f>
        <v>0</v>
      </c>
      <c r="M241" s="268">
        <f>[1]прил.5!W62</f>
        <v>0</v>
      </c>
      <c r="N241" s="18"/>
    </row>
    <row r="242" spans="1:14" s="10" customFormat="1" ht="24" x14ac:dyDescent="0.25">
      <c r="A242" s="29"/>
      <c r="B242" s="151" t="s">
        <v>128</v>
      </c>
      <c r="C242" s="444">
        <v>656</v>
      </c>
      <c r="D242" s="402">
        <v>5</v>
      </c>
      <c r="E242" s="402">
        <v>3</v>
      </c>
      <c r="F242" s="368" t="s">
        <v>569</v>
      </c>
      <c r="G242" s="369">
        <v>200</v>
      </c>
      <c r="H242" s="268">
        <f>H243</f>
        <v>288200</v>
      </c>
      <c r="I242" s="268">
        <f>[1]прил.5!S63</f>
        <v>0</v>
      </c>
      <c r="J242" s="268">
        <f>[1]прил.5!T63</f>
        <v>0</v>
      </c>
      <c r="K242" s="268">
        <f>[1]прил.5!U63</f>
        <v>0</v>
      </c>
      <c r="L242" s="268">
        <f>[1]прил.5!V63</f>
        <v>0</v>
      </c>
      <c r="M242" s="268">
        <f>[1]прил.5!W63</f>
        <v>0</v>
      </c>
      <c r="N242" s="18"/>
    </row>
    <row r="243" spans="1:14" s="10" customFormat="1" ht="24.6" thickBot="1" x14ac:dyDescent="0.3">
      <c r="A243" s="29"/>
      <c r="B243" s="247" t="s">
        <v>81</v>
      </c>
      <c r="C243" s="444">
        <v>656</v>
      </c>
      <c r="D243" s="402">
        <v>5</v>
      </c>
      <c r="E243" s="402">
        <v>3</v>
      </c>
      <c r="F243" s="368" t="s">
        <v>569</v>
      </c>
      <c r="G243" s="369">
        <v>244</v>
      </c>
      <c r="H243" s="268">
        <f>'по нов.7'!R60</f>
        <v>288200</v>
      </c>
      <c r="I243" s="268">
        <f>[1]прил.5!S64</f>
        <v>0</v>
      </c>
      <c r="J243" s="268">
        <f>[1]прил.5!T64</f>
        <v>0</v>
      </c>
      <c r="K243" s="268">
        <f>[1]прил.5!U64</f>
        <v>0</v>
      </c>
      <c r="L243" s="268">
        <f>[1]прил.5!V64</f>
        <v>0</v>
      </c>
      <c r="M243" s="268">
        <f>[1]прил.5!W64</f>
        <v>6809054</v>
      </c>
      <c r="N243" s="18"/>
    </row>
    <row r="244" spans="1:14" s="36" customFormat="1" ht="57.6" customHeight="1" thickBot="1" x14ac:dyDescent="0.3">
      <c r="A244" s="34"/>
      <c r="B244" s="249" t="s">
        <v>392</v>
      </c>
      <c r="C244" s="449">
        <v>656</v>
      </c>
      <c r="D244" s="411">
        <v>6</v>
      </c>
      <c r="E244" s="412">
        <v>5</v>
      </c>
      <c r="F244" s="424" t="s">
        <v>123</v>
      </c>
      <c r="G244" s="363">
        <v>0</v>
      </c>
      <c r="H244" s="284">
        <f>H245+H248</f>
        <v>608042.5</v>
      </c>
      <c r="I244" s="284">
        <f t="shared" ref="I244:M244" si="15">I245+I248</f>
        <v>0</v>
      </c>
      <c r="J244" s="284">
        <f t="shared" si="15"/>
        <v>2702.5</v>
      </c>
      <c r="K244" s="284">
        <f t="shared" si="15"/>
        <v>0</v>
      </c>
      <c r="L244" s="284">
        <f t="shared" si="15"/>
        <v>2702.5</v>
      </c>
      <c r="M244" s="284">
        <f t="shared" si="15"/>
        <v>0</v>
      </c>
      <c r="N244" s="35"/>
    </row>
    <row r="245" spans="1:14" s="10" customFormat="1" ht="132" x14ac:dyDescent="0.25">
      <c r="A245" s="29"/>
      <c r="B245" s="251" t="s">
        <v>586</v>
      </c>
      <c r="C245" s="450">
        <v>656</v>
      </c>
      <c r="D245" s="425">
        <v>6</v>
      </c>
      <c r="E245" s="425">
        <v>5</v>
      </c>
      <c r="F245" s="426" t="s">
        <v>573</v>
      </c>
      <c r="G245" s="369">
        <v>0</v>
      </c>
      <c r="H245" s="278">
        <f>H246</f>
        <v>605340</v>
      </c>
      <c r="I245" s="278">
        <f>[1]прил.5!S51</f>
        <v>0</v>
      </c>
      <c r="J245" s="278">
        <f>[1]прил.5!T51</f>
        <v>0</v>
      </c>
      <c r="K245" s="278">
        <f>[1]прил.5!U51</f>
        <v>0</v>
      </c>
      <c r="L245" s="278">
        <f>[1]прил.5!V51</f>
        <v>0</v>
      </c>
      <c r="M245" s="278">
        <f>[1]прил.5!W51</f>
        <v>0</v>
      </c>
      <c r="N245" s="18"/>
    </row>
    <row r="246" spans="1:14" s="10" customFormat="1" x14ac:dyDescent="0.25">
      <c r="A246" s="29"/>
      <c r="B246" s="151" t="s">
        <v>74</v>
      </c>
      <c r="C246" s="444">
        <v>656</v>
      </c>
      <c r="D246" s="402">
        <v>6</v>
      </c>
      <c r="E246" s="402">
        <v>5</v>
      </c>
      <c r="F246" s="426" t="s">
        <v>573</v>
      </c>
      <c r="G246" s="369">
        <v>500</v>
      </c>
      <c r="H246" s="268">
        <f>H247</f>
        <v>605340</v>
      </c>
      <c r="I246" s="268">
        <f>[1]прил.5!S52</f>
        <v>0</v>
      </c>
      <c r="J246" s="268">
        <f>[1]прил.5!T52</f>
        <v>0</v>
      </c>
      <c r="K246" s="268">
        <f>[1]прил.5!U52</f>
        <v>0</v>
      </c>
      <c r="L246" s="268">
        <f>[1]прил.5!V52</f>
        <v>0</v>
      </c>
      <c r="M246" s="268">
        <f>[1]прил.5!W52</f>
        <v>0</v>
      </c>
      <c r="N246" s="18"/>
    </row>
    <row r="247" spans="1:14" s="10" customFormat="1" x14ac:dyDescent="0.25">
      <c r="A247" s="29"/>
      <c r="B247" s="247" t="s">
        <v>63</v>
      </c>
      <c r="C247" s="444">
        <v>656</v>
      </c>
      <c r="D247" s="402">
        <v>6</v>
      </c>
      <c r="E247" s="402">
        <v>5</v>
      </c>
      <c r="F247" s="426" t="s">
        <v>573</v>
      </c>
      <c r="G247" s="369">
        <v>540</v>
      </c>
      <c r="H247" s="268">
        <f>'по нов.7'!R216</f>
        <v>605340</v>
      </c>
      <c r="I247" s="268">
        <f>[1]прил.5!S53</f>
        <v>0</v>
      </c>
      <c r="J247" s="268">
        <f>[1]прил.5!T53</f>
        <v>0</v>
      </c>
      <c r="K247" s="268">
        <f>[1]прил.5!U53</f>
        <v>0</v>
      </c>
      <c r="L247" s="268">
        <f>[1]прил.5!V53</f>
        <v>0</v>
      </c>
      <c r="M247" s="268">
        <f>[1]прил.5!W53</f>
        <v>0</v>
      </c>
      <c r="N247" s="18"/>
    </row>
    <row r="248" spans="1:14" s="10" customFormat="1" ht="38.25" customHeight="1" x14ac:dyDescent="0.25">
      <c r="A248" s="29"/>
      <c r="B248" s="239" t="s">
        <v>433</v>
      </c>
      <c r="C248" s="444">
        <v>656</v>
      </c>
      <c r="D248" s="402">
        <v>6</v>
      </c>
      <c r="E248" s="402">
        <v>5</v>
      </c>
      <c r="F248" s="353" t="s">
        <v>117</v>
      </c>
      <c r="G248" s="354">
        <v>0</v>
      </c>
      <c r="H248" s="268">
        <f>H251</f>
        <v>2702.5</v>
      </c>
      <c r="I248" s="269">
        <v>0</v>
      </c>
      <c r="J248" s="268">
        <f>J251</f>
        <v>2702.5</v>
      </c>
      <c r="K248" s="269">
        <v>0</v>
      </c>
      <c r="L248" s="268">
        <f>L251</f>
        <v>2702.5</v>
      </c>
      <c r="M248" s="269">
        <v>0</v>
      </c>
    </row>
    <row r="249" spans="1:14" s="10" customFormat="1" ht="60" customHeight="1" x14ac:dyDescent="0.25">
      <c r="A249" s="29"/>
      <c r="B249" s="239" t="s">
        <v>575</v>
      </c>
      <c r="C249" s="444">
        <v>656</v>
      </c>
      <c r="D249" s="402">
        <v>6</v>
      </c>
      <c r="E249" s="402">
        <v>5</v>
      </c>
      <c r="F249" s="353" t="s">
        <v>574</v>
      </c>
      <c r="G249" s="354">
        <v>0</v>
      </c>
      <c r="H249" s="268">
        <f>H250</f>
        <v>2702.5</v>
      </c>
      <c r="I249" s="269">
        <v>0</v>
      </c>
      <c r="J249" s="268">
        <f>J250</f>
        <v>2702.5</v>
      </c>
      <c r="K249" s="269">
        <v>0</v>
      </c>
      <c r="L249" s="268">
        <f>L250</f>
        <v>2702.5</v>
      </c>
      <c r="M249" s="269">
        <v>0</v>
      </c>
    </row>
    <row r="250" spans="1:14" s="10" customFormat="1" ht="24" customHeight="1" x14ac:dyDescent="0.25">
      <c r="A250" s="29"/>
      <c r="B250" s="151" t="s">
        <v>128</v>
      </c>
      <c r="C250" s="444">
        <v>656</v>
      </c>
      <c r="D250" s="402">
        <v>6</v>
      </c>
      <c r="E250" s="402">
        <v>5</v>
      </c>
      <c r="F250" s="353" t="s">
        <v>574</v>
      </c>
      <c r="G250" s="354">
        <v>200</v>
      </c>
      <c r="H250" s="268">
        <f>H251</f>
        <v>2702.5</v>
      </c>
      <c r="I250" s="269">
        <v>0</v>
      </c>
      <c r="J250" s="268">
        <f>J251</f>
        <v>2702.5</v>
      </c>
      <c r="K250" s="269">
        <v>0</v>
      </c>
      <c r="L250" s="268">
        <f>L251</f>
        <v>2702.5</v>
      </c>
      <c r="M250" s="269">
        <v>0</v>
      </c>
    </row>
    <row r="251" spans="1:14" s="10" customFormat="1" ht="29.25" customHeight="1" thickBot="1" x14ac:dyDescent="0.3">
      <c r="A251" s="29"/>
      <c r="B251" s="229" t="s">
        <v>506</v>
      </c>
      <c r="C251" s="444">
        <v>656</v>
      </c>
      <c r="D251" s="402">
        <v>6</v>
      </c>
      <c r="E251" s="402">
        <v>5</v>
      </c>
      <c r="F251" s="353" t="s">
        <v>574</v>
      </c>
      <c r="G251" s="354">
        <v>244</v>
      </c>
      <c r="H251" s="268">
        <f>'по нов.7'!R201</f>
        <v>2702.5</v>
      </c>
      <c r="I251" s="269">
        <f>'по нов.7'!R222</f>
        <v>0</v>
      </c>
      <c r="J251" s="268">
        <f>'по нов.7'!W201</f>
        <v>2702.5</v>
      </c>
      <c r="K251" s="269">
        <f>'по нов.7'!T222</f>
        <v>0</v>
      </c>
      <c r="L251" s="268">
        <f>'по нов.7'!X201</f>
        <v>2702.5</v>
      </c>
      <c r="M251" s="269">
        <f>'по нов.7'!V222</f>
        <v>0</v>
      </c>
    </row>
    <row r="252" spans="1:14" s="10" customFormat="1" ht="13.8" thickBot="1" x14ac:dyDescent="0.3">
      <c r="A252" s="29"/>
      <c r="B252" s="241" t="s">
        <v>88</v>
      </c>
      <c r="C252" s="439">
        <v>656</v>
      </c>
      <c r="D252" s="427">
        <v>8</v>
      </c>
      <c r="E252" s="427">
        <v>0</v>
      </c>
      <c r="F252" s="399" t="s">
        <v>122</v>
      </c>
      <c r="G252" s="352">
        <v>0</v>
      </c>
      <c r="H252" s="264">
        <f>H253+H276</f>
        <v>4652958.46</v>
      </c>
      <c r="I252" s="265">
        <v>0</v>
      </c>
      <c r="J252" s="264">
        <f>J253+J276</f>
        <v>3361463</v>
      </c>
      <c r="K252" s="265">
        <v>0</v>
      </c>
      <c r="L252" s="264">
        <f>L253+L276</f>
        <v>4683453.0999999996</v>
      </c>
      <c r="M252" s="265">
        <v>0</v>
      </c>
    </row>
    <row r="253" spans="1:14" s="36" customFormat="1" ht="15.75" customHeight="1" thickBot="1" x14ac:dyDescent="0.3">
      <c r="A253" s="34"/>
      <c r="B253" s="163" t="s">
        <v>79</v>
      </c>
      <c r="C253" s="444">
        <v>656</v>
      </c>
      <c r="D253" s="422">
        <v>8</v>
      </c>
      <c r="E253" s="422">
        <v>1</v>
      </c>
      <c r="F253" s="399" t="s">
        <v>122</v>
      </c>
      <c r="G253" s="423">
        <v>0</v>
      </c>
      <c r="H253" s="285">
        <f>H255</f>
        <v>4297747.46</v>
      </c>
      <c r="I253" s="286">
        <v>0</v>
      </c>
      <c r="J253" s="285">
        <f>J255</f>
        <v>2931803</v>
      </c>
      <c r="K253" s="286">
        <v>0</v>
      </c>
      <c r="L253" s="285">
        <f>L255</f>
        <v>4253793.0999999996</v>
      </c>
      <c r="M253" s="286">
        <v>0</v>
      </c>
    </row>
    <row r="254" spans="1:14" s="10" customFormat="1" ht="18" hidden="1" customHeight="1" x14ac:dyDescent="0.25">
      <c r="A254" s="29"/>
      <c r="B254" s="239"/>
      <c r="C254" s="444">
        <v>656</v>
      </c>
      <c r="D254" s="416"/>
      <c r="E254" s="416"/>
      <c r="F254" s="353"/>
      <c r="G254" s="354"/>
      <c r="H254" s="275"/>
      <c r="I254" s="276"/>
      <c r="J254" s="275"/>
      <c r="K254" s="276"/>
      <c r="L254" s="275"/>
      <c r="M254" s="276"/>
    </row>
    <row r="255" spans="1:14" s="10" customFormat="1" ht="25.5" customHeight="1" x14ac:dyDescent="0.25">
      <c r="A255" s="29"/>
      <c r="B255" s="165" t="s">
        <v>435</v>
      </c>
      <c r="C255" s="444">
        <v>656</v>
      </c>
      <c r="D255" s="416">
        <v>8</v>
      </c>
      <c r="E255" s="416">
        <v>1</v>
      </c>
      <c r="F255" s="389" t="s">
        <v>112</v>
      </c>
      <c r="G255" s="410">
        <v>0</v>
      </c>
      <c r="H255" s="275">
        <f>H257+H263+H266</f>
        <v>4297747.46</v>
      </c>
      <c r="I255" s="276">
        <v>0</v>
      </c>
      <c r="J255" s="275">
        <f>J257+J263+J266</f>
        <v>2931803</v>
      </c>
      <c r="K255" s="276">
        <v>0</v>
      </c>
      <c r="L255" s="275">
        <f>L257+L263+L266+L269</f>
        <v>4253793.0999999996</v>
      </c>
      <c r="M255" s="276">
        <v>0</v>
      </c>
    </row>
    <row r="256" spans="1:14" s="10" customFormat="1" ht="57.6" customHeight="1" x14ac:dyDescent="0.25">
      <c r="A256" s="29"/>
      <c r="B256" s="156" t="s">
        <v>436</v>
      </c>
      <c r="C256" s="444">
        <v>656</v>
      </c>
      <c r="D256" s="416">
        <v>8</v>
      </c>
      <c r="E256" s="416">
        <v>1</v>
      </c>
      <c r="F256" s="389" t="s">
        <v>111</v>
      </c>
      <c r="G256" s="410">
        <v>0</v>
      </c>
      <c r="H256" s="275">
        <f t="shared" ref="H256:M256" si="16">H255</f>
        <v>4297747.46</v>
      </c>
      <c r="I256" s="276">
        <f t="shared" si="16"/>
        <v>0</v>
      </c>
      <c r="J256" s="275">
        <f t="shared" si="16"/>
        <v>2931803</v>
      </c>
      <c r="K256" s="276">
        <f t="shared" si="16"/>
        <v>0</v>
      </c>
      <c r="L256" s="275">
        <f t="shared" si="16"/>
        <v>4253793.0999999996</v>
      </c>
      <c r="M256" s="276">
        <f t="shared" si="16"/>
        <v>0</v>
      </c>
    </row>
    <row r="257" spans="1:13" s="10" customFormat="1" ht="53.25" customHeight="1" x14ac:dyDescent="0.25">
      <c r="A257" s="29"/>
      <c r="B257" s="151" t="s">
        <v>75</v>
      </c>
      <c r="C257" s="444">
        <v>656</v>
      </c>
      <c r="D257" s="416">
        <v>8</v>
      </c>
      <c r="E257" s="416">
        <v>1</v>
      </c>
      <c r="F257" s="389" t="s">
        <v>111</v>
      </c>
      <c r="G257" s="410">
        <v>100</v>
      </c>
      <c r="H257" s="275">
        <f>H258+H259+H260+H261+H262</f>
        <v>3223979</v>
      </c>
      <c r="I257" s="276">
        <v>0</v>
      </c>
      <c r="J257" s="275">
        <f>J258+J260+J262+J259</f>
        <v>2864314</v>
      </c>
      <c r="K257" s="276">
        <v>0</v>
      </c>
      <c r="L257" s="275">
        <f>L258+L260+L262+L259</f>
        <v>2864314</v>
      </c>
      <c r="M257" s="276">
        <v>0</v>
      </c>
    </row>
    <row r="258" spans="1:13" s="167" customFormat="1" ht="16.5" customHeight="1" x14ac:dyDescent="0.25">
      <c r="A258" s="166"/>
      <c r="B258" s="239" t="s">
        <v>136</v>
      </c>
      <c r="C258" s="444">
        <v>656</v>
      </c>
      <c r="D258" s="428">
        <v>8</v>
      </c>
      <c r="E258" s="428">
        <v>1</v>
      </c>
      <c r="F258" s="389" t="s">
        <v>111</v>
      </c>
      <c r="G258" s="410">
        <v>111</v>
      </c>
      <c r="H258" s="275">
        <f>'по нов.7'!R135</f>
        <v>2522000</v>
      </c>
      <c r="I258" s="276">
        <v>0</v>
      </c>
      <c r="J258" s="275">
        <f>'по нов.7'!W135</f>
        <v>2522000</v>
      </c>
      <c r="K258" s="276">
        <v>0</v>
      </c>
      <c r="L258" s="275">
        <f>'по нов.7'!X135</f>
        <v>2522000</v>
      </c>
      <c r="M258" s="276">
        <v>0</v>
      </c>
    </row>
    <row r="259" spans="1:13" s="167" customFormat="1" ht="16.5" hidden="1" customHeight="1" x14ac:dyDescent="0.25">
      <c r="A259" s="166"/>
      <c r="B259" s="239" t="s">
        <v>136</v>
      </c>
      <c r="C259" s="444">
        <v>656</v>
      </c>
      <c r="D259" s="428">
        <v>8</v>
      </c>
      <c r="E259" s="428">
        <v>1</v>
      </c>
      <c r="F259" s="389" t="s">
        <v>397</v>
      </c>
      <c r="G259" s="410">
        <v>111</v>
      </c>
      <c r="H259" s="275">
        <f>'по нов.7'!R137</f>
        <v>0</v>
      </c>
      <c r="I259" s="276">
        <v>0</v>
      </c>
      <c r="J259" s="275">
        <f>'по нов.7'!W137</f>
        <v>0</v>
      </c>
      <c r="K259" s="276">
        <v>0</v>
      </c>
      <c r="L259" s="275">
        <f>'по нов.7'!X137</f>
        <v>0</v>
      </c>
      <c r="M259" s="276">
        <v>0</v>
      </c>
    </row>
    <row r="260" spans="1:13" s="10" customFormat="1" ht="24" hidden="1" customHeight="1" x14ac:dyDescent="0.25">
      <c r="A260" s="29"/>
      <c r="B260" s="239" t="s">
        <v>136</v>
      </c>
      <c r="C260" s="444">
        <v>656</v>
      </c>
      <c r="D260" s="416">
        <v>8</v>
      </c>
      <c r="E260" s="416">
        <v>1</v>
      </c>
      <c r="F260" s="389" t="s">
        <v>400</v>
      </c>
      <c r="G260" s="429">
        <v>111</v>
      </c>
      <c r="H260" s="268">
        <f>'по нов.7'!R139</f>
        <v>0</v>
      </c>
      <c r="I260" s="269">
        <v>0</v>
      </c>
      <c r="J260" s="268">
        <f>'по нов.7'!W139</f>
        <v>0</v>
      </c>
      <c r="K260" s="269">
        <v>0</v>
      </c>
      <c r="L260" s="268">
        <f>'по нов.7'!X139</f>
        <v>0</v>
      </c>
      <c r="M260" s="269">
        <v>0</v>
      </c>
    </row>
    <row r="261" spans="1:13" s="10" customFormat="1" ht="24" customHeight="1" x14ac:dyDescent="0.25">
      <c r="A261" s="29"/>
      <c r="B261" s="151" t="s">
        <v>487</v>
      </c>
      <c r="C261" s="444">
        <v>656</v>
      </c>
      <c r="D261" s="416">
        <v>8</v>
      </c>
      <c r="E261" s="416">
        <v>1</v>
      </c>
      <c r="F261" s="389" t="s">
        <v>111</v>
      </c>
      <c r="G261" s="429">
        <v>112</v>
      </c>
      <c r="H261" s="268">
        <f>'по нов.7'!R140</f>
        <v>150000</v>
      </c>
      <c r="I261" s="269">
        <v>0</v>
      </c>
      <c r="J261" s="268">
        <f>'по нов.7'!W140</f>
        <v>0</v>
      </c>
      <c r="K261" s="269">
        <v>0</v>
      </c>
      <c r="L261" s="268">
        <f>'по нов.7'!X140</f>
        <v>0</v>
      </c>
      <c r="M261" s="269">
        <v>0</v>
      </c>
    </row>
    <row r="262" spans="1:13" s="10" customFormat="1" ht="36" x14ac:dyDescent="0.25">
      <c r="A262" s="29"/>
      <c r="B262" s="239" t="s">
        <v>491</v>
      </c>
      <c r="C262" s="441">
        <v>656</v>
      </c>
      <c r="D262" s="416">
        <v>8</v>
      </c>
      <c r="E262" s="416">
        <v>1</v>
      </c>
      <c r="F262" s="389" t="s">
        <v>111</v>
      </c>
      <c r="G262" s="348">
        <v>119</v>
      </c>
      <c r="H262" s="268">
        <f>'по нов.7'!R141</f>
        <v>551979</v>
      </c>
      <c r="I262" s="269">
        <v>0</v>
      </c>
      <c r="J262" s="268">
        <f>'по нов.7'!W141</f>
        <v>342314</v>
      </c>
      <c r="K262" s="269">
        <v>0</v>
      </c>
      <c r="L262" s="268">
        <f>'по нов.7'!X141</f>
        <v>342314</v>
      </c>
      <c r="M262" s="269">
        <v>0</v>
      </c>
    </row>
    <row r="263" spans="1:13" s="10" customFormat="1" ht="28.5" customHeight="1" x14ac:dyDescent="0.25">
      <c r="A263" s="29"/>
      <c r="B263" s="151" t="s">
        <v>128</v>
      </c>
      <c r="C263" s="444">
        <v>656</v>
      </c>
      <c r="D263" s="416">
        <v>8</v>
      </c>
      <c r="E263" s="416">
        <v>1</v>
      </c>
      <c r="F263" s="389" t="s">
        <v>111</v>
      </c>
      <c r="G263" s="429">
        <v>200</v>
      </c>
      <c r="H263" s="268">
        <f t="shared" ref="H263:M263" si="17">H264+H265</f>
        <v>1058768.46</v>
      </c>
      <c r="I263" s="269">
        <f t="shared" si="17"/>
        <v>0</v>
      </c>
      <c r="J263" s="268">
        <f t="shared" si="17"/>
        <v>67489</v>
      </c>
      <c r="K263" s="269">
        <f t="shared" si="17"/>
        <v>0</v>
      </c>
      <c r="L263" s="268">
        <f t="shared" si="17"/>
        <v>1288469</v>
      </c>
      <c r="M263" s="269">
        <f t="shared" si="17"/>
        <v>0</v>
      </c>
    </row>
    <row r="264" spans="1:13" s="10" customFormat="1" ht="23.25" customHeight="1" x14ac:dyDescent="0.25">
      <c r="A264" s="29"/>
      <c r="B264" s="239" t="s">
        <v>59</v>
      </c>
      <c r="C264" s="444">
        <v>656</v>
      </c>
      <c r="D264" s="416">
        <v>8</v>
      </c>
      <c r="E264" s="416">
        <v>1</v>
      </c>
      <c r="F264" s="389" t="s">
        <v>111</v>
      </c>
      <c r="G264" s="410">
        <v>242</v>
      </c>
      <c r="H264" s="275">
        <f>'по нов.7'!R143</f>
        <v>42700</v>
      </c>
      <c r="I264" s="276">
        <v>0</v>
      </c>
      <c r="J264" s="275">
        <f>'по нов.7'!W143</f>
        <v>42700</v>
      </c>
      <c r="K264" s="276">
        <v>0</v>
      </c>
      <c r="L264" s="275">
        <f>'по нов.7'!X143</f>
        <v>42700</v>
      </c>
      <c r="M264" s="276">
        <v>0</v>
      </c>
    </row>
    <row r="265" spans="1:13" s="10" customFormat="1" ht="27" customHeight="1" x14ac:dyDescent="0.25">
      <c r="A265" s="29"/>
      <c r="B265" s="229" t="s">
        <v>506</v>
      </c>
      <c r="C265" s="444">
        <v>656</v>
      </c>
      <c r="D265" s="416">
        <v>8</v>
      </c>
      <c r="E265" s="416">
        <v>1</v>
      </c>
      <c r="F265" s="389" t="s">
        <v>111</v>
      </c>
      <c r="G265" s="410">
        <v>244</v>
      </c>
      <c r="H265" s="275">
        <f>'по нов.7'!R144</f>
        <v>1016068.46</v>
      </c>
      <c r="I265" s="276">
        <v>0</v>
      </c>
      <c r="J265" s="275">
        <v>24789.000000000007</v>
      </c>
      <c r="K265" s="276">
        <v>0</v>
      </c>
      <c r="L265" s="275">
        <v>1245769</v>
      </c>
      <c r="M265" s="276">
        <v>0</v>
      </c>
    </row>
    <row r="266" spans="1:13" s="10" customFormat="1" ht="20.25" customHeight="1" x14ac:dyDescent="0.25">
      <c r="A266" s="29"/>
      <c r="B266" s="239" t="s">
        <v>78</v>
      </c>
      <c r="C266" s="444">
        <v>656</v>
      </c>
      <c r="D266" s="416">
        <v>8</v>
      </c>
      <c r="E266" s="416">
        <v>1</v>
      </c>
      <c r="F266" s="389" t="s">
        <v>111</v>
      </c>
      <c r="G266" s="410">
        <v>800</v>
      </c>
      <c r="H266" s="275">
        <f>H267+H268</f>
        <v>15000</v>
      </c>
      <c r="I266" s="276"/>
      <c r="J266" s="275">
        <f>J267+J268</f>
        <v>0</v>
      </c>
      <c r="K266" s="276"/>
      <c r="L266" s="275">
        <f>L267+L268</f>
        <v>0</v>
      </c>
      <c r="M266" s="275"/>
    </row>
    <row r="267" spans="1:13" s="10" customFormat="1" ht="18" customHeight="1" x14ac:dyDescent="0.25">
      <c r="A267" s="29"/>
      <c r="B267" s="151" t="s">
        <v>488</v>
      </c>
      <c r="C267" s="444">
        <v>656</v>
      </c>
      <c r="D267" s="416">
        <v>8</v>
      </c>
      <c r="E267" s="416">
        <v>1</v>
      </c>
      <c r="F267" s="389" t="s">
        <v>111</v>
      </c>
      <c r="G267" s="410">
        <v>851</v>
      </c>
      <c r="H267" s="275">
        <f>'по нов.7'!R146</f>
        <v>12000</v>
      </c>
      <c r="I267" s="276">
        <v>0</v>
      </c>
      <c r="J267" s="275">
        <f>'по нов.7'!W146</f>
        <v>0</v>
      </c>
      <c r="K267" s="276">
        <v>0</v>
      </c>
      <c r="L267" s="275">
        <f>'по нов.7'!X146</f>
        <v>0</v>
      </c>
      <c r="M267" s="275">
        <v>0</v>
      </c>
    </row>
    <row r="268" spans="1:13" s="10" customFormat="1" ht="18" customHeight="1" x14ac:dyDescent="0.25">
      <c r="A268" s="29"/>
      <c r="B268" s="151" t="s">
        <v>348</v>
      </c>
      <c r="C268" s="444">
        <v>656</v>
      </c>
      <c r="D268" s="416">
        <v>8</v>
      </c>
      <c r="E268" s="416">
        <v>1</v>
      </c>
      <c r="F268" s="389" t="s">
        <v>111</v>
      </c>
      <c r="G268" s="410">
        <v>853</v>
      </c>
      <c r="H268" s="275">
        <f>'по нов.7'!R148</f>
        <v>3000</v>
      </c>
      <c r="I268" s="276">
        <v>0</v>
      </c>
      <c r="J268" s="275">
        <f>'по нов.7'!W148</f>
        <v>0</v>
      </c>
      <c r="K268" s="276">
        <v>0</v>
      </c>
      <c r="L268" s="275">
        <f>'по нов.7'!X148</f>
        <v>0</v>
      </c>
      <c r="M268" s="275">
        <v>0</v>
      </c>
    </row>
    <row r="269" spans="1:13" s="10" customFormat="1" ht="42" customHeight="1" x14ac:dyDescent="0.25">
      <c r="A269" s="29"/>
      <c r="B269" s="224" t="s">
        <v>471</v>
      </c>
      <c r="C269" s="444">
        <v>656</v>
      </c>
      <c r="D269" s="416">
        <v>8</v>
      </c>
      <c r="E269" s="416">
        <v>1</v>
      </c>
      <c r="F269" s="347" t="s">
        <v>473</v>
      </c>
      <c r="G269" s="384">
        <v>0</v>
      </c>
      <c r="H269" s="275">
        <v>0</v>
      </c>
      <c r="I269" s="276">
        <v>0</v>
      </c>
      <c r="J269" s="275">
        <v>0</v>
      </c>
      <c r="K269" s="276">
        <v>0</v>
      </c>
      <c r="L269" s="275">
        <f>L270+L273</f>
        <v>101010.1</v>
      </c>
      <c r="M269" s="275">
        <v>0</v>
      </c>
    </row>
    <row r="270" spans="1:13" s="10" customFormat="1" ht="72.599999999999994" customHeight="1" x14ac:dyDescent="0.25">
      <c r="A270" s="29"/>
      <c r="B270" s="224" t="s">
        <v>485</v>
      </c>
      <c r="C270" s="444">
        <v>656</v>
      </c>
      <c r="D270" s="416">
        <v>8</v>
      </c>
      <c r="E270" s="416">
        <v>1</v>
      </c>
      <c r="F270" s="347" t="s">
        <v>474</v>
      </c>
      <c r="G270" s="384">
        <v>0</v>
      </c>
      <c r="H270" s="268">
        <v>0</v>
      </c>
      <c r="I270" s="269">
        <v>0</v>
      </c>
      <c r="J270" s="268">
        <v>0</v>
      </c>
      <c r="K270" s="269">
        <v>0</v>
      </c>
      <c r="L270" s="268">
        <f>L271</f>
        <v>100000</v>
      </c>
      <c r="M270" s="268">
        <v>0</v>
      </c>
    </row>
    <row r="271" spans="1:13" s="10" customFormat="1" ht="28.5" customHeight="1" x14ac:dyDescent="0.25">
      <c r="A271" s="29"/>
      <c r="B271" s="151" t="s">
        <v>128</v>
      </c>
      <c r="C271" s="444">
        <v>656</v>
      </c>
      <c r="D271" s="416">
        <v>8</v>
      </c>
      <c r="E271" s="416">
        <v>1</v>
      </c>
      <c r="F271" s="347" t="s">
        <v>474</v>
      </c>
      <c r="G271" s="429">
        <v>200</v>
      </c>
      <c r="H271" s="268">
        <f t="shared" ref="H271:K271" si="18">H272+H273</f>
        <v>0</v>
      </c>
      <c r="I271" s="269">
        <f t="shared" si="18"/>
        <v>0</v>
      </c>
      <c r="J271" s="268">
        <f t="shared" si="18"/>
        <v>0</v>
      </c>
      <c r="K271" s="269">
        <f t="shared" si="18"/>
        <v>0</v>
      </c>
      <c r="L271" s="268">
        <f>L272</f>
        <v>100000</v>
      </c>
      <c r="M271" s="268">
        <v>0</v>
      </c>
    </row>
    <row r="272" spans="1:13" s="10" customFormat="1" ht="27" customHeight="1" x14ac:dyDescent="0.25">
      <c r="A272" s="29"/>
      <c r="B272" s="224" t="s">
        <v>472</v>
      </c>
      <c r="C272" s="444">
        <v>656</v>
      </c>
      <c r="D272" s="416">
        <v>8</v>
      </c>
      <c r="E272" s="416">
        <v>1</v>
      </c>
      <c r="F272" s="347" t="s">
        <v>474</v>
      </c>
      <c r="G272" s="430">
        <v>244</v>
      </c>
      <c r="H272" s="275">
        <v>0</v>
      </c>
      <c r="I272" s="276">
        <v>0</v>
      </c>
      <c r="J272" s="275">
        <v>0</v>
      </c>
      <c r="K272" s="276">
        <v>0</v>
      </c>
      <c r="L272" s="275">
        <f>'по нов.7'!X155</f>
        <v>100000</v>
      </c>
      <c r="M272" s="275">
        <v>0</v>
      </c>
    </row>
    <row r="273" spans="1:13" s="10" customFormat="1" ht="54" customHeight="1" x14ac:dyDescent="0.25">
      <c r="A273" s="29"/>
      <c r="B273" s="224" t="s">
        <v>511</v>
      </c>
      <c r="C273" s="444">
        <v>656</v>
      </c>
      <c r="D273" s="416">
        <v>8</v>
      </c>
      <c r="E273" s="416">
        <v>1</v>
      </c>
      <c r="F273" s="347" t="s">
        <v>475</v>
      </c>
      <c r="G273" s="384">
        <v>0</v>
      </c>
      <c r="H273" s="268">
        <v>0</v>
      </c>
      <c r="I273" s="269">
        <v>0</v>
      </c>
      <c r="J273" s="268">
        <v>0</v>
      </c>
      <c r="K273" s="269">
        <v>0</v>
      </c>
      <c r="L273" s="268">
        <f>L274</f>
        <v>1010.1</v>
      </c>
      <c r="M273" s="268">
        <v>0</v>
      </c>
    </row>
    <row r="274" spans="1:13" s="10" customFormat="1" ht="28.5" customHeight="1" x14ac:dyDescent="0.25">
      <c r="A274" s="29"/>
      <c r="B274" s="151" t="s">
        <v>128</v>
      </c>
      <c r="C274" s="444">
        <v>656</v>
      </c>
      <c r="D274" s="416">
        <v>8</v>
      </c>
      <c r="E274" s="416">
        <v>1</v>
      </c>
      <c r="F274" s="347" t="s">
        <v>475</v>
      </c>
      <c r="G274" s="429">
        <v>200</v>
      </c>
      <c r="H274" s="268">
        <v>0</v>
      </c>
      <c r="I274" s="269">
        <f t="shared" ref="I274:M274" si="19">I275+I276</f>
        <v>0</v>
      </c>
      <c r="J274" s="268">
        <v>0</v>
      </c>
      <c r="K274" s="269">
        <f t="shared" si="19"/>
        <v>0</v>
      </c>
      <c r="L274" s="268">
        <f>L275</f>
        <v>1010.1</v>
      </c>
      <c r="M274" s="268">
        <f t="shared" si="19"/>
        <v>0</v>
      </c>
    </row>
    <row r="275" spans="1:13" s="10" customFormat="1" ht="27" customHeight="1" thickBot="1" x14ac:dyDescent="0.3">
      <c r="A275" s="29"/>
      <c r="B275" s="229" t="s">
        <v>506</v>
      </c>
      <c r="C275" s="444">
        <v>656</v>
      </c>
      <c r="D275" s="416">
        <v>8</v>
      </c>
      <c r="E275" s="416">
        <v>1</v>
      </c>
      <c r="F275" s="382" t="s">
        <v>475</v>
      </c>
      <c r="G275" s="431">
        <v>244</v>
      </c>
      <c r="H275" s="275">
        <f>'по нов.7'!R153</f>
        <v>0</v>
      </c>
      <c r="I275" s="276">
        <v>0</v>
      </c>
      <c r="J275" s="275">
        <f>'по нов.7'!W153</f>
        <v>0</v>
      </c>
      <c r="K275" s="276">
        <v>0</v>
      </c>
      <c r="L275" s="275">
        <f>'по нов.7'!X158</f>
        <v>1010.1</v>
      </c>
      <c r="M275" s="275">
        <v>0</v>
      </c>
    </row>
    <row r="276" spans="1:13" s="36" customFormat="1" ht="15" customHeight="1" thickBot="1" x14ac:dyDescent="0.3">
      <c r="A276" s="34"/>
      <c r="B276" s="165" t="s">
        <v>34</v>
      </c>
      <c r="C276" s="447">
        <v>656</v>
      </c>
      <c r="D276" s="405">
        <v>8</v>
      </c>
      <c r="E276" s="405">
        <v>2</v>
      </c>
      <c r="F276" s="399" t="s">
        <v>122</v>
      </c>
      <c r="G276" s="432">
        <v>0</v>
      </c>
      <c r="H276" s="287">
        <f>H277</f>
        <v>355211</v>
      </c>
      <c r="I276" s="288">
        <v>0</v>
      </c>
      <c r="J276" s="287">
        <f>J277</f>
        <v>429660</v>
      </c>
      <c r="K276" s="288">
        <v>0</v>
      </c>
      <c r="L276" s="287">
        <f>L277</f>
        <v>429660</v>
      </c>
      <c r="M276" s="288">
        <v>0</v>
      </c>
    </row>
    <row r="277" spans="1:13" s="36" customFormat="1" ht="25.5" customHeight="1" x14ac:dyDescent="0.25">
      <c r="A277" s="34"/>
      <c r="B277" s="156" t="s">
        <v>437</v>
      </c>
      <c r="C277" s="444">
        <v>656</v>
      </c>
      <c r="D277" s="402">
        <v>8</v>
      </c>
      <c r="E277" s="402">
        <v>2</v>
      </c>
      <c r="F277" s="389" t="s">
        <v>112</v>
      </c>
      <c r="G277" s="348">
        <v>0</v>
      </c>
      <c r="H277" s="287">
        <f>H279</f>
        <v>355211</v>
      </c>
      <c r="I277" s="288">
        <v>0</v>
      </c>
      <c r="J277" s="287">
        <f>J279</f>
        <v>429660</v>
      </c>
      <c r="K277" s="288">
        <v>0</v>
      </c>
      <c r="L277" s="287">
        <f>L279</f>
        <v>429660</v>
      </c>
      <c r="M277" s="288">
        <v>0</v>
      </c>
    </row>
    <row r="278" spans="1:13" s="36" customFormat="1" ht="54" customHeight="1" x14ac:dyDescent="0.25">
      <c r="A278" s="34"/>
      <c r="B278" s="156" t="s">
        <v>438</v>
      </c>
      <c r="C278" s="444">
        <v>656</v>
      </c>
      <c r="D278" s="416">
        <v>8</v>
      </c>
      <c r="E278" s="416">
        <v>2</v>
      </c>
      <c r="F278" s="389" t="s">
        <v>111</v>
      </c>
      <c r="G278" s="429">
        <v>0</v>
      </c>
      <c r="H278" s="275">
        <f>H277</f>
        <v>355211</v>
      </c>
      <c r="I278" s="276">
        <v>0</v>
      </c>
      <c r="J278" s="275">
        <f>J277</f>
        <v>429660</v>
      </c>
      <c r="K278" s="276">
        <v>0</v>
      </c>
      <c r="L278" s="275">
        <f>L277</f>
        <v>429660</v>
      </c>
      <c r="M278" s="276">
        <v>0</v>
      </c>
    </row>
    <row r="279" spans="1:13" s="10" customFormat="1" ht="51" customHeight="1" x14ac:dyDescent="0.25">
      <c r="A279" s="29"/>
      <c r="B279" s="151" t="s">
        <v>75</v>
      </c>
      <c r="C279" s="444">
        <v>656</v>
      </c>
      <c r="D279" s="416">
        <v>8</v>
      </c>
      <c r="E279" s="416">
        <v>2</v>
      </c>
      <c r="F279" s="389" t="s">
        <v>111</v>
      </c>
      <c r="G279" s="384">
        <v>100</v>
      </c>
      <c r="H279" s="275">
        <f>H280+H282</f>
        <v>355211</v>
      </c>
      <c r="I279" s="276">
        <f>I280</f>
        <v>0</v>
      </c>
      <c r="J279" s="275">
        <f>J280+J282</f>
        <v>429660</v>
      </c>
      <c r="K279" s="276">
        <f>K280</f>
        <v>0</v>
      </c>
      <c r="L279" s="275">
        <f>L280+L282</f>
        <v>429660</v>
      </c>
      <c r="M279" s="276">
        <f>M280</f>
        <v>0</v>
      </c>
    </row>
    <row r="280" spans="1:13" s="10" customFormat="1" ht="16.5" customHeight="1" x14ac:dyDescent="0.25">
      <c r="A280" s="29"/>
      <c r="B280" s="239" t="s">
        <v>136</v>
      </c>
      <c r="C280" s="444">
        <v>656</v>
      </c>
      <c r="D280" s="416">
        <v>8</v>
      </c>
      <c r="E280" s="416">
        <v>2</v>
      </c>
      <c r="F280" s="389" t="s">
        <v>111</v>
      </c>
      <c r="G280" s="384">
        <v>111</v>
      </c>
      <c r="H280" s="275">
        <f>'по нов.7'!R150</f>
        <v>280500</v>
      </c>
      <c r="I280" s="276">
        <v>0</v>
      </c>
      <c r="J280" s="275">
        <f>'по нов.7'!W150</f>
        <v>330000</v>
      </c>
      <c r="K280" s="276">
        <v>0</v>
      </c>
      <c r="L280" s="275">
        <f>'по нов.7'!X150</f>
        <v>330000</v>
      </c>
      <c r="M280" s="276">
        <v>0</v>
      </c>
    </row>
    <row r="281" spans="1:13" s="10" customFormat="1" ht="18" hidden="1" customHeight="1" x14ac:dyDescent="0.25">
      <c r="A281" s="29"/>
      <c r="B281" s="239" t="s">
        <v>59</v>
      </c>
      <c r="C281" s="441"/>
      <c r="D281" s="416">
        <v>8</v>
      </c>
      <c r="E281" s="416">
        <v>2</v>
      </c>
      <c r="F281" s="389" t="s">
        <v>73</v>
      </c>
      <c r="G281" s="384">
        <v>242</v>
      </c>
      <c r="H281" s="275"/>
      <c r="I281" s="276"/>
      <c r="J281" s="275"/>
      <c r="K281" s="276"/>
      <c r="L281" s="275"/>
      <c r="M281" s="276"/>
    </row>
    <row r="282" spans="1:13" s="10" customFormat="1" ht="36.6" thickBot="1" x14ac:dyDescent="0.3">
      <c r="A282" s="29"/>
      <c r="B282" s="239" t="s">
        <v>491</v>
      </c>
      <c r="C282" s="441">
        <v>656</v>
      </c>
      <c r="D282" s="416">
        <v>8</v>
      </c>
      <c r="E282" s="416">
        <v>2</v>
      </c>
      <c r="F282" s="389" t="s">
        <v>111</v>
      </c>
      <c r="G282" s="348">
        <v>119</v>
      </c>
      <c r="H282" s="268">
        <f>'по нов.7'!R151</f>
        <v>74711</v>
      </c>
      <c r="I282" s="269">
        <v>0</v>
      </c>
      <c r="J282" s="268">
        <f>'по нов.7'!W151</f>
        <v>99660</v>
      </c>
      <c r="K282" s="269">
        <v>0</v>
      </c>
      <c r="L282" s="268">
        <f>'по нов.7'!X151</f>
        <v>99660</v>
      </c>
      <c r="M282" s="269">
        <v>0</v>
      </c>
    </row>
    <row r="283" spans="1:13" s="36" customFormat="1" ht="14.25" customHeight="1" thickBot="1" x14ac:dyDescent="0.3">
      <c r="A283" s="34"/>
      <c r="B283" s="168" t="s">
        <v>46</v>
      </c>
      <c r="C283" s="439">
        <v>656</v>
      </c>
      <c r="D283" s="427">
        <v>10</v>
      </c>
      <c r="E283" s="427">
        <v>0</v>
      </c>
      <c r="F283" s="399" t="s">
        <v>122</v>
      </c>
      <c r="G283" s="433">
        <v>0</v>
      </c>
      <c r="H283" s="289">
        <f>H288</f>
        <v>147500</v>
      </c>
      <c r="I283" s="290">
        <v>0</v>
      </c>
      <c r="J283" s="289">
        <f>J288</f>
        <v>0</v>
      </c>
      <c r="K283" s="290">
        <v>0</v>
      </c>
      <c r="L283" s="289">
        <f>L288</f>
        <v>106989.9</v>
      </c>
      <c r="M283" s="290">
        <v>0</v>
      </c>
    </row>
    <row r="284" spans="1:13" s="36" customFormat="1" ht="14.25" customHeight="1" thickBot="1" x14ac:dyDescent="0.3">
      <c r="A284" s="34"/>
      <c r="B284" s="163" t="s">
        <v>48</v>
      </c>
      <c r="C284" s="444">
        <v>656</v>
      </c>
      <c r="D284" s="422">
        <v>10</v>
      </c>
      <c r="E284" s="422">
        <v>1</v>
      </c>
      <c r="F284" s="399" t="s">
        <v>122</v>
      </c>
      <c r="G284" s="414">
        <v>0</v>
      </c>
      <c r="H284" s="287">
        <f>H285</f>
        <v>147500</v>
      </c>
      <c r="I284" s="288">
        <v>0</v>
      </c>
      <c r="J284" s="287">
        <f>J285</f>
        <v>0</v>
      </c>
      <c r="K284" s="288">
        <v>0</v>
      </c>
      <c r="L284" s="287">
        <f>L285</f>
        <v>106989.9</v>
      </c>
      <c r="M284" s="288">
        <v>0</v>
      </c>
    </row>
    <row r="285" spans="1:13" s="36" customFormat="1" ht="36" customHeight="1" x14ac:dyDescent="0.25">
      <c r="A285" s="34"/>
      <c r="B285" s="240" t="s">
        <v>426</v>
      </c>
      <c r="C285" s="444">
        <v>656</v>
      </c>
      <c r="D285" s="422">
        <v>10</v>
      </c>
      <c r="E285" s="422">
        <v>1</v>
      </c>
      <c r="F285" s="434" t="s">
        <v>72</v>
      </c>
      <c r="G285" s="423">
        <v>0</v>
      </c>
      <c r="H285" s="285">
        <f>H286</f>
        <v>147500</v>
      </c>
      <c r="I285" s="286">
        <v>0</v>
      </c>
      <c r="J285" s="285">
        <f>J286</f>
        <v>0</v>
      </c>
      <c r="K285" s="286">
        <v>0</v>
      </c>
      <c r="L285" s="285">
        <f>L286</f>
        <v>106989.9</v>
      </c>
      <c r="M285" s="286">
        <v>0</v>
      </c>
    </row>
    <row r="286" spans="1:13" s="10" customFormat="1" ht="55.8" customHeight="1" x14ac:dyDescent="0.25">
      <c r="A286" s="29"/>
      <c r="B286" s="239" t="s">
        <v>483</v>
      </c>
      <c r="C286" s="444">
        <v>656</v>
      </c>
      <c r="D286" s="416">
        <v>10</v>
      </c>
      <c r="E286" s="416">
        <v>1</v>
      </c>
      <c r="F286" s="360" t="s">
        <v>104</v>
      </c>
      <c r="G286" s="354">
        <v>0</v>
      </c>
      <c r="H286" s="275">
        <f>H288</f>
        <v>147500</v>
      </c>
      <c r="I286" s="276">
        <v>0</v>
      </c>
      <c r="J286" s="275">
        <f>J288</f>
        <v>0</v>
      </c>
      <c r="K286" s="276">
        <v>0</v>
      </c>
      <c r="L286" s="275">
        <f>L288</f>
        <v>106989.9</v>
      </c>
      <c r="M286" s="276">
        <v>0</v>
      </c>
    </row>
    <row r="287" spans="1:13" s="10" customFormat="1" ht="15.75" customHeight="1" x14ac:dyDescent="0.25">
      <c r="A287" s="29"/>
      <c r="B287" s="239" t="s">
        <v>80</v>
      </c>
      <c r="C287" s="444">
        <v>656</v>
      </c>
      <c r="D287" s="416">
        <v>10</v>
      </c>
      <c r="E287" s="416">
        <v>1</v>
      </c>
      <c r="F287" s="360" t="s">
        <v>104</v>
      </c>
      <c r="G287" s="354">
        <v>300</v>
      </c>
      <c r="H287" s="275">
        <f>H288</f>
        <v>147500</v>
      </c>
      <c r="I287" s="276">
        <v>0</v>
      </c>
      <c r="J287" s="275">
        <f>J288</f>
        <v>0</v>
      </c>
      <c r="K287" s="276">
        <v>0</v>
      </c>
      <c r="L287" s="275">
        <f>L288</f>
        <v>106989.9</v>
      </c>
      <c r="M287" s="276">
        <v>0</v>
      </c>
    </row>
    <row r="288" spans="1:13" s="10" customFormat="1" ht="25.5" customHeight="1" thickBot="1" x14ac:dyDescent="0.3">
      <c r="A288" s="29"/>
      <c r="B288" s="156" t="s">
        <v>64</v>
      </c>
      <c r="C288" s="444">
        <v>656</v>
      </c>
      <c r="D288" s="416">
        <v>10</v>
      </c>
      <c r="E288" s="416">
        <v>1</v>
      </c>
      <c r="F288" s="360" t="s">
        <v>104</v>
      </c>
      <c r="G288" s="354">
        <v>321</v>
      </c>
      <c r="H288" s="275">
        <f>'по нов.7'!R106</f>
        <v>147500</v>
      </c>
      <c r="I288" s="276">
        <v>0</v>
      </c>
      <c r="J288" s="275">
        <f>'по нов.7'!W106</f>
        <v>0</v>
      </c>
      <c r="K288" s="276">
        <v>0</v>
      </c>
      <c r="L288" s="275">
        <f>'по нов.7'!X106</f>
        <v>106989.9</v>
      </c>
      <c r="M288" s="276">
        <v>0</v>
      </c>
    </row>
    <row r="289" spans="1:13" s="36" customFormat="1" ht="13.8" thickBot="1" x14ac:dyDescent="0.3">
      <c r="A289" s="34"/>
      <c r="B289" s="169" t="s">
        <v>35</v>
      </c>
      <c r="C289" s="439">
        <v>656</v>
      </c>
      <c r="D289" s="398">
        <v>11</v>
      </c>
      <c r="E289" s="398">
        <v>0</v>
      </c>
      <c r="F289" s="399" t="s">
        <v>122</v>
      </c>
      <c r="G289" s="373">
        <v>0</v>
      </c>
      <c r="H289" s="264">
        <f>H291</f>
        <v>1778080</v>
      </c>
      <c r="I289" s="265">
        <v>0</v>
      </c>
      <c r="J289" s="264">
        <f>J291</f>
        <v>1951000</v>
      </c>
      <c r="K289" s="265">
        <v>0</v>
      </c>
      <c r="L289" s="264">
        <f>L291</f>
        <v>1951000</v>
      </c>
      <c r="M289" s="265">
        <v>0</v>
      </c>
    </row>
    <row r="290" spans="1:13" s="36" customFormat="1" ht="14.25" customHeight="1" thickBot="1" x14ac:dyDescent="0.3">
      <c r="A290" s="34"/>
      <c r="B290" s="169" t="s">
        <v>140</v>
      </c>
      <c r="C290" s="444">
        <v>656</v>
      </c>
      <c r="D290" s="422">
        <v>11</v>
      </c>
      <c r="E290" s="422">
        <v>1</v>
      </c>
      <c r="F290" s="399" t="s">
        <v>122</v>
      </c>
      <c r="G290" s="414">
        <v>0</v>
      </c>
      <c r="H290" s="287">
        <f>H291</f>
        <v>1778080</v>
      </c>
      <c r="I290" s="288">
        <v>0</v>
      </c>
      <c r="J290" s="287">
        <f>J291</f>
        <v>1951000</v>
      </c>
      <c r="K290" s="288">
        <v>0</v>
      </c>
      <c r="L290" s="287">
        <f>L291</f>
        <v>1951000</v>
      </c>
      <c r="M290" s="288">
        <v>0</v>
      </c>
    </row>
    <row r="291" spans="1:13" s="36" customFormat="1" ht="46.5" customHeight="1" x14ac:dyDescent="0.25">
      <c r="A291" s="34"/>
      <c r="B291" s="163" t="s">
        <v>439</v>
      </c>
      <c r="C291" s="444">
        <v>656</v>
      </c>
      <c r="D291" s="400">
        <v>11</v>
      </c>
      <c r="E291" s="400">
        <v>1</v>
      </c>
      <c r="F291" s="420" t="s">
        <v>113</v>
      </c>
      <c r="G291" s="401">
        <v>0</v>
      </c>
      <c r="H291" s="266">
        <f>H292+H297+H300</f>
        <v>1778080</v>
      </c>
      <c r="I291" s="267">
        <v>0</v>
      </c>
      <c r="J291" s="266">
        <f>J292+J297</f>
        <v>1951000</v>
      </c>
      <c r="K291" s="267">
        <v>0</v>
      </c>
      <c r="L291" s="266">
        <f>L292+L297</f>
        <v>1951000</v>
      </c>
      <c r="M291" s="267">
        <v>0</v>
      </c>
    </row>
    <row r="292" spans="1:13" s="10" customFormat="1" ht="69.599999999999994" customHeight="1" x14ac:dyDescent="0.25">
      <c r="A292" s="29"/>
      <c r="B292" s="239" t="s">
        <v>440</v>
      </c>
      <c r="C292" s="444">
        <v>656</v>
      </c>
      <c r="D292" s="402">
        <v>11</v>
      </c>
      <c r="E292" s="402">
        <v>1</v>
      </c>
      <c r="F292" s="378" t="s">
        <v>114</v>
      </c>
      <c r="G292" s="348">
        <v>0</v>
      </c>
      <c r="H292" s="268">
        <f>H293</f>
        <v>485000</v>
      </c>
      <c r="I292" s="269">
        <v>0</v>
      </c>
      <c r="J292" s="268">
        <f>J293</f>
        <v>651000</v>
      </c>
      <c r="K292" s="269">
        <v>0</v>
      </c>
      <c r="L292" s="268">
        <f>L293</f>
        <v>651000</v>
      </c>
      <c r="M292" s="269">
        <v>0</v>
      </c>
    </row>
    <row r="293" spans="1:13" s="10" customFormat="1" ht="48" x14ac:dyDescent="0.25">
      <c r="A293" s="29"/>
      <c r="B293" s="151" t="s">
        <v>75</v>
      </c>
      <c r="C293" s="444">
        <v>656</v>
      </c>
      <c r="D293" s="425">
        <v>11</v>
      </c>
      <c r="E293" s="425">
        <v>1</v>
      </c>
      <c r="F293" s="378" t="s">
        <v>114</v>
      </c>
      <c r="G293" s="348">
        <v>100</v>
      </c>
      <c r="H293" s="268">
        <f>H294+H296+H295</f>
        <v>485000</v>
      </c>
      <c r="I293" s="269">
        <v>0</v>
      </c>
      <c r="J293" s="268">
        <f>J294+J296+J295</f>
        <v>651000</v>
      </c>
      <c r="K293" s="269">
        <v>0</v>
      </c>
      <c r="L293" s="268">
        <f>L294+L296+L295</f>
        <v>651000</v>
      </c>
      <c r="M293" s="269">
        <v>0</v>
      </c>
    </row>
    <row r="294" spans="1:13" s="10" customFormat="1" x14ac:dyDescent="0.25">
      <c r="A294" s="29"/>
      <c r="B294" s="239" t="s">
        <v>490</v>
      </c>
      <c r="C294" s="444">
        <v>656</v>
      </c>
      <c r="D294" s="402">
        <v>11</v>
      </c>
      <c r="E294" s="402">
        <v>1</v>
      </c>
      <c r="F294" s="378" t="s">
        <v>114</v>
      </c>
      <c r="G294" s="348">
        <v>111</v>
      </c>
      <c r="H294" s="268">
        <f>'по нов.7'!R162</f>
        <v>360340.66000000003</v>
      </c>
      <c r="I294" s="269">
        <v>0</v>
      </c>
      <c r="J294" s="268">
        <f>'по нов.7'!W162</f>
        <v>500000</v>
      </c>
      <c r="K294" s="269">
        <v>0</v>
      </c>
      <c r="L294" s="268">
        <f>'по нов.7'!X162</f>
        <v>500000</v>
      </c>
      <c r="M294" s="269">
        <v>0</v>
      </c>
    </row>
    <row r="295" spans="1:13" s="10" customFormat="1" ht="24" x14ac:dyDescent="0.25">
      <c r="A295" s="29"/>
      <c r="B295" s="239" t="s">
        <v>487</v>
      </c>
      <c r="C295" s="444">
        <v>656</v>
      </c>
      <c r="D295" s="402">
        <v>11</v>
      </c>
      <c r="E295" s="402">
        <v>1</v>
      </c>
      <c r="F295" s="378" t="s">
        <v>114</v>
      </c>
      <c r="G295" s="348">
        <v>112</v>
      </c>
      <c r="H295" s="268">
        <f>'по нов.7'!R163</f>
        <v>2000</v>
      </c>
      <c r="I295" s="269"/>
      <c r="J295" s="268">
        <f>'по нов.7'!W163</f>
        <v>0</v>
      </c>
      <c r="K295" s="269"/>
      <c r="L295" s="268">
        <f>'по нов.7'!X163</f>
        <v>0</v>
      </c>
      <c r="M295" s="269"/>
    </row>
    <row r="296" spans="1:13" s="10" customFormat="1" ht="36" x14ac:dyDescent="0.25">
      <c r="A296" s="29"/>
      <c r="B296" s="239" t="s">
        <v>491</v>
      </c>
      <c r="C296" s="441">
        <v>656</v>
      </c>
      <c r="D296" s="402">
        <v>11</v>
      </c>
      <c r="E296" s="402">
        <v>1</v>
      </c>
      <c r="F296" s="378" t="s">
        <v>114</v>
      </c>
      <c r="G296" s="348">
        <v>119</v>
      </c>
      <c r="H296" s="268">
        <f>'по нов.7'!R164</f>
        <v>122659.34</v>
      </c>
      <c r="I296" s="269">
        <v>0</v>
      </c>
      <c r="J296" s="268">
        <f>'по нов.7'!W164</f>
        <v>151000</v>
      </c>
      <c r="K296" s="269">
        <v>0</v>
      </c>
      <c r="L296" s="268">
        <f>'по нов.7'!X164</f>
        <v>151000</v>
      </c>
      <c r="M296" s="269">
        <v>0</v>
      </c>
    </row>
    <row r="297" spans="1:13" s="10" customFormat="1" ht="67.5" hidden="1" customHeight="1" x14ac:dyDescent="0.25">
      <c r="A297" s="29"/>
      <c r="B297" s="164" t="s">
        <v>470</v>
      </c>
      <c r="C297" s="444">
        <v>656</v>
      </c>
      <c r="D297" s="425">
        <v>11</v>
      </c>
      <c r="E297" s="425">
        <v>1</v>
      </c>
      <c r="F297" s="378" t="s">
        <v>114</v>
      </c>
      <c r="G297" s="374">
        <v>0</v>
      </c>
      <c r="H297" s="278">
        <f>H299</f>
        <v>1185080</v>
      </c>
      <c r="I297" s="279">
        <v>0</v>
      </c>
      <c r="J297" s="278">
        <f>J299</f>
        <v>1300000</v>
      </c>
      <c r="K297" s="279">
        <v>0</v>
      </c>
      <c r="L297" s="278">
        <f>L299</f>
        <v>1300000</v>
      </c>
      <c r="M297" s="279">
        <v>0</v>
      </c>
    </row>
    <row r="298" spans="1:13" s="10" customFormat="1" ht="26.25" customHeight="1" x14ac:dyDescent="0.25">
      <c r="A298" s="29"/>
      <c r="B298" s="151" t="s">
        <v>128</v>
      </c>
      <c r="C298" s="444">
        <v>656</v>
      </c>
      <c r="D298" s="425">
        <v>11</v>
      </c>
      <c r="E298" s="425">
        <v>1</v>
      </c>
      <c r="F298" s="378" t="s">
        <v>114</v>
      </c>
      <c r="G298" s="374">
        <v>200</v>
      </c>
      <c r="H298" s="268">
        <f>H299</f>
        <v>1185080</v>
      </c>
      <c r="I298" s="269">
        <v>0</v>
      </c>
      <c r="J298" s="268">
        <f>J299</f>
        <v>1300000</v>
      </c>
      <c r="K298" s="269">
        <v>0</v>
      </c>
      <c r="L298" s="268">
        <f>L299</f>
        <v>1300000</v>
      </c>
      <c r="M298" s="269">
        <v>0</v>
      </c>
    </row>
    <row r="299" spans="1:13" s="10" customFormat="1" ht="36" x14ac:dyDescent="0.25">
      <c r="A299" s="29"/>
      <c r="B299" s="229" t="s">
        <v>506</v>
      </c>
      <c r="C299" s="444">
        <v>656</v>
      </c>
      <c r="D299" s="402">
        <v>11</v>
      </c>
      <c r="E299" s="402">
        <v>1</v>
      </c>
      <c r="F299" s="378" t="s">
        <v>114</v>
      </c>
      <c r="G299" s="348">
        <v>244</v>
      </c>
      <c r="H299" s="268">
        <f>'по нов.7'!R167</f>
        <v>1185080</v>
      </c>
      <c r="I299" s="269">
        <v>0</v>
      </c>
      <c r="J299" s="268">
        <f>'по нов.7'!W167</f>
        <v>1300000</v>
      </c>
      <c r="K299" s="269">
        <v>0</v>
      </c>
      <c r="L299" s="268">
        <f>'по нов.7'!X167</f>
        <v>1300000</v>
      </c>
      <c r="M299" s="269">
        <v>0</v>
      </c>
    </row>
    <row r="300" spans="1:13" s="10" customFormat="1" ht="48" x14ac:dyDescent="0.25">
      <c r="A300" s="29"/>
      <c r="B300" s="151" t="s">
        <v>75</v>
      </c>
      <c r="C300" s="444">
        <v>656</v>
      </c>
      <c r="D300" s="425">
        <v>11</v>
      </c>
      <c r="E300" s="425">
        <v>1</v>
      </c>
      <c r="F300" s="378" t="s">
        <v>114</v>
      </c>
      <c r="G300" s="348">
        <v>100</v>
      </c>
      <c r="H300" s="268">
        <f>H301+H302</f>
        <v>108000</v>
      </c>
      <c r="I300" s="269">
        <v>0</v>
      </c>
      <c r="J300" s="268">
        <f>J301+J302</f>
        <v>0</v>
      </c>
      <c r="K300" s="269">
        <v>0</v>
      </c>
      <c r="L300" s="268">
        <f>L301+L302</f>
        <v>0</v>
      </c>
      <c r="M300" s="269">
        <v>0</v>
      </c>
    </row>
    <row r="301" spans="1:13" s="10" customFormat="1" x14ac:dyDescent="0.25">
      <c r="A301" s="29"/>
      <c r="B301" s="239" t="s">
        <v>490</v>
      </c>
      <c r="C301" s="444">
        <v>656</v>
      </c>
      <c r="D301" s="402">
        <v>11</v>
      </c>
      <c r="E301" s="402">
        <v>1</v>
      </c>
      <c r="F301" s="378" t="s">
        <v>114</v>
      </c>
      <c r="G301" s="348">
        <v>111</v>
      </c>
      <c r="H301" s="268">
        <f>'по нов.7'!R169</f>
        <v>72340.66</v>
      </c>
      <c r="I301" s="269">
        <v>0</v>
      </c>
      <c r="J301" s="268">
        <f>'по нов.7'!W169</f>
        <v>0</v>
      </c>
      <c r="K301" s="269">
        <v>0</v>
      </c>
      <c r="L301" s="268">
        <f>'по нов.7'!X169</f>
        <v>0</v>
      </c>
      <c r="M301" s="269">
        <v>0</v>
      </c>
    </row>
    <row r="302" spans="1:13" s="10" customFormat="1" ht="36.6" thickBot="1" x14ac:dyDescent="0.3">
      <c r="A302" s="29"/>
      <c r="B302" s="239" t="s">
        <v>491</v>
      </c>
      <c r="C302" s="441">
        <v>656</v>
      </c>
      <c r="D302" s="402">
        <v>11</v>
      </c>
      <c r="E302" s="402">
        <v>1</v>
      </c>
      <c r="F302" s="378" t="s">
        <v>114</v>
      </c>
      <c r="G302" s="348">
        <v>119</v>
      </c>
      <c r="H302" s="268">
        <f>'по нов.7'!R170</f>
        <v>35659.339999999997</v>
      </c>
      <c r="I302" s="269">
        <v>0</v>
      </c>
      <c r="J302" s="268">
        <f>'по нов.7'!W171</f>
        <v>0</v>
      </c>
      <c r="K302" s="269">
        <v>0</v>
      </c>
      <c r="L302" s="268">
        <f>'по нов.7'!X171</f>
        <v>0</v>
      </c>
      <c r="M302" s="269">
        <v>0</v>
      </c>
    </row>
    <row r="303" spans="1:13" s="36" customFormat="1" ht="12.75" customHeight="1" thickBot="1" x14ac:dyDescent="0.3">
      <c r="A303" s="170"/>
      <c r="B303" s="489" t="s">
        <v>22</v>
      </c>
      <c r="C303" s="490"/>
      <c r="D303" s="490"/>
      <c r="E303" s="490"/>
      <c r="F303" s="490"/>
      <c r="G303" s="491"/>
      <c r="H303" s="291">
        <f>H289+H283+H252+H181+H145+H118+H107+H29+H244</f>
        <v>60644464.370000005</v>
      </c>
      <c r="I303" s="291">
        <f>I289+I283+I252+I181+I145+I118+I107+I29+I53+I244</f>
        <v>222140</v>
      </c>
      <c r="J303" s="291">
        <f>J289+J283+J252+J181+J145+J118+J107+J29+J53+J244</f>
        <v>28097254.5</v>
      </c>
      <c r="K303" s="291">
        <f>K289+K283+K252+K181+K145+K118+K107+K29+K53+K244</f>
        <v>226040</v>
      </c>
      <c r="L303" s="291">
        <f>L289+L283+L252+L181+L145+L118+L107+L29+L53+L244</f>
        <v>28644374.5</v>
      </c>
      <c r="M303" s="291">
        <f>M289+M283+M252+M181+M145+M118+M107+M29+M53+M244</f>
        <v>239340</v>
      </c>
    </row>
    <row r="304" spans="1:13" hidden="1" x14ac:dyDescent="0.25">
      <c r="B304" s="172"/>
      <c r="C304" s="451"/>
      <c r="H304" s="131">
        <v>57588954.369999997</v>
      </c>
      <c r="J304" s="131">
        <v>26196640</v>
      </c>
      <c r="K304" s="131"/>
      <c r="L304" s="131">
        <v>26743760</v>
      </c>
    </row>
    <row r="305" spans="1:13" hidden="1" x14ac:dyDescent="0.25">
      <c r="B305" s="172"/>
      <c r="C305" s="451"/>
      <c r="H305" s="216">
        <v>26306020</v>
      </c>
      <c r="J305" s="219">
        <v>26196640</v>
      </c>
      <c r="L305" s="219">
        <v>26743760</v>
      </c>
    </row>
    <row r="306" spans="1:13" hidden="1" x14ac:dyDescent="0.25">
      <c r="B306" s="172"/>
      <c r="C306" s="451"/>
      <c r="H306" s="131">
        <f>H303-H305</f>
        <v>34338444.370000005</v>
      </c>
      <c r="J306" s="131">
        <f>J303-J305</f>
        <v>1900614.5</v>
      </c>
      <c r="L306" s="131">
        <f>L303-L305</f>
        <v>1900614.5</v>
      </c>
    </row>
    <row r="307" spans="1:13" ht="12.75" hidden="1" customHeight="1" x14ac:dyDescent="0.25">
      <c r="H307" s="131">
        <f>H303-H304</f>
        <v>3055510.0000000075</v>
      </c>
      <c r="I307" s="132"/>
      <c r="J307" s="131">
        <f>J303-J304</f>
        <v>1900614.5</v>
      </c>
      <c r="K307" s="131"/>
      <c r="L307" s="131">
        <f t="shared" ref="L307" si="20">L303-L304</f>
        <v>1900614.5</v>
      </c>
      <c r="M307" s="132"/>
    </row>
    <row r="308" spans="1:13" ht="11.25" hidden="1" customHeight="1" x14ac:dyDescent="0.25">
      <c r="A308" s="132" t="s">
        <v>1</v>
      </c>
      <c r="B308" s="133"/>
      <c r="C308" s="394"/>
      <c r="D308" s="394"/>
      <c r="E308" s="394"/>
      <c r="F308" s="344"/>
      <c r="G308" s="344"/>
      <c r="I308" s="132"/>
    </row>
    <row r="309" spans="1:13" hidden="1" x14ac:dyDescent="0.25">
      <c r="C309" s="393"/>
      <c r="D309" s="393"/>
      <c r="E309" s="393"/>
    </row>
    <row r="310" spans="1:13" hidden="1" x14ac:dyDescent="0.25">
      <c r="C310" s="393"/>
      <c r="D310" s="393"/>
      <c r="E310" s="393"/>
      <c r="J310" s="131">
        <v>28097254.5</v>
      </c>
      <c r="K310" s="131"/>
      <c r="L310" s="131">
        <v>28644374.5</v>
      </c>
    </row>
    <row r="311" spans="1:13" hidden="1" x14ac:dyDescent="0.25">
      <c r="C311" s="451"/>
    </row>
    <row r="312" spans="1:13" hidden="1" x14ac:dyDescent="0.25">
      <c r="C312" s="451"/>
      <c r="H312" s="27">
        <v>60644464.370000012</v>
      </c>
    </row>
    <row r="313" spans="1:13" ht="15.6" hidden="1" x14ac:dyDescent="0.3">
      <c r="C313" s="451"/>
      <c r="H313" s="96">
        <v>59950464.370000012</v>
      </c>
    </row>
    <row r="314" spans="1:13" hidden="1" x14ac:dyDescent="0.25">
      <c r="C314" s="451"/>
    </row>
    <row r="315" spans="1:13" hidden="1" x14ac:dyDescent="0.25">
      <c r="C315" s="451"/>
      <c r="H315" s="131">
        <f>H303-H313</f>
        <v>693999.99999999255</v>
      </c>
    </row>
    <row r="316" spans="1:13" x14ac:dyDescent="0.25">
      <c r="C316" s="451"/>
    </row>
    <row r="317" spans="1:13" x14ac:dyDescent="0.25">
      <c r="C317" s="451"/>
    </row>
    <row r="318" spans="1:13" x14ac:dyDescent="0.25">
      <c r="C318" s="451"/>
    </row>
    <row r="319" spans="1:13" x14ac:dyDescent="0.25">
      <c r="C319" s="451"/>
    </row>
    <row r="320" spans="1:13" x14ac:dyDescent="0.25">
      <c r="C320" s="451"/>
    </row>
    <row r="321" spans="2:7" x14ac:dyDescent="0.25">
      <c r="B321" s="27"/>
      <c r="C321" s="451"/>
      <c r="D321" s="27"/>
      <c r="E321" s="27"/>
      <c r="F321" s="27"/>
      <c r="G321" s="27"/>
    </row>
    <row r="322" spans="2:7" x14ac:dyDescent="0.25">
      <c r="B322" s="27"/>
      <c r="C322" s="451"/>
      <c r="D322" s="27"/>
      <c r="E322" s="27"/>
      <c r="F322" s="27"/>
      <c r="G322" s="27"/>
    </row>
    <row r="323" spans="2:7" x14ac:dyDescent="0.25">
      <c r="B323" s="27"/>
      <c r="C323" s="451"/>
      <c r="D323" s="27"/>
      <c r="E323" s="27"/>
      <c r="F323" s="27"/>
      <c r="G323" s="27"/>
    </row>
    <row r="324" spans="2:7" x14ac:dyDescent="0.25">
      <c r="B324" s="27"/>
      <c r="C324" s="451"/>
      <c r="D324" s="27"/>
      <c r="E324" s="27"/>
      <c r="F324" s="27"/>
      <c r="G324" s="27"/>
    </row>
    <row r="325" spans="2:7" x14ac:dyDescent="0.25">
      <c r="B325" s="27"/>
      <c r="C325" s="451"/>
      <c r="D325" s="27"/>
      <c r="E325" s="27"/>
      <c r="F325" s="27"/>
      <c r="G325" s="27"/>
    </row>
    <row r="326" spans="2:7" x14ac:dyDescent="0.25">
      <c r="B326" s="27"/>
      <c r="C326" s="451"/>
      <c r="D326" s="27"/>
      <c r="E326" s="27"/>
      <c r="F326" s="27"/>
      <c r="G326" s="27"/>
    </row>
    <row r="327" spans="2:7" x14ac:dyDescent="0.25">
      <c r="B327" s="27"/>
      <c r="C327" s="451"/>
      <c r="D327" s="27"/>
      <c r="E327" s="27"/>
      <c r="F327" s="27"/>
      <c r="G327" s="27"/>
    </row>
    <row r="328" spans="2:7" x14ac:dyDescent="0.25">
      <c r="B328" s="27"/>
      <c r="C328" s="451"/>
      <c r="D328" s="27"/>
      <c r="E328" s="27"/>
      <c r="F328" s="27"/>
      <c r="G328" s="27"/>
    </row>
    <row r="329" spans="2:7" x14ac:dyDescent="0.25">
      <c r="B329" s="27"/>
      <c r="C329" s="451"/>
      <c r="D329" s="27"/>
      <c r="E329" s="27"/>
      <c r="F329" s="27"/>
      <c r="G329" s="27"/>
    </row>
    <row r="330" spans="2:7" x14ac:dyDescent="0.25">
      <c r="B330" s="27"/>
      <c r="C330" s="451"/>
      <c r="D330" s="27"/>
      <c r="E330" s="27"/>
      <c r="F330" s="27"/>
      <c r="G330" s="27"/>
    </row>
    <row r="331" spans="2:7" x14ac:dyDescent="0.25">
      <c r="B331" s="27"/>
      <c r="C331" s="451"/>
      <c r="D331" s="27"/>
      <c r="E331" s="27"/>
      <c r="F331" s="27"/>
      <c r="G331" s="27"/>
    </row>
    <row r="332" spans="2:7" x14ac:dyDescent="0.25">
      <c r="B332" s="27"/>
      <c r="C332" s="451"/>
      <c r="D332" s="27"/>
      <c r="E332" s="27"/>
      <c r="F332" s="27"/>
      <c r="G332" s="27"/>
    </row>
    <row r="333" spans="2:7" x14ac:dyDescent="0.25">
      <c r="B333" s="27"/>
      <c r="C333" s="451"/>
      <c r="D333" s="27"/>
      <c r="E333" s="27"/>
      <c r="F333" s="27"/>
      <c r="G333" s="27"/>
    </row>
    <row r="334" spans="2:7" x14ac:dyDescent="0.25">
      <c r="B334" s="27"/>
      <c r="C334" s="451"/>
      <c r="D334" s="27"/>
      <c r="E334" s="27"/>
      <c r="F334" s="27"/>
      <c r="G334" s="27"/>
    </row>
    <row r="349" spans="2:7" x14ac:dyDescent="0.25">
      <c r="B349" s="27"/>
      <c r="C349" s="27"/>
      <c r="D349" s="27"/>
      <c r="E349" s="27"/>
      <c r="F349" s="27"/>
      <c r="G349" s="27"/>
    </row>
    <row r="350" spans="2:7" x14ac:dyDescent="0.25">
      <c r="B350" s="27"/>
      <c r="C350" s="27"/>
      <c r="D350" s="27"/>
      <c r="E350" s="27"/>
      <c r="F350" s="27"/>
      <c r="G350" s="27"/>
    </row>
    <row r="351" spans="2:7" x14ac:dyDescent="0.25">
      <c r="B351" s="27"/>
      <c r="C351" s="27"/>
      <c r="D351" s="27"/>
      <c r="E351" s="27"/>
      <c r="F351" s="27"/>
      <c r="G351" s="27"/>
    </row>
    <row r="352" spans="2:7" x14ac:dyDescent="0.25">
      <c r="B352" s="27"/>
      <c r="C352" s="27"/>
      <c r="D352" s="27"/>
      <c r="E352" s="27"/>
      <c r="F352" s="27"/>
      <c r="G352" s="27"/>
    </row>
    <row r="353" s="27" customFormat="1" x14ac:dyDescent="0.25"/>
    <row r="354" s="27" customFormat="1" x14ac:dyDescent="0.25"/>
    <row r="355" s="27" customFormat="1" x14ac:dyDescent="0.25"/>
    <row r="356" s="27" customFormat="1" x14ac:dyDescent="0.25"/>
    <row r="357" s="27" customFormat="1" x14ac:dyDescent="0.25"/>
    <row r="358" s="27" customFormat="1" x14ac:dyDescent="0.25"/>
    <row r="359" s="27" customFormat="1" x14ac:dyDescent="0.25"/>
    <row r="360" s="27" customFormat="1" x14ac:dyDescent="0.25"/>
    <row r="361" s="27" customFormat="1" x14ac:dyDescent="0.25"/>
    <row r="362" s="27" customFormat="1" x14ac:dyDescent="0.25"/>
    <row r="363" s="27" customFormat="1" x14ac:dyDescent="0.25"/>
    <row r="364" s="27" customFormat="1" x14ac:dyDescent="0.25"/>
    <row r="365" s="27" customFormat="1" x14ac:dyDescent="0.25"/>
    <row r="366" s="27" customFormat="1" x14ac:dyDescent="0.25"/>
    <row r="367" s="27" customFormat="1" x14ac:dyDescent="0.25"/>
    <row r="368" s="27" customFormat="1" x14ac:dyDescent="0.25"/>
    <row r="369" s="27" customFormat="1" x14ac:dyDescent="0.25"/>
    <row r="370" s="27" customFormat="1" x14ac:dyDescent="0.25"/>
    <row r="371" s="27" customFormat="1" x14ac:dyDescent="0.25"/>
    <row r="372" s="27" customFormat="1" x14ac:dyDescent="0.25"/>
    <row r="373" s="27" customFormat="1" x14ac:dyDescent="0.25"/>
    <row r="374" s="27" customFormat="1" x14ac:dyDescent="0.25"/>
    <row r="375" s="27" customFormat="1" x14ac:dyDescent="0.25"/>
    <row r="376" s="27" customFormat="1" x14ac:dyDescent="0.25"/>
    <row r="377" s="27" customFormat="1" x14ac:dyDescent="0.25"/>
    <row r="378" s="27" customFormat="1" x14ac:dyDescent="0.25"/>
    <row r="379" s="27" customFormat="1" x14ac:dyDescent="0.25"/>
    <row r="380" s="27" customFormat="1" x14ac:dyDescent="0.25"/>
    <row r="381" s="27" customFormat="1" x14ac:dyDescent="0.25"/>
    <row r="382" s="27" customFormat="1" x14ac:dyDescent="0.25"/>
    <row r="383" s="27" customFormat="1" x14ac:dyDescent="0.25"/>
    <row r="384" s="27" customFormat="1" x14ac:dyDescent="0.25"/>
    <row r="385" s="27" customFormat="1" x14ac:dyDescent="0.25"/>
    <row r="386" s="27" customFormat="1" x14ac:dyDescent="0.25"/>
    <row r="387" s="27" customFormat="1" x14ac:dyDescent="0.25"/>
    <row r="388" s="27" customFormat="1" x14ac:dyDescent="0.25"/>
    <row r="389" s="27" customFormat="1" x14ac:dyDescent="0.25"/>
    <row r="390" s="27" customFormat="1" x14ac:dyDescent="0.25"/>
    <row r="391" s="27" customFormat="1" x14ac:dyDescent="0.25"/>
    <row r="392" s="27" customFormat="1" x14ac:dyDescent="0.25"/>
    <row r="393" s="27" customFormat="1" x14ac:dyDescent="0.25"/>
    <row r="394" s="27" customFormat="1" x14ac:dyDescent="0.25"/>
    <row r="395" s="27" customFormat="1" x14ac:dyDescent="0.25"/>
    <row r="396" s="27" customFormat="1" x14ac:dyDescent="0.25"/>
    <row r="397" s="27" customFormat="1" x14ac:dyDescent="0.25"/>
    <row r="398" s="27" customFormat="1" x14ac:dyDescent="0.25"/>
    <row r="399" s="27" customFormat="1" x14ac:dyDescent="0.25"/>
    <row r="400" s="27" customFormat="1" x14ac:dyDescent="0.25"/>
    <row r="401" s="27" customFormat="1" x14ac:dyDescent="0.25"/>
    <row r="402" s="27" customFormat="1" x14ac:dyDescent="0.25"/>
    <row r="403" s="27" customFormat="1" x14ac:dyDescent="0.25"/>
    <row r="404" s="27" customFormat="1" x14ac:dyDescent="0.25"/>
    <row r="405" s="27" customFormat="1" x14ac:dyDescent="0.25"/>
    <row r="406" s="27" customFormat="1" x14ac:dyDescent="0.25"/>
    <row r="407" s="27" customFormat="1" x14ac:dyDescent="0.25"/>
    <row r="408" s="27" customFormat="1" x14ac:dyDescent="0.25"/>
    <row r="409" s="27" customFormat="1" x14ac:dyDescent="0.25"/>
    <row r="410" s="27" customFormat="1" x14ac:dyDescent="0.25"/>
    <row r="411" s="27" customFormat="1" x14ac:dyDescent="0.25"/>
    <row r="412" s="27" customFormat="1" x14ac:dyDescent="0.25"/>
    <row r="413" s="27" customFormat="1" x14ac:dyDescent="0.25"/>
    <row r="414" s="27" customFormat="1" x14ac:dyDescent="0.25"/>
    <row r="415" s="27" customFormat="1" x14ac:dyDescent="0.25"/>
    <row r="416" s="27" customFormat="1" x14ac:dyDescent="0.25"/>
    <row r="417" s="27" customFormat="1" x14ac:dyDescent="0.25"/>
    <row r="418" s="27" customFormat="1" x14ac:dyDescent="0.25"/>
    <row r="419" s="27" customFormat="1" x14ac:dyDescent="0.25"/>
    <row r="420" s="27" customFormat="1" x14ac:dyDescent="0.25"/>
    <row r="421" s="27" customFormat="1" x14ac:dyDescent="0.25"/>
    <row r="422" s="27" customFormat="1" x14ac:dyDescent="0.25"/>
    <row r="423" s="27" customFormat="1" x14ac:dyDescent="0.25"/>
    <row r="424" s="27" customFormat="1" x14ac:dyDescent="0.25"/>
    <row r="425" s="27" customFormat="1" x14ac:dyDescent="0.25"/>
    <row r="426" s="27" customFormat="1" x14ac:dyDescent="0.25"/>
    <row r="427" s="27" customFormat="1" x14ac:dyDescent="0.25"/>
    <row r="428" s="27" customFormat="1" x14ac:dyDescent="0.25"/>
    <row r="429" s="27" customFormat="1" x14ac:dyDescent="0.25"/>
    <row r="430" s="27" customFormat="1" x14ac:dyDescent="0.25"/>
    <row r="431" s="27" customFormat="1" x14ac:dyDescent="0.25"/>
    <row r="432" s="27" customFormat="1" x14ac:dyDescent="0.25"/>
    <row r="433" s="27" customFormat="1" x14ac:dyDescent="0.25"/>
    <row r="434" s="27" customFormat="1" x14ac:dyDescent="0.25"/>
    <row r="435" s="27" customFormat="1" x14ac:dyDescent="0.25"/>
    <row r="436" s="27" customFormat="1" x14ac:dyDescent="0.25"/>
    <row r="437" s="27" customFormat="1" x14ac:dyDescent="0.25"/>
    <row r="438" s="27" customFormat="1" x14ac:dyDescent="0.25"/>
    <row r="439" s="27" customFormat="1" x14ac:dyDescent="0.25"/>
    <row r="440" s="27" customFormat="1" x14ac:dyDescent="0.25"/>
    <row r="441" s="27" customFormat="1" x14ac:dyDescent="0.25"/>
    <row r="442" s="27" customFormat="1" x14ac:dyDescent="0.25"/>
    <row r="443" s="27" customFormat="1" x14ac:dyDescent="0.25"/>
    <row r="444" s="27" customFormat="1" x14ac:dyDescent="0.25"/>
    <row r="445" s="27" customFormat="1" x14ac:dyDescent="0.25"/>
    <row r="446" s="27" customFormat="1" x14ac:dyDescent="0.25"/>
    <row r="447" s="27" customFormat="1" x14ac:dyDescent="0.25"/>
    <row r="448" s="27" customFormat="1" x14ac:dyDescent="0.25"/>
    <row r="449" s="27" customFormat="1" x14ac:dyDescent="0.25"/>
    <row r="450" s="27" customFormat="1" x14ac:dyDescent="0.25"/>
    <row r="451" s="27" customFormat="1" x14ac:dyDescent="0.25"/>
    <row r="452" s="27" customFormat="1" x14ac:dyDescent="0.25"/>
    <row r="453" s="27" customFormat="1" x14ac:dyDescent="0.25"/>
    <row r="454" s="27" customFormat="1" x14ac:dyDescent="0.25"/>
    <row r="455" s="27" customFormat="1" x14ac:dyDescent="0.25"/>
    <row r="456" s="27" customFormat="1" x14ac:dyDescent="0.25"/>
    <row r="457" s="27" customFormat="1" x14ac:dyDescent="0.25"/>
    <row r="458" s="27" customFormat="1" x14ac:dyDescent="0.25"/>
    <row r="459" s="27" customFormat="1" x14ac:dyDescent="0.25"/>
    <row r="460" s="27" customFormat="1" x14ac:dyDescent="0.25"/>
    <row r="461" s="27" customFormat="1" x14ac:dyDescent="0.25"/>
    <row r="462" s="27" customFormat="1" x14ac:dyDescent="0.25"/>
    <row r="463" s="27" customFormat="1" x14ac:dyDescent="0.25"/>
    <row r="464" s="27" customFormat="1" x14ac:dyDescent="0.25"/>
    <row r="465" s="27" customFormat="1" x14ac:dyDescent="0.25"/>
    <row r="466" s="27" customFormat="1" x14ac:dyDescent="0.25"/>
    <row r="467" s="27" customFormat="1" x14ac:dyDescent="0.25"/>
    <row r="468" s="27" customFormat="1" x14ac:dyDescent="0.25"/>
    <row r="469" s="27" customFormat="1" x14ac:dyDescent="0.25"/>
    <row r="470" s="27" customFormat="1" x14ac:dyDescent="0.25"/>
    <row r="471" s="27" customFormat="1" x14ac:dyDescent="0.25"/>
    <row r="472" s="27" customFormat="1" x14ac:dyDescent="0.25"/>
    <row r="473" s="27" customFormat="1" x14ac:dyDescent="0.25"/>
    <row r="474" s="27" customFormat="1" x14ac:dyDescent="0.25"/>
    <row r="475" s="27" customFormat="1" x14ac:dyDescent="0.25"/>
    <row r="476" s="27" customFormat="1" x14ac:dyDescent="0.25"/>
    <row r="477" s="27" customFormat="1" x14ac:dyDescent="0.25"/>
    <row r="478" s="27" customFormat="1" x14ac:dyDescent="0.25"/>
    <row r="479" s="27" customFormat="1" x14ac:dyDescent="0.25"/>
    <row r="480" s="27" customFormat="1" x14ac:dyDescent="0.25"/>
    <row r="481" s="27" customFormat="1" x14ac:dyDescent="0.25"/>
    <row r="482" s="27" customFormat="1" x14ac:dyDescent="0.25"/>
    <row r="483" s="27" customFormat="1" x14ac:dyDescent="0.25"/>
    <row r="484" s="27" customFormat="1" x14ac:dyDescent="0.25"/>
    <row r="485" s="27" customFormat="1" x14ac:dyDescent="0.25"/>
    <row r="486" s="27" customFormat="1" x14ac:dyDescent="0.25"/>
    <row r="487" s="27" customFormat="1" x14ac:dyDescent="0.25"/>
    <row r="488" s="27" customFormat="1" x14ac:dyDescent="0.25"/>
    <row r="489" s="27" customFormat="1" x14ac:dyDescent="0.25"/>
    <row r="490" s="27" customFormat="1" x14ac:dyDescent="0.25"/>
    <row r="491" s="27" customFormat="1" x14ac:dyDescent="0.25"/>
    <row r="492" s="27" customFormat="1" x14ac:dyDescent="0.25"/>
    <row r="493" s="27" customFormat="1" x14ac:dyDescent="0.25"/>
    <row r="494" s="27" customFormat="1" x14ac:dyDescent="0.25"/>
    <row r="495" s="27" customFormat="1" x14ac:dyDescent="0.25"/>
    <row r="496" s="27" customFormat="1" x14ac:dyDescent="0.25"/>
    <row r="497" s="27" customFormat="1" x14ac:dyDescent="0.25"/>
    <row r="498" s="27" customFormat="1" x14ac:dyDescent="0.25"/>
    <row r="499" s="27" customFormat="1" x14ac:dyDescent="0.25"/>
    <row r="500" s="27" customFormat="1" x14ac:dyDescent="0.25"/>
    <row r="501" s="27" customFormat="1" x14ac:dyDescent="0.25"/>
    <row r="502" s="27" customFormat="1" x14ac:dyDescent="0.25"/>
    <row r="503" s="27" customFormat="1" x14ac:dyDescent="0.25"/>
    <row r="504" s="27" customFormat="1" x14ac:dyDescent="0.25"/>
    <row r="505" s="27" customFormat="1" x14ac:dyDescent="0.25"/>
    <row r="506" s="27" customFormat="1" x14ac:dyDescent="0.25"/>
    <row r="507" s="27" customFormat="1" x14ac:dyDescent="0.25"/>
    <row r="508" s="27" customFormat="1" x14ac:dyDescent="0.25"/>
    <row r="509" s="27" customFormat="1" x14ac:dyDescent="0.25"/>
    <row r="510" s="27" customFormat="1" x14ac:dyDescent="0.25"/>
    <row r="511" s="27" customFormat="1" x14ac:dyDescent="0.25"/>
    <row r="512" s="27" customFormat="1" x14ac:dyDescent="0.25"/>
    <row r="513" s="27" customFormat="1" x14ac:dyDescent="0.25"/>
    <row r="514" s="27" customFormat="1" x14ac:dyDescent="0.25"/>
    <row r="515" s="27" customFormat="1" x14ac:dyDescent="0.25"/>
    <row r="516" s="27" customFormat="1" x14ac:dyDescent="0.25"/>
    <row r="517" s="27" customFormat="1" x14ac:dyDescent="0.25"/>
    <row r="518" s="27" customFormat="1" x14ac:dyDescent="0.25"/>
    <row r="519" s="27" customFormat="1" x14ac:dyDescent="0.25"/>
    <row r="520" s="27" customFormat="1" x14ac:dyDescent="0.25"/>
    <row r="521" s="27" customFormat="1" x14ac:dyDescent="0.25"/>
    <row r="522" s="27" customFormat="1" x14ac:dyDescent="0.25"/>
    <row r="523" s="27" customFormat="1" x14ac:dyDescent="0.25"/>
    <row r="524" s="27" customFormat="1" x14ac:dyDescent="0.25"/>
    <row r="525" s="27" customFormat="1" x14ac:dyDescent="0.25"/>
    <row r="526" s="27" customFormat="1" x14ac:dyDescent="0.25"/>
    <row r="527" s="27" customFormat="1" x14ac:dyDescent="0.25"/>
    <row r="528" s="27" customFormat="1" x14ac:dyDescent="0.25"/>
    <row r="529" s="27" customFormat="1" x14ac:dyDescent="0.25"/>
    <row r="530" s="27" customFormat="1" x14ac:dyDescent="0.25"/>
    <row r="531" s="27" customFormat="1" x14ac:dyDescent="0.25"/>
    <row r="532" s="27" customFormat="1" x14ac:dyDescent="0.25"/>
    <row r="533" s="27" customFormat="1" x14ac:dyDescent="0.25"/>
    <row r="534" s="27" customFormat="1" x14ac:dyDescent="0.25"/>
    <row r="535" s="27" customFormat="1" x14ac:dyDescent="0.25"/>
    <row r="536" s="27" customFormat="1" x14ac:dyDescent="0.25"/>
    <row r="537" s="27" customFormat="1" x14ac:dyDescent="0.25"/>
    <row r="538" s="27" customFormat="1" x14ac:dyDescent="0.25"/>
    <row r="539" s="27" customFormat="1" x14ac:dyDescent="0.25"/>
    <row r="540" s="27" customFormat="1" x14ac:dyDescent="0.25"/>
    <row r="541" s="27" customFormat="1" x14ac:dyDescent="0.25"/>
    <row r="542" s="27" customFormat="1" x14ac:dyDescent="0.25"/>
    <row r="543" s="27" customFormat="1" x14ac:dyDescent="0.25"/>
    <row r="544" s="27" customFormat="1" x14ac:dyDescent="0.25"/>
    <row r="545" s="27" customFormat="1" x14ac:dyDescent="0.25"/>
    <row r="546" s="27" customFormat="1" x14ac:dyDescent="0.25"/>
    <row r="547" s="27" customFormat="1" x14ac:dyDescent="0.25"/>
    <row r="548" s="27" customFormat="1" x14ac:dyDescent="0.25"/>
    <row r="549" s="27" customFormat="1" x14ac:dyDescent="0.25"/>
    <row r="550" s="27" customFormat="1" x14ac:dyDescent="0.25"/>
    <row r="551" s="27" customFormat="1" x14ac:dyDescent="0.25"/>
    <row r="552" s="27" customFormat="1" x14ac:dyDescent="0.25"/>
    <row r="553" s="27" customFormat="1" x14ac:dyDescent="0.25"/>
    <row r="554" s="27" customFormat="1" x14ac:dyDescent="0.25"/>
    <row r="555" s="27" customFormat="1" x14ac:dyDescent="0.25"/>
    <row r="556" s="27" customFormat="1" x14ac:dyDescent="0.25"/>
    <row r="557" s="27" customFormat="1" x14ac:dyDescent="0.25"/>
    <row r="558" s="27" customFormat="1" x14ac:dyDescent="0.25"/>
    <row r="559" s="27" customFormat="1" x14ac:dyDescent="0.25"/>
    <row r="560" s="27" customFormat="1" x14ac:dyDescent="0.25"/>
    <row r="561" s="27" customFormat="1" x14ac:dyDescent="0.25"/>
    <row r="562" s="27" customFormat="1" x14ac:dyDescent="0.25"/>
    <row r="563" s="27" customFormat="1" x14ac:dyDescent="0.25"/>
    <row r="564" s="27" customFormat="1" x14ac:dyDescent="0.25"/>
    <row r="565" s="27" customFormat="1" x14ac:dyDescent="0.25"/>
    <row r="566" s="27" customFormat="1" x14ac:dyDescent="0.25"/>
    <row r="567" s="27" customFormat="1" x14ac:dyDescent="0.25"/>
    <row r="568" s="27" customFormat="1" x14ac:dyDescent="0.25"/>
    <row r="569" s="27" customFormat="1" x14ac:dyDescent="0.25"/>
    <row r="570" s="27" customFormat="1" x14ac:dyDescent="0.25"/>
    <row r="571" s="27" customFormat="1" x14ac:dyDescent="0.25"/>
    <row r="572" s="27" customFormat="1" x14ac:dyDescent="0.25"/>
    <row r="573" s="27" customFormat="1" x14ac:dyDescent="0.25"/>
    <row r="574" s="27" customFormat="1" x14ac:dyDescent="0.25"/>
    <row r="575" s="27" customFormat="1" x14ac:dyDescent="0.25"/>
    <row r="576" s="27" customFormat="1" x14ac:dyDescent="0.25"/>
    <row r="577" spans="2:7" x14ac:dyDescent="0.25">
      <c r="B577" s="27"/>
      <c r="C577" s="27"/>
      <c r="D577" s="27"/>
      <c r="E577" s="27"/>
      <c r="F577" s="27"/>
      <c r="G577" s="27"/>
    </row>
    <row r="578" spans="2:7" x14ac:dyDescent="0.25">
      <c r="B578" s="27"/>
      <c r="C578" s="27"/>
      <c r="D578" s="27"/>
      <c r="E578" s="27"/>
      <c r="F578" s="27"/>
      <c r="G578" s="27"/>
    </row>
    <row r="579" spans="2:7" x14ac:dyDescent="0.25">
      <c r="B579" s="27"/>
      <c r="C579" s="27"/>
      <c r="D579" s="27"/>
      <c r="E579" s="27"/>
      <c r="F579" s="27"/>
      <c r="G579" s="27"/>
    </row>
    <row r="580" spans="2:7" x14ac:dyDescent="0.25">
      <c r="B580" s="27"/>
      <c r="C580" s="27"/>
      <c r="D580" s="27"/>
      <c r="E580" s="27"/>
      <c r="F580" s="27"/>
      <c r="G580" s="27"/>
    </row>
    <row r="581" spans="2:7" x14ac:dyDescent="0.25">
      <c r="B581" s="27"/>
      <c r="C581" s="27"/>
      <c r="D581" s="27"/>
      <c r="E581" s="27"/>
      <c r="F581" s="27"/>
      <c r="G581" s="27"/>
    </row>
    <row r="582" spans="2:7" x14ac:dyDescent="0.25">
      <c r="B582" s="27"/>
      <c r="C582" s="27"/>
      <c r="D582" s="27"/>
      <c r="E582" s="27"/>
      <c r="F582" s="27"/>
      <c r="G582" s="27"/>
    </row>
    <row r="583" spans="2:7" x14ac:dyDescent="0.25">
      <c r="B583" s="27"/>
      <c r="C583" s="27"/>
      <c r="D583" s="27"/>
      <c r="E583" s="27"/>
      <c r="F583" s="27"/>
      <c r="G583" s="27"/>
    </row>
    <row r="584" spans="2:7" x14ac:dyDescent="0.25">
      <c r="B584" s="27"/>
      <c r="C584" s="27"/>
      <c r="D584" s="27"/>
      <c r="E584" s="27"/>
      <c r="F584" s="27"/>
      <c r="G584" s="27"/>
    </row>
    <row r="585" spans="2:7" x14ac:dyDescent="0.25">
      <c r="B585" s="27"/>
      <c r="C585" s="27"/>
      <c r="D585" s="27"/>
      <c r="E585" s="27"/>
      <c r="F585" s="27"/>
      <c r="G585" s="27"/>
    </row>
    <row r="587" spans="2:7" x14ac:dyDescent="0.25">
      <c r="B587" s="27"/>
      <c r="C587" s="27"/>
      <c r="D587" s="27"/>
      <c r="E587" s="27"/>
      <c r="F587" s="27"/>
      <c r="G587" s="27"/>
    </row>
    <row r="589" spans="2:7" x14ac:dyDescent="0.25">
      <c r="B589" s="27"/>
      <c r="C589" s="27"/>
      <c r="D589" s="27"/>
      <c r="E589" s="27"/>
      <c r="F589" s="27"/>
      <c r="G589" s="27"/>
    </row>
  </sheetData>
  <mergeCells count="16">
    <mergeCell ref="B303:G303"/>
    <mergeCell ref="L4:M4"/>
    <mergeCell ref="B12:M12"/>
    <mergeCell ref="J15:M15"/>
    <mergeCell ref="F6:G6"/>
    <mergeCell ref="H6:I6"/>
    <mergeCell ref="F4:G4"/>
    <mergeCell ref="H4:I4"/>
    <mergeCell ref="D15:D17"/>
    <mergeCell ref="L1:M1"/>
    <mergeCell ref="C15:C17"/>
    <mergeCell ref="H15:I15"/>
    <mergeCell ref="B15:B17"/>
    <mergeCell ref="E15:E17"/>
    <mergeCell ref="F15:F17"/>
    <mergeCell ref="G15:G17"/>
  </mergeCells>
  <phoneticPr fontId="2" type="noConversion"/>
  <pageMargins left="0.74803149606299213" right="0.35433070866141736" top="0.39370078740157483" bottom="0.39370078740157483" header="0.51181102362204722" footer="0.51181102362204722"/>
  <pageSetup scale="81" fitToHeight="1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8"/>
  <sheetViews>
    <sheetView topLeftCell="B1" workbookViewId="0">
      <selection activeCell="L4" sqref="L4:M4"/>
    </sheetView>
  </sheetViews>
  <sheetFormatPr defaultColWidth="9.109375" defaultRowHeight="13.2" x14ac:dyDescent="0.25"/>
  <cols>
    <col min="1" max="1" width="1.44140625" style="27" hidden="1" customWidth="1"/>
    <col min="2" max="2" width="49.44140625" style="130" customWidth="1"/>
    <col min="3" max="3" width="0.109375" style="292" customWidth="1"/>
    <col min="4" max="4" width="3.44140625" style="292" customWidth="1"/>
    <col min="5" max="5" width="3.5546875" style="292" customWidth="1"/>
    <col min="6" max="6" width="12.109375" style="292" customWidth="1"/>
    <col min="7" max="7" width="4.44140625" style="292" customWidth="1"/>
    <col min="8" max="9" width="12.88671875" style="27" customWidth="1"/>
    <col min="10" max="10" width="14" style="27" customWidth="1"/>
    <col min="11" max="11" width="12.88671875" style="27" customWidth="1"/>
    <col min="12" max="12" width="14.33203125" style="27" customWidth="1"/>
    <col min="13" max="13" width="12.88671875" style="27" customWidth="1"/>
    <col min="14" max="16384" width="9.109375" style="27"/>
  </cols>
  <sheetData>
    <row r="1" spans="1:13" ht="13.8" x14ac:dyDescent="0.25">
      <c r="F1" s="454"/>
      <c r="G1" s="454"/>
      <c r="H1" s="452"/>
      <c r="I1" s="452"/>
      <c r="J1" s="452"/>
      <c r="L1" s="474" t="s">
        <v>594</v>
      </c>
      <c r="M1" s="474"/>
    </row>
    <row r="2" spans="1:13" s="9" customFormat="1" ht="13.8" x14ac:dyDescent="0.25">
      <c r="A2" s="8"/>
      <c r="B2" s="113"/>
      <c r="C2" s="318"/>
      <c r="D2" s="318"/>
      <c r="E2" s="318"/>
      <c r="F2" s="318"/>
      <c r="G2" s="340"/>
      <c r="L2" s="114" t="s">
        <v>705</v>
      </c>
    </row>
    <row r="3" spans="1:13" s="9" customFormat="1" ht="13.8" x14ac:dyDescent="0.25">
      <c r="A3" s="8"/>
      <c r="B3" s="113"/>
      <c r="C3" s="318"/>
      <c r="D3" s="318"/>
      <c r="E3" s="318"/>
      <c r="F3" s="318"/>
      <c r="G3" s="340"/>
      <c r="L3" s="114" t="s">
        <v>704</v>
      </c>
    </row>
    <row r="4" spans="1:13" x14ac:dyDescent="0.25">
      <c r="C4" s="130"/>
      <c r="D4" s="393"/>
      <c r="E4" s="393"/>
      <c r="G4" s="492"/>
      <c r="H4" s="492"/>
      <c r="I4" s="57"/>
      <c r="J4" s="57"/>
      <c r="L4" s="492" t="s">
        <v>706</v>
      </c>
      <c r="M4" s="492"/>
    </row>
    <row r="5" spans="1:13" x14ac:dyDescent="0.25">
      <c r="C5" s="130"/>
      <c r="D5" s="393"/>
      <c r="E5" s="393"/>
    </row>
    <row r="6" spans="1:13" ht="13.8" x14ac:dyDescent="0.25">
      <c r="C6" s="27"/>
      <c r="F6" s="495"/>
      <c r="G6" s="495"/>
      <c r="H6" s="474"/>
      <c r="I6" s="474"/>
      <c r="J6" s="452"/>
      <c r="L6" s="114" t="s">
        <v>593</v>
      </c>
      <c r="M6" s="114"/>
    </row>
    <row r="7" spans="1:13" s="9" customFormat="1" ht="13.8" x14ac:dyDescent="0.25">
      <c r="A7" s="8"/>
      <c r="B7" s="113"/>
      <c r="C7" s="114"/>
      <c r="D7" s="318"/>
      <c r="E7" s="318"/>
      <c r="F7" s="318"/>
      <c r="G7" s="340"/>
      <c r="L7" s="114" t="s">
        <v>705</v>
      </c>
    </row>
    <row r="8" spans="1:13" s="9" customFormat="1" ht="13.8" x14ac:dyDescent="0.25">
      <c r="A8" s="8"/>
      <c r="B8" s="113"/>
      <c r="C8" s="114"/>
      <c r="D8" s="318"/>
      <c r="E8" s="318"/>
      <c r="F8" s="318"/>
      <c r="G8" s="340"/>
      <c r="L8" s="114" t="s">
        <v>704</v>
      </c>
    </row>
    <row r="9" spans="1:13" ht="13.8" x14ac:dyDescent="0.25">
      <c r="C9" s="27"/>
      <c r="F9" s="454"/>
      <c r="G9" s="454"/>
      <c r="H9" s="452"/>
      <c r="I9" s="452"/>
      <c r="J9" s="452"/>
      <c r="L9" s="453" t="s">
        <v>596</v>
      </c>
      <c r="M9" s="453"/>
    </row>
    <row r="10" spans="1:13" ht="13.8" x14ac:dyDescent="0.25">
      <c r="C10" s="27"/>
      <c r="F10" s="454"/>
      <c r="G10" s="454"/>
      <c r="H10" s="452"/>
      <c r="I10" s="452"/>
      <c r="J10" s="452"/>
      <c r="L10" s="453"/>
      <c r="M10" s="453"/>
    </row>
    <row r="11" spans="1:13" ht="53.4" customHeight="1" x14ac:dyDescent="0.3">
      <c r="B11" s="496" t="s">
        <v>442</v>
      </c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</row>
    <row r="12" spans="1:13" ht="15.6" x14ac:dyDescent="0.3"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</row>
    <row r="13" spans="1:13" x14ac:dyDescent="0.25">
      <c r="H13" s="131"/>
      <c r="I13" s="132"/>
      <c r="M13" s="132" t="s">
        <v>21</v>
      </c>
    </row>
    <row r="14" spans="1:13" x14ac:dyDescent="0.25">
      <c r="A14" s="132"/>
      <c r="B14" s="480" t="s">
        <v>2</v>
      </c>
      <c r="C14" s="475" t="s">
        <v>3</v>
      </c>
      <c r="D14" s="483" t="s">
        <v>4</v>
      </c>
      <c r="E14" s="483" t="s">
        <v>5</v>
      </c>
      <c r="F14" s="486" t="s">
        <v>6</v>
      </c>
      <c r="G14" s="486" t="s">
        <v>7</v>
      </c>
      <c r="H14" s="478" t="s">
        <v>378</v>
      </c>
      <c r="I14" s="479"/>
      <c r="J14" s="478" t="s">
        <v>393</v>
      </c>
      <c r="K14" s="494"/>
      <c r="L14" s="494"/>
      <c r="M14" s="479"/>
    </row>
    <row r="15" spans="1:13" x14ac:dyDescent="0.25">
      <c r="A15" s="132"/>
      <c r="B15" s="481"/>
      <c r="C15" s="476"/>
      <c r="D15" s="484"/>
      <c r="E15" s="484"/>
      <c r="F15" s="487"/>
      <c r="G15" s="487"/>
      <c r="H15" s="134"/>
      <c r="I15" s="455"/>
      <c r="J15" s="134"/>
      <c r="K15" s="455"/>
      <c r="L15" s="134"/>
      <c r="M15" s="455"/>
    </row>
    <row r="16" spans="1:13" x14ac:dyDescent="0.25">
      <c r="A16" s="135"/>
      <c r="B16" s="482"/>
      <c r="C16" s="477"/>
      <c r="D16" s="485"/>
      <c r="E16" s="485"/>
      <c r="F16" s="488"/>
      <c r="G16" s="488"/>
      <c r="H16" s="136" t="s">
        <v>44</v>
      </c>
      <c r="I16" s="137" t="s">
        <v>89</v>
      </c>
      <c r="J16" s="136" t="s">
        <v>379</v>
      </c>
      <c r="K16" s="137" t="s">
        <v>89</v>
      </c>
      <c r="L16" s="136" t="s">
        <v>411</v>
      </c>
      <c r="M16" s="137" t="s">
        <v>89</v>
      </c>
    </row>
    <row r="17" spans="1:13" ht="13.8" thickBot="1" x14ac:dyDescent="0.3">
      <c r="A17" s="135"/>
      <c r="B17" s="138">
        <v>1</v>
      </c>
      <c r="C17" s="435"/>
      <c r="D17" s="140">
        <v>2</v>
      </c>
      <c r="E17" s="140">
        <v>3</v>
      </c>
      <c r="F17" s="141">
        <v>4</v>
      </c>
      <c r="G17" s="141">
        <v>5</v>
      </c>
      <c r="H17" s="140">
        <v>6</v>
      </c>
      <c r="I17" s="140">
        <v>7</v>
      </c>
      <c r="J17" s="140">
        <v>6</v>
      </c>
      <c r="K17" s="140">
        <v>7</v>
      </c>
      <c r="L17" s="140">
        <v>6</v>
      </c>
      <c r="M17" s="140">
        <v>7</v>
      </c>
    </row>
    <row r="18" spans="1:13" s="10" customFormat="1" ht="13.8" thickBot="1" x14ac:dyDescent="0.3">
      <c r="A18" s="29"/>
      <c r="B18" s="149" t="s">
        <v>67</v>
      </c>
      <c r="C18" s="439">
        <v>656</v>
      </c>
      <c r="D18" s="398">
        <v>0</v>
      </c>
      <c r="E18" s="398">
        <v>0</v>
      </c>
      <c r="F18" s="399" t="s">
        <v>122</v>
      </c>
      <c r="G18" s="373">
        <v>0</v>
      </c>
      <c r="H18" s="264">
        <f>H284</f>
        <v>60644464.370000005</v>
      </c>
      <c r="I18" s="265">
        <f t="shared" ref="I18:M18" si="0">I284</f>
        <v>222140</v>
      </c>
      <c r="J18" s="264">
        <f t="shared" si="0"/>
        <v>28097254.5</v>
      </c>
      <c r="K18" s="265">
        <f t="shared" si="0"/>
        <v>226040</v>
      </c>
      <c r="L18" s="264">
        <f t="shared" si="0"/>
        <v>28644374.5</v>
      </c>
      <c r="M18" s="265">
        <f t="shared" si="0"/>
        <v>239340</v>
      </c>
    </row>
    <row r="19" spans="1:13" s="10" customFormat="1" ht="13.8" thickBot="1" x14ac:dyDescent="0.3">
      <c r="A19" s="29"/>
      <c r="B19" s="149" t="s">
        <v>13</v>
      </c>
      <c r="C19" s="439">
        <v>656</v>
      </c>
      <c r="D19" s="398">
        <v>1</v>
      </c>
      <c r="E19" s="398">
        <v>0</v>
      </c>
      <c r="F19" s="399" t="s">
        <v>122</v>
      </c>
      <c r="G19" s="373">
        <v>0</v>
      </c>
      <c r="H19" s="264">
        <f>H20+H29+H48+H54+H43</f>
        <v>14255361.940000001</v>
      </c>
      <c r="I19" s="265">
        <f>I20+I24+I29+I39+I48+I54</f>
        <v>0</v>
      </c>
      <c r="J19" s="264">
        <f>J20+J29+J48+J54+J43</f>
        <v>13819872.9</v>
      </c>
      <c r="K19" s="265">
        <f>K20+K24+K29+K39+K48+K54</f>
        <v>0</v>
      </c>
      <c r="L19" s="264">
        <f>L20+L29+L48+L54+L43</f>
        <v>12519569</v>
      </c>
      <c r="M19" s="265">
        <f>M20+M24+M29+M39+M48+M54</f>
        <v>0</v>
      </c>
    </row>
    <row r="20" spans="1:13" s="36" customFormat="1" ht="24" thickBot="1" x14ac:dyDescent="0.3">
      <c r="A20" s="34"/>
      <c r="B20" s="150" t="s">
        <v>37</v>
      </c>
      <c r="C20" s="440">
        <v>656</v>
      </c>
      <c r="D20" s="400">
        <v>1</v>
      </c>
      <c r="E20" s="400">
        <v>2</v>
      </c>
      <c r="F20" s="399" t="s">
        <v>122</v>
      </c>
      <c r="G20" s="401">
        <v>0</v>
      </c>
      <c r="H20" s="266">
        <f t="shared" ref="H20:M20" si="1">H21</f>
        <v>1693066.1400000001</v>
      </c>
      <c r="I20" s="267">
        <f t="shared" si="1"/>
        <v>0</v>
      </c>
      <c r="J20" s="266">
        <f t="shared" si="1"/>
        <v>1304578</v>
      </c>
      <c r="K20" s="267">
        <f t="shared" si="1"/>
        <v>0</v>
      </c>
      <c r="L20" s="266">
        <f t="shared" si="1"/>
        <v>1304578</v>
      </c>
      <c r="M20" s="267">
        <f t="shared" si="1"/>
        <v>0</v>
      </c>
    </row>
    <row r="21" spans="1:13" s="10" customFormat="1" ht="36" x14ac:dyDescent="0.25">
      <c r="A21" s="29"/>
      <c r="B21" s="151" t="s">
        <v>420</v>
      </c>
      <c r="C21" s="441">
        <v>656</v>
      </c>
      <c r="D21" s="402">
        <v>1</v>
      </c>
      <c r="E21" s="402">
        <v>2</v>
      </c>
      <c r="F21" s="378" t="s">
        <v>102</v>
      </c>
      <c r="G21" s="348">
        <v>0</v>
      </c>
      <c r="H21" s="268">
        <f>H22</f>
        <v>1693066.1400000001</v>
      </c>
      <c r="I21" s="269">
        <f>I28</f>
        <v>0</v>
      </c>
      <c r="J21" s="268">
        <f>J22</f>
        <v>1304578</v>
      </c>
      <c r="K21" s="269">
        <f>K28</f>
        <v>0</v>
      </c>
      <c r="L21" s="268">
        <f>L22</f>
        <v>1304578</v>
      </c>
      <c r="M21" s="269">
        <f>M28</f>
        <v>0</v>
      </c>
    </row>
    <row r="22" spans="1:13" s="10" customFormat="1" ht="48" x14ac:dyDescent="0.25">
      <c r="A22" s="29"/>
      <c r="B22" s="239" t="s">
        <v>498</v>
      </c>
      <c r="C22" s="441">
        <v>656</v>
      </c>
      <c r="D22" s="402">
        <v>1</v>
      </c>
      <c r="E22" s="402">
        <v>2</v>
      </c>
      <c r="F22" s="347" t="s">
        <v>103</v>
      </c>
      <c r="G22" s="348">
        <v>0</v>
      </c>
      <c r="H22" s="268">
        <f>H23</f>
        <v>1693066.1400000001</v>
      </c>
      <c r="I22" s="269">
        <v>0</v>
      </c>
      <c r="J22" s="268">
        <f>J23</f>
        <v>1304578</v>
      </c>
      <c r="K22" s="269">
        <v>0</v>
      </c>
      <c r="L22" s="268">
        <f>L23</f>
        <v>1304578</v>
      </c>
      <c r="M22" s="269">
        <v>0</v>
      </c>
    </row>
    <row r="23" spans="1:13" s="10" customFormat="1" ht="48" x14ac:dyDescent="0.25">
      <c r="A23" s="29"/>
      <c r="B23" s="151" t="s">
        <v>75</v>
      </c>
      <c r="C23" s="441">
        <v>656</v>
      </c>
      <c r="D23" s="402">
        <v>1</v>
      </c>
      <c r="E23" s="402">
        <v>2</v>
      </c>
      <c r="F23" s="347" t="s">
        <v>103</v>
      </c>
      <c r="G23" s="348">
        <v>100</v>
      </c>
      <c r="H23" s="268">
        <f>H27+H28</f>
        <v>1693066.1400000001</v>
      </c>
      <c r="I23" s="269">
        <v>0</v>
      </c>
      <c r="J23" s="268">
        <f>J27+J28</f>
        <v>1304578</v>
      </c>
      <c r="K23" s="269">
        <v>0</v>
      </c>
      <c r="L23" s="268">
        <f>L27+L28</f>
        <v>1304578</v>
      </c>
      <c r="M23" s="269">
        <v>0</v>
      </c>
    </row>
    <row r="24" spans="1:13" s="10" customFormat="1" ht="36" x14ac:dyDescent="0.25">
      <c r="A24" s="29"/>
      <c r="B24" s="152" t="s">
        <v>40</v>
      </c>
      <c r="C24" s="442"/>
      <c r="D24" s="403">
        <v>1</v>
      </c>
      <c r="E24" s="403">
        <v>3</v>
      </c>
      <c r="F24" s="375">
        <v>20000</v>
      </c>
      <c r="G24" s="376">
        <v>0</v>
      </c>
      <c r="H24" s="270">
        <v>0</v>
      </c>
      <c r="I24" s="270">
        <f>I25</f>
        <v>0</v>
      </c>
      <c r="J24" s="270">
        <v>0</v>
      </c>
      <c r="K24" s="270">
        <f>K25</f>
        <v>0</v>
      </c>
      <c r="L24" s="270">
        <v>0</v>
      </c>
      <c r="M24" s="270">
        <f>M25</f>
        <v>0</v>
      </c>
    </row>
    <row r="25" spans="1:13" s="10" customFormat="1" ht="36" x14ac:dyDescent="0.25">
      <c r="A25" s="29"/>
      <c r="B25" s="151" t="s">
        <v>41</v>
      </c>
      <c r="C25" s="442"/>
      <c r="D25" s="403">
        <v>1</v>
      </c>
      <c r="E25" s="403">
        <v>3</v>
      </c>
      <c r="F25" s="375">
        <v>20400</v>
      </c>
      <c r="G25" s="376">
        <v>0</v>
      </c>
      <c r="H25" s="270">
        <v>0</v>
      </c>
      <c r="I25" s="270">
        <f>I26</f>
        <v>0</v>
      </c>
      <c r="J25" s="270">
        <v>0</v>
      </c>
      <c r="K25" s="270">
        <f>K26</f>
        <v>0</v>
      </c>
      <c r="L25" s="270">
        <v>0</v>
      </c>
      <c r="M25" s="270">
        <f>M26</f>
        <v>0</v>
      </c>
    </row>
    <row r="26" spans="1:13" s="10" customFormat="1" x14ac:dyDescent="0.25">
      <c r="A26" s="29"/>
      <c r="B26" s="152" t="s">
        <v>14</v>
      </c>
      <c r="C26" s="442"/>
      <c r="D26" s="403">
        <v>1</v>
      </c>
      <c r="E26" s="403">
        <v>3</v>
      </c>
      <c r="F26" s="404">
        <v>20400</v>
      </c>
      <c r="G26" s="376">
        <v>244</v>
      </c>
      <c r="H26" s="270">
        <v>0</v>
      </c>
      <c r="I26" s="270">
        <v>0</v>
      </c>
      <c r="J26" s="270">
        <v>0</v>
      </c>
      <c r="K26" s="270">
        <v>0</v>
      </c>
      <c r="L26" s="270">
        <v>0</v>
      </c>
      <c r="M26" s="270">
        <v>0</v>
      </c>
    </row>
    <row r="27" spans="1:13" s="10" customFormat="1" x14ac:dyDescent="0.25">
      <c r="A27" s="29"/>
      <c r="B27" s="239" t="s">
        <v>139</v>
      </c>
      <c r="C27" s="441">
        <v>656</v>
      </c>
      <c r="D27" s="402">
        <v>1</v>
      </c>
      <c r="E27" s="402">
        <v>2</v>
      </c>
      <c r="F27" s="347" t="s">
        <v>103</v>
      </c>
      <c r="G27" s="348">
        <v>121</v>
      </c>
      <c r="H27" s="268">
        <f>'по нов.7'!R66</f>
        <v>1300358.08</v>
      </c>
      <c r="I27" s="269">
        <v>0</v>
      </c>
      <c r="J27" s="268">
        <f>'по нов.7'!W66</f>
        <v>1001980</v>
      </c>
      <c r="K27" s="269">
        <v>0</v>
      </c>
      <c r="L27" s="268">
        <f>'по нов.7'!X66</f>
        <v>1001980</v>
      </c>
      <c r="M27" s="269">
        <v>0</v>
      </c>
    </row>
    <row r="28" spans="1:13" s="10" customFormat="1" ht="36.6" thickBot="1" x14ac:dyDescent="0.3">
      <c r="A28" s="29"/>
      <c r="B28" s="239" t="s">
        <v>134</v>
      </c>
      <c r="C28" s="441">
        <v>656</v>
      </c>
      <c r="D28" s="402">
        <v>1</v>
      </c>
      <c r="E28" s="402">
        <v>2</v>
      </c>
      <c r="F28" s="347" t="s">
        <v>103</v>
      </c>
      <c r="G28" s="348">
        <v>129</v>
      </c>
      <c r="H28" s="268">
        <f>'по нов.7'!R70</f>
        <v>392708.06</v>
      </c>
      <c r="I28" s="269">
        <v>0</v>
      </c>
      <c r="J28" s="268">
        <f>'по нов.7'!W70</f>
        <v>302598</v>
      </c>
      <c r="K28" s="269">
        <v>0</v>
      </c>
      <c r="L28" s="268">
        <f>'по нов.7'!X70</f>
        <v>302598</v>
      </c>
      <c r="M28" s="269">
        <v>0</v>
      </c>
    </row>
    <row r="29" spans="1:13" s="10" customFormat="1" ht="46.8" thickBot="1" x14ac:dyDescent="0.3">
      <c r="A29" s="29"/>
      <c r="B29" s="240" t="s">
        <v>76</v>
      </c>
      <c r="C29" s="443">
        <v>656</v>
      </c>
      <c r="D29" s="405">
        <v>1</v>
      </c>
      <c r="E29" s="405">
        <v>4</v>
      </c>
      <c r="F29" s="399" t="s">
        <v>122</v>
      </c>
      <c r="G29" s="346">
        <v>0</v>
      </c>
      <c r="H29" s="271">
        <f>H30+H39</f>
        <v>4265692.4800000004</v>
      </c>
      <c r="I29" s="272">
        <f>I30+I42</f>
        <v>0</v>
      </c>
      <c r="J29" s="271">
        <f>J30+J39</f>
        <v>5188527</v>
      </c>
      <c r="K29" s="272">
        <f>K30+K42</f>
        <v>0</v>
      </c>
      <c r="L29" s="271">
        <f>L30+L39</f>
        <v>5188527</v>
      </c>
      <c r="M29" s="272">
        <f>M30+M42</f>
        <v>0</v>
      </c>
    </row>
    <row r="30" spans="1:13" s="10" customFormat="1" ht="36" x14ac:dyDescent="0.25">
      <c r="A30" s="29"/>
      <c r="B30" s="151" t="s">
        <v>420</v>
      </c>
      <c r="C30" s="441">
        <v>656</v>
      </c>
      <c r="D30" s="402">
        <v>1</v>
      </c>
      <c r="E30" s="402">
        <v>4</v>
      </c>
      <c r="F30" s="347" t="s">
        <v>102</v>
      </c>
      <c r="G30" s="348">
        <v>0</v>
      </c>
      <c r="H30" s="268">
        <f>H31</f>
        <v>3783892.4800000004</v>
      </c>
      <c r="I30" s="269">
        <v>0</v>
      </c>
      <c r="J30" s="268">
        <f>J31</f>
        <v>5188527</v>
      </c>
      <c r="K30" s="269">
        <v>0</v>
      </c>
      <c r="L30" s="268">
        <f>L31</f>
        <v>5188527</v>
      </c>
      <c r="M30" s="269">
        <v>0</v>
      </c>
    </row>
    <row r="31" spans="1:13" s="10" customFormat="1" ht="48" x14ac:dyDescent="0.25">
      <c r="A31" s="29"/>
      <c r="B31" s="153" t="s">
        <v>499</v>
      </c>
      <c r="C31" s="441">
        <v>656</v>
      </c>
      <c r="D31" s="402">
        <v>1</v>
      </c>
      <c r="E31" s="402">
        <v>4</v>
      </c>
      <c r="F31" s="347" t="s">
        <v>101</v>
      </c>
      <c r="G31" s="348">
        <v>0</v>
      </c>
      <c r="H31" s="268">
        <f>H32+H37</f>
        <v>3783892.4800000004</v>
      </c>
      <c r="I31" s="269">
        <v>0</v>
      </c>
      <c r="J31" s="268">
        <f>J32+J37</f>
        <v>5188527</v>
      </c>
      <c r="K31" s="269">
        <v>0</v>
      </c>
      <c r="L31" s="268">
        <f>L32+L37</f>
        <v>5188527</v>
      </c>
      <c r="M31" s="269">
        <v>0</v>
      </c>
    </row>
    <row r="32" spans="1:13" s="10" customFormat="1" ht="48" x14ac:dyDescent="0.25">
      <c r="A32" s="29"/>
      <c r="B32" s="151" t="s">
        <v>75</v>
      </c>
      <c r="C32" s="441">
        <v>656</v>
      </c>
      <c r="D32" s="402">
        <v>1</v>
      </c>
      <c r="E32" s="402">
        <v>4</v>
      </c>
      <c r="F32" s="347" t="s">
        <v>101</v>
      </c>
      <c r="G32" s="348">
        <v>100</v>
      </c>
      <c r="H32" s="268">
        <f>H33+H35+H34</f>
        <v>3783892.4800000004</v>
      </c>
      <c r="I32" s="269">
        <v>0</v>
      </c>
      <c r="J32" s="268">
        <f>J33+J35+J34</f>
        <v>5188527</v>
      </c>
      <c r="K32" s="269">
        <v>0</v>
      </c>
      <c r="L32" s="268">
        <f>L33+L35+L34</f>
        <v>5188527</v>
      </c>
      <c r="M32" s="269">
        <v>0</v>
      </c>
    </row>
    <row r="33" spans="1:13" s="10" customFormat="1" x14ac:dyDescent="0.25">
      <c r="A33" s="29"/>
      <c r="B33" s="239" t="s">
        <v>138</v>
      </c>
      <c r="C33" s="441">
        <v>656</v>
      </c>
      <c r="D33" s="402">
        <v>1</v>
      </c>
      <c r="E33" s="402">
        <v>4</v>
      </c>
      <c r="F33" s="347" t="s">
        <v>101</v>
      </c>
      <c r="G33" s="348">
        <v>121</v>
      </c>
      <c r="H33" s="268">
        <f>'по нов.7'!R78</f>
        <v>2905478.68</v>
      </c>
      <c r="I33" s="269">
        <v>0</v>
      </c>
      <c r="J33" s="268">
        <f>'по нов.7'!W78</f>
        <v>4100252</v>
      </c>
      <c r="K33" s="269">
        <v>0</v>
      </c>
      <c r="L33" s="268">
        <f>'по нов.7'!X78</f>
        <v>4100252</v>
      </c>
      <c r="M33" s="269">
        <v>0</v>
      </c>
    </row>
    <row r="34" spans="1:13" s="10" customFormat="1" ht="24" x14ac:dyDescent="0.25">
      <c r="A34" s="29"/>
      <c r="B34" s="239" t="s">
        <v>137</v>
      </c>
      <c r="C34" s="441">
        <v>656</v>
      </c>
      <c r="D34" s="402">
        <v>1</v>
      </c>
      <c r="E34" s="402">
        <v>4</v>
      </c>
      <c r="F34" s="347" t="s">
        <v>101</v>
      </c>
      <c r="G34" s="348">
        <v>122</v>
      </c>
      <c r="H34" s="268">
        <f>'по нов.7'!R79</f>
        <v>0</v>
      </c>
      <c r="I34" s="269">
        <v>0</v>
      </c>
      <c r="J34" s="268">
        <f>'по нов.7'!W79</f>
        <v>0</v>
      </c>
      <c r="K34" s="269">
        <v>0</v>
      </c>
      <c r="L34" s="268">
        <f>'по нов.7'!X79</f>
        <v>0</v>
      </c>
      <c r="M34" s="269">
        <v>0</v>
      </c>
    </row>
    <row r="35" spans="1:13" s="10" customFormat="1" ht="36" x14ac:dyDescent="0.25">
      <c r="A35" s="29"/>
      <c r="B35" s="239" t="s">
        <v>134</v>
      </c>
      <c r="C35" s="441">
        <v>656</v>
      </c>
      <c r="D35" s="402">
        <v>1</v>
      </c>
      <c r="E35" s="402">
        <v>4</v>
      </c>
      <c r="F35" s="347" t="s">
        <v>101</v>
      </c>
      <c r="G35" s="348">
        <v>129</v>
      </c>
      <c r="H35" s="268">
        <f>'по нов.7'!R80</f>
        <v>878413.8</v>
      </c>
      <c r="I35" s="269">
        <v>0</v>
      </c>
      <c r="J35" s="268">
        <f>'по нов.7'!W80</f>
        <v>1088275</v>
      </c>
      <c r="K35" s="269">
        <v>0</v>
      </c>
      <c r="L35" s="268">
        <f>'по нов.7'!X80</f>
        <v>1088275</v>
      </c>
      <c r="M35" s="269">
        <v>0</v>
      </c>
    </row>
    <row r="36" spans="1:13" s="10" customFormat="1" x14ac:dyDescent="0.25">
      <c r="A36" s="29"/>
      <c r="B36" s="239"/>
      <c r="C36" s="441"/>
      <c r="D36" s="402"/>
      <c r="E36" s="402"/>
      <c r="F36" s="347"/>
      <c r="G36" s="348"/>
      <c r="H36" s="268"/>
      <c r="I36" s="269"/>
      <c r="J36" s="268"/>
      <c r="K36" s="269"/>
      <c r="L36" s="268"/>
      <c r="M36" s="269"/>
    </row>
    <row r="37" spans="1:13" s="10" customFormat="1" ht="24" x14ac:dyDescent="0.25">
      <c r="A37" s="29"/>
      <c r="B37" s="151" t="s">
        <v>128</v>
      </c>
      <c r="C37" s="441">
        <v>656</v>
      </c>
      <c r="D37" s="402">
        <v>1</v>
      </c>
      <c r="E37" s="402">
        <v>4</v>
      </c>
      <c r="F37" s="347" t="s">
        <v>104</v>
      </c>
      <c r="G37" s="348">
        <v>200</v>
      </c>
      <c r="H37" s="268">
        <f>H38</f>
        <v>0</v>
      </c>
      <c r="I37" s="269">
        <v>0</v>
      </c>
      <c r="J37" s="268">
        <f>J38</f>
        <v>0</v>
      </c>
      <c r="K37" s="269">
        <v>0</v>
      </c>
      <c r="L37" s="268">
        <f>L38</f>
        <v>0</v>
      </c>
      <c r="M37" s="269">
        <v>0</v>
      </c>
    </row>
    <row r="38" spans="1:13" s="10" customFormat="1" ht="36" x14ac:dyDescent="0.25">
      <c r="A38" s="29"/>
      <c r="B38" s="118" t="s">
        <v>506</v>
      </c>
      <c r="C38" s="441">
        <v>656</v>
      </c>
      <c r="D38" s="402">
        <v>1</v>
      </c>
      <c r="E38" s="402">
        <v>4</v>
      </c>
      <c r="F38" s="347" t="s">
        <v>104</v>
      </c>
      <c r="G38" s="348">
        <v>244</v>
      </c>
      <c r="H38" s="268">
        <f>'по нов.7'!R83</f>
        <v>0</v>
      </c>
      <c r="I38" s="269">
        <v>0</v>
      </c>
      <c r="J38" s="268">
        <f>'по нов.7'!W83</f>
        <v>0</v>
      </c>
      <c r="K38" s="269">
        <v>0</v>
      </c>
      <c r="L38" s="268">
        <f>'по нов.7'!X83</f>
        <v>0</v>
      </c>
      <c r="M38" s="269">
        <v>0</v>
      </c>
    </row>
    <row r="39" spans="1:13" s="10" customFormat="1" ht="57.6" x14ac:dyDescent="0.25">
      <c r="A39" s="29"/>
      <c r="B39" s="240" t="s">
        <v>421</v>
      </c>
      <c r="C39" s="443">
        <v>656</v>
      </c>
      <c r="D39" s="405">
        <v>1</v>
      </c>
      <c r="E39" s="405">
        <v>4</v>
      </c>
      <c r="F39" s="345" t="s">
        <v>123</v>
      </c>
      <c r="G39" s="346">
        <v>0</v>
      </c>
      <c r="H39" s="271">
        <f>H40</f>
        <v>481800</v>
      </c>
      <c r="I39" s="272">
        <v>0</v>
      </c>
      <c r="J39" s="271">
        <f>J40</f>
        <v>0</v>
      </c>
      <c r="K39" s="272">
        <v>0</v>
      </c>
      <c r="L39" s="271">
        <f>L40</f>
        <v>0</v>
      </c>
      <c r="M39" s="272">
        <v>0</v>
      </c>
    </row>
    <row r="40" spans="1:13" s="10" customFormat="1" ht="96" x14ac:dyDescent="0.25">
      <c r="A40" s="29"/>
      <c r="B40" s="108" t="s">
        <v>520</v>
      </c>
      <c r="C40" s="441">
        <v>656</v>
      </c>
      <c r="D40" s="402">
        <v>1</v>
      </c>
      <c r="E40" s="402">
        <v>4</v>
      </c>
      <c r="F40" s="406" t="s">
        <v>118</v>
      </c>
      <c r="G40" s="348">
        <v>0</v>
      </c>
      <c r="H40" s="268">
        <f>H41</f>
        <v>481800</v>
      </c>
      <c r="I40" s="269">
        <v>0</v>
      </c>
      <c r="J40" s="268">
        <f>J41</f>
        <v>0</v>
      </c>
      <c r="K40" s="269">
        <v>0</v>
      </c>
      <c r="L40" s="268">
        <f>L41</f>
        <v>0</v>
      </c>
      <c r="M40" s="269">
        <v>0</v>
      </c>
    </row>
    <row r="41" spans="1:13" s="10" customFormat="1" x14ac:dyDescent="0.25">
      <c r="A41" s="29"/>
      <c r="B41" s="151" t="s">
        <v>74</v>
      </c>
      <c r="C41" s="441">
        <v>656</v>
      </c>
      <c r="D41" s="402">
        <v>1</v>
      </c>
      <c r="E41" s="402">
        <v>4</v>
      </c>
      <c r="F41" s="406" t="s">
        <v>118</v>
      </c>
      <c r="G41" s="348">
        <v>500</v>
      </c>
      <c r="H41" s="268">
        <f>H42</f>
        <v>481800</v>
      </c>
      <c r="I41" s="269">
        <v>0</v>
      </c>
      <c r="J41" s="268">
        <f>J42</f>
        <v>0</v>
      </c>
      <c r="K41" s="269">
        <v>0</v>
      </c>
      <c r="L41" s="268">
        <f>L42</f>
        <v>0</v>
      </c>
      <c r="M41" s="269">
        <v>0</v>
      </c>
    </row>
    <row r="42" spans="1:13" s="10" customFormat="1" x14ac:dyDescent="0.25">
      <c r="A42" s="29"/>
      <c r="B42" s="155" t="s">
        <v>63</v>
      </c>
      <c r="C42" s="444">
        <v>656</v>
      </c>
      <c r="D42" s="407">
        <v>1</v>
      </c>
      <c r="E42" s="407">
        <v>4</v>
      </c>
      <c r="F42" s="406" t="s">
        <v>118</v>
      </c>
      <c r="G42" s="377">
        <v>540</v>
      </c>
      <c r="H42" s="268">
        <f>'по нов.7'!R205</f>
        <v>481800</v>
      </c>
      <c r="I42" s="269">
        <v>0</v>
      </c>
      <c r="J42" s="268">
        <f>'по нов.7'!W205</f>
        <v>0</v>
      </c>
      <c r="K42" s="269">
        <v>0</v>
      </c>
      <c r="L42" s="268">
        <f>'по нов.7'!X205</f>
        <v>0</v>
      </c>
      <c r="M42" s="269">
        <v>0</v>
      </c>
    </row>
    <row r="43" spans="1:13" s="10" customFormat="1" x14ac:dyDescent="0.25">
      <c r="A43" s="29"/>
      <c r="B43" s="159" t="s">
        <v>480</v>
      </c>
      <c r="C43" s="443">
        <v>656</v>
      </c>
      <c r="D43" s="405">
        <v>1</v>
      </c>
      <c r="E43" s="405">
        <v>7</v>
      </c>
      <c r="F43" s="345" t="s">
        <v>418</v>
      </c>
      <c r="G43" s="346">
        <v>0</v>
      </c>
      <c r="H43" s="271">
        <f>H44</f>
        <v>770019</v>
      </c>
      <c r="I43" s="272">
        <v>0</v>
      </c>
      <c r="J43" s="272">
        <v>0</v>
      </c>
      <c r="K43" s="272">
        <v>0</v>
      </c>
      <c r="L43" s="272">
        <v>0</v>
      </c>
      <c r="M43" s="272">
        <v>0</v>
      </c>
    </row>
    <row r="44" spans="1:13" s="10" customFormat="1" ht="36" x14ac:dyDescent="0.25">
      <c r="A44" s="29"/>
      <c r="B44" s="151" t="s">
        <v>420</v>
      </c>
      <c r="C44" s="441">
        <v>656</v>
      </c>
      <c r="D44" s="402">
        <v>1</v>
      </c>
      <c r="E44" s="402">
        <v>7</v>
      </c>
      <c r="F44" s="347" t="s">
        <v>102</v>
      </c>
      <c r="G44" s="348">
        <v>0</v>
      </c>
      <c r="H44" s="268">
        <f>H45</f>
        <v>770019</v>
      </c>
      <c r="I44" s="269">
        <v>0</v>
      </c>
      <c r="J44" s="269">
        <v>0</v>
      </c>
      <c r="K44" s="269">
        <v>0</v>
      </c>
      <c r="L44" s="269">
        <v>0</v>
      </c>
      <c r="M44" s="269">
        <v>0</v>
      </c>
    </row>
    <row r="45" spans="1:13" s="10" customFormat="1" ht="48" x14ac:dyDescent="0.25">
      <c r="A45" s="29"/>
      <c r="B45" s="239" t="s">
        <v>501</v>
      </c>
      <c r="C45" s="441">
        <v>656</v>
      </c>
      <c r="D45" s="402">
        <v>1</v>
      </c>
      <c r="E45" s="402">
        <v>7</v>
      </c>
      <c r="F45" s="347" t="s">
        <v>101</v>
      </c>
      <c r="G45" s="348">
        <v>0</v>
      </c>
      <c r="H45" s="268">
        <f>H46</f>
        <v>770019</v>
      </c>
      <c r="I45" s="269">
        <v>0</v>
      </c>
      <c r="J45" s="269">
        <v>0</v>
      </c>
      <c r="K45" s="269">
        <v>0</v>
      </c>
      <c r="L45" s="269">
        <v>0</v>
      </c>
      <c r="M45" s="269">
        <v>0</v>
      </c>
    </row>
    <row r="46" spans="1:13" s="10" customFormat="1" ht="24" x14ac:dyDescent="0.25">
      <c r="A46" s="29"/>
      <c r="B46" s="151" t="s">
        <v>128</v>
      </c>
      <c r="C46" s="441">
        <v>656</v>
      </c>
      <c r="D46" s="402">
        <v>1</v>
      </c>
      <c r="E46" s="402">
        <v>7</v>
      </c>
      <c r="F46" s="347" t="s">
        <v>101</v>
      </c>
      <c r="G46" s="348">
        <v>200</v>
      </c>
      <c r="H46" s="268">
        <f>H47</f>
        <v>770019</v>
      </c>
      <c r="I46" s="269">
        <v>0</v>
      </c>
      <c r="J46" s="268">
        <f>J47</f>
        <v>0</v>
      </c>
      <c r="K46" s="269">
        <v>0</v>
      </c>
      <c r="L46" s="268">
        <f>L47</f>
        <v>0</v>
      </c>
      <c r="M46" s="269">
        <v>0</v>
      </c>
    </row>
    <row r="47" spans="1:13" s="10" customFormat="1" ht="36.6" thickBot="1" x14ac:dyDescent="0.3">
      <c r="A47" s="29"/>
      <c r="B47" s="229" t="s">
        <v>506</v>
      </c>
      <c r="C47" s="441">
        <v>656</v>
      </c>
      <c r="D47" s="402">
        <v>1</v>
      </c>
      <c r="E47" s="402">
        <v>7</v>
      </c>
      <c r="F47" s="347" t="s">
        <v>101</v>
      </c>
      <c r="G47" s="348">
        <v>244</v>
      </c>
      <c r="H47" s="268">
        <f>'0'!V26</f>
        <v>770019</v>
      </c>
      <c r="I47" s="269">
        <v>0</v>
      </c>
      <c r="J47" s="268">
        <f>'по нов.7'!W69</f>
        <v>0</v>
      </c>
      <c r="K47" s="269">
        <v>0</v>
      </c>
      <c r="L47" s="268">
        <f>'по нов.7'!X69</f>
        <v>0</v>
      </c>
      <c r="M47" s="269">
        <v>0</v>
      </c>
    </row>
    <row r="48" spans="1:13" s="36" customFormat="1" ht="13.8" thickBot="1" x14ac:dyDescent="0.3">
      <c r="A48" s="34"/>
      <c r="B48" s="240" t="s">
        <v>15</v>
      </c>
      <c r="C48" s="443">
        <v>656</v>
      </c>
      <c r="D48" s="405">
        <v>1</v>
      </c>
      <c r="E48" s="405">
        <v>11</v>
      </c>
      <c r="F48" s="399" t="s">
        <v>122</v>
      </c>
      <c r="G48" s="346">
        <v>0</v>
      </c>
      <c r="H48" s="271">
        <f t="shared" ref="H48:M48" si="2">H50</f>
        <v>80000</v>
      </c>
      <c r="I48" s="272">
        <f t="shared" si="2"/>
        <v>0</v>
      </c>
      <c r="J48" s="271">
        <f t="shared" si="2"/>
        <v>80000</v>
      </c>
      <c r="K48" s="272">
        <f t="shared" si="2"/>
        <v>0</v>
      </c>
      <c r="L48" s="271">
        <f t="shared" si="2"/>
        <v>68000</v>
      </c>
      <c r="M48" s="272">
        <f t="shared" si="2"/>
        <v>0</v>
      </c>
    </row>
    <row r="49" spans="1:13" s="10" customFormat="1" hidden="1" x14ac:dyDescent="0.25">
      <c r="A49" s="29"/>
      <c r="B49" s="151"/>
      <c r="C49" s="441"/>
      <c r="D49" s="402"/>
      <c r="E49" s="402"/>
      <c r="F49" s="347"/>
      <c r="G49" s="348"/>
      <c r="H49" s="268"/>
      <c r="I49" s="269"/>
      <c r="J49" s="268"/>
      <c r="K49" s="269"/>
      <c r="L49" s="268"/>
      <c r="M49" s="269"/>
    </row>
    <row r="50" spans="1:13" s="10" customFormat="1" ht="24" x14ac:dyDescent="0.25">
      <c r="A50" s="29"/>
      <c r="B50" s="151" t="s">
        <v>422</v>
      </c>
      <c r="C50" s="441">
        <v>656</v>
      </c>
      <c r="D50" s="402">
        <v>1</v>
      </c>
      <c r="E50" s="402">
        <v>11</v>
      </c>
      <c r="F50" s="347" t="s">
        <v>107</v>
      </c>
      <c r="G50" s="348">
        <v>0</v>
      </c>
      <c r="H50" s="268">
        <f>H51</f>
        <v>80000</v>
      </c>
      <c r="I50" s="269"/>
      <c r="J50" s="268">
        <f>J51</f>
        <v>80000</v>
      </c>
      <c r="K50" s="269"/>
      <c r="L50" s="268">
        <f>L51</f>
        <v>68000</v>
      </c>
      <c r="M50" s="269"/>
    </row>
    <row r="51" spans="1:13" s="10" customFormat="1" ht="36" x14ac:dyDescent="0.25">
      <c r="A51" s="29"/>
      <c r="B51" s="103" t="s">
        <v>508</v>
      </c>
      <c r="C51" s="441">
        <v>656</v>
      </c>
      <c r="D51" s="402">
        <v>1</v>
      </c>
      <c r="E51" s="402">
        <v>11</v>
      </c>
      <c r="F51" s="347" t="s">
        <v>108</v>
      </c>
      <c r="G51" s="348">
        <v>0</v>
      </c>
      <c r="H51" s="268">
        <v>80000</v>
      </c>
      <c r="I51" s="269">
        <v>0</v>
      </c>
      <c r="J51" s="268">
        <v>80000</v>
      </c>
      <c r="K51" s="269">
        <v>0</v>
      </c>
      <c r="L51" s="268">
        <f>L52</f>
        <v>68000</v>
      </c>
      <c r="M51" s="269">
        <v>0</v>
      </c>
    </row>
    <row r="52" spans="1:13" s="10" customFormat="1" x14ac:dyDescent="0.25">
      <c r="A52" s="29"/>
      <c r="B52" s="151" t="s">
        <v>78</v>
      </c>
      <c r="C52" s="441">
        <v>656</v>
      </c>
      <c r="D52" s="402">
        <v>1</v>
      </c>
      <c r="E52" s="402">
        <v>11</v>
      </c>
      <c r="F52" s="347" t="s">
        <v>108</v>
      </c>
      <c r="G52" s="348">
        <v>800</v>
      </c>
      <c r="H52" s="268">
        <v>80000</v>
      </c>
      <c r="I52" s="269">
        <v>0</v>
      </c>
      <c r="J52" s="268">
        <v>80000</v>
      </c>
      <c r="K52" s="269">
        <v>0</v>
      </c>
      <c r="L52" s="268">
        <f>L53</f>
        <v>68000</v>
      </c>
      <c r="M52" s="269">
        <v>0</v>
      </c>
    </row>
    <row r="53" spans="1:13" s="10" customFormat="1" ht="13.8" thickBot="1" x14ac:dyDescent="0.3">
      <c r="A53" s="29"/>
      <c r="B53" s="151" t="s">
        <v>61</v>
      </c>
      <c r="C53" s="441">
        <v>656</v>
      </c>
      <c r="D53" s="402">
        <v>1</v>
      </c>
      <c r="E53" s="402">
        <v>11</v>
      </c>
      <c r="F53" s="347" t="s">
        <v>108</v>
      </c>
      <c r="G53" s="348">
        <v>870</v>
      </c>
      <c r="H53" s="268">
        <f>'по нов.7'!R110</f>
        <v>80000</v>
      </c>
      <c r="I53" s="269">
        <v>0</v>
      </c>
      <c r="J53" s="268">
        <f>'по нов.7'!W110</f>
        <v>80000</v>
      </c>
      <c r="K53" s="269">
        <v>0</v>
      </c>
      <c r="L53" s="268">
        <f>'по нов.7'!X110</f>
        <v>68000</v>
      </c>
      <c r="M53" s="269">
        <v>0</v>
      </c>
    </row>
    <row r="54" spans="1:13" s="10" customFormat="1" ht="13.8" thickBot="1" x14ac:dyDescent="0.3">
      <c r="A54" s="29"/>
      <c r="B54" s="240" t="s">
        <v>16</v>
      </c>
      <c r="C54" s="443">
        <v>656</v>
      </c>
      <c r="D54" s="405">
        <v>1</v>
      </c>
      <c r="E54" s="405">
        <v>13</v>
      </c>
      <c r="F54" s="399" t="s">
        <v>122</v>
      </c>
      <c r="G54" s="346">
        <v>0</v>
      </c>
      <c r="H54" s="271">
        <f>H75+H62+H58</f>
        <v>7446584.3200000003</v>
      </c>
      <c r="I54" s="271">
        <f>I75+I62+I58</f>
        <v>0</v>
      </c>
      <c r="J54" s="271">
        <f>J75+J62+J58+J71</f>
        <v>7246767.9000000004</v>
      </c>
      <c r="K54" s="271">
        <f>K75+K62+K58</f>
        <v>0</v>
      </c>
      <c r="L54" s="271">
        <f>L75+L62+L58+L71</f>
        <v>5958464</v>
      </c>
      <c r="M54" s="271">
        <f>M75+M62+M58</f>
        <v>0</v>
      </c>
    </row>
    <row r="55" spans="1:13" s="10" customFormat="1" hidden="1" x14ac:dyDescent="0.25">
      <c r="A55" s="29"/>
      <c r="B55" s="151" t="s">
        <v>14</v>
      </c>
      <c r="C55" s="441"/>
      <c r="D55" s="402">
        <v>1</v>
      </c>
      <c r="E55" s="402">
        <v>13</v>
      </c>
      <c r="F55" s="408" t="s">
        <v>51</v>
      </c>
      <c r="G55" s="348">
        <v>0</v>
      </c>
      <c r="H55" s="268"/>
      <c r="I55" s="269"/>
      <c r="J55" s="268"/>
      <c r="K55" s="269"/>
      <c r="L55" s="268"/>
      <c r="M55" s="269"/>
    </row>
    <row r="56" spans="1:13" s="10" customFormat="1" ht="24" hidden="1" x14ac:dyDescent="0.25">
      <c r="A56" s="29"/>
      <c r="B56" s="151" t="s">
        <v>53</v>
      </c>
      <c r="C56" s="441"/>
      <c r="D56" s="402">
        <v>1</v>
      </c>
      <c r="E56" s="402">
        <v>13</v>
      </c>
      <c r="F56" s="408" t="s">
        <v>52</v>
      </c>
      <c r="G56" s="348">
        <v>500</v>
      </c>
      <c r="H56" s="268">
        <f>H57</f>
        <v>0</v>
      </c>
      <c r="I56" s="269"/>
      <c r="J56" s="268">
        <f>J57</f>
        <v>0</v>
      </c>
      <c r="K56" s="269"/>
      <c r="L56" s="268">
        <f>L57</f>
        <v>0</v>
      </c>
      <c r="M56" s="269"/>
    </row>
    <row r="57" spans="1:13" s="10" customFormat="1" ht="24.6" hidden="1" thickBot="1" x14ac:dyDescent="0.3">
      <c r="A57" s="29"/>
      <c r="B57" s="151" t="s">
        <v>53</v>
      </c>
      <c r="C57" s="441"/>
      <c r="D57" s="402">
        <v>1</v>
      </c>
      <c r="E57" s="402">
        <v>13</v>
      </c>
      <c r="F57" s="408" t="s">
        <v>52</v>
      </c>
      <c r="G57" s="348">
        <v>500</v>
      </c>
      <c r="H57" s="268"/>
      <c r="I57" s="269"/>
      <c r="J57" s="268"/>
      <c r="K57" s="269"/>
      <c r="L57" s="268"/>
      <c r="M57" s="269"/>
    </row>
    <row r="58" spans="1:13" s="10" customFormat="1" ht="24.6" thickBot="1" x14ac:dyDescent="0.3">
      <c r="A58" s="29"/>
      <c r="B58" s="248" t="s">
        <v>564</v>
      </c>
      <c r="C58" s="441">
        <v>656</v>
      </c>
      <c r="D58" s="402">
        <v>1</v>
      </c>
      <c r="E58" s="402">
        <v>13</v>
      </c>
      <c r="F58" s="409" t="s">
        <v>526</v>
      </c>
      <c r="G58" s="348">
        <v>0</v>
      </c>
      <c r="H58" s="268">
        <f>H59</f>
        <v>75000</v>
      </c>
      <c r="I58" s="269">
        <v>0</v>
      </c>
      <c r="J58" s="268">
        <f>J59</f>
        <v>0</v>
      </c>
      <c r="K58" s="269">
        <v>0</v>
      </c>
      <c r="L58" s="269">
        <f>L59</f>
        <v>0</v>
      </c>
      <c r="M58" s="268">
        <v>0</v>
      </c>
    </row>
    <row r="59" spans="1:13" s="10" customFormat="1" ht="72" x14ac:dyDescent="0.25">
      <c r="A59" s="29"/>
      <c r="B59" s="242" t="s">
        <v>565</v>
      </c>
      <c r="C59" s="441">
        <v>656</v>
      </c>
      <c r="D59" s="402">
        <v>1</v>
      </c>
      <c r="E59" s="402">
        <v>13</v>
      </c>
      <c r="F59" s="368" t="s">
        <v>566</v>
      </c>
      <c r="G59" s="348">
        <v>0</v>
      </c>
      <c r="H59" s="268">
        <f>H60</f>
        <v>75000</v>
      </c>
      <c r="I59" s="269">
        <v>0</v>
      </c>
      <c r="J59" s="268">
        <f>J60</f>
        <v>0</v>
      </c>
      <c r="K59" s="269">
        <v>0</v>
      </c>
      <c r="L59" s="269">
        <f>L60</f>
        <v>0</v>
      </c>
      <c r="M59" s="268">
        <v>0</v>
      </c>
    </row>
    <row r="60" spans="1:13" s="10" customFormat="1" ht="24" x14ac:dyDescent="0.25">
      <c r="A60" s="29"/>
      <c r="B60" s="151" t="s">
        <v>128</v>
      </c>
      <c r="C60" s="441">
        <v>656</v>
      </c>
      <c r="D60" s="402">
        <v>1</v>
      </c>
      <c r="E60" s="402">
        <v>13</v>
      </c>
      <c r="F60" s="368" t="s">
        <v>567</v>
      </c>
      <c r="G60" s="348">
        <v>200</v>
      </c>
      <c r="H60" s="268">
        <f>H61</f>
        <v>75000</v>
      </c>
      <c r="I60" s="269">
        <v>0</v>
      </c>
      <c r="J60" s="268">
        <f>J61</f>
        <v>0</v>
      </c>
      <c r="K60" s="269">
        <v>0</v>
      </c>
      <c r="L60" s="269">
        <f>L61</f>
        <v>0</v>
      </c>
      <c r="M60" s="268">
        <v>0</v>
      </c>
    </row>
    <row r="61" spans="1:13" s="10" customFormat="1" ht="24" x14ac:dyDescent="0.25">
      <c r="A61" s="29"/>
      <c r="B61" s="151" t="s">
        <v>60</v>
      </c>
      <c r="C61" s="444">
        <v>656</v>
      </c>
      <c r="D61" s="407">
        <v>1</v>
      </c>
      <c r="E61" s="407">
        <v>13</v>
      </c>
      <c r="F61" s="368" t="s">
        <v>567</v>
      </c>
      <c r="G61" s="377">
        <v>244</v>
      </c>
      <c r="H61" s="273">
        <f>'по нов.7'!R53</f>
        <v>75000</v>
      </c>
      <c r="I61" s="274">
        <v>0</v>
      </c>
      <c r="J61" s="273">
        <f>'по нов.7'!W53</f>
        <v>0</v>
      </c>
      <c r="K61" s="274">
        <v>0</v>
      </c>
      <c r="L61" s="274">
        <f>[1]прил.5!V94</f>
        <v>0</v>
      </c>
      <c r="M61" s="268">
        <v>0</v>
      </c>
    </row>
    <row r="62" spans="1:13" s="10" customFormat="1" ht="36" x14ac:dyDescent="0.25">
      <c r="A62" s="29"/>
      <c r="B62" s="151" t="s">
        <v>420</v>
      </c>
      <c r="C62" s="441">
        <v>656</v>
      </c>
      <c r="D62" s="402">
        <v>1</v>
      </c>
      <c r="E62" s="402">
        <v>13</v>
      </c>
      <c r="F62" s="347" t="s">
        <v>102</v>
      </c>
      <c r="G62" s="348">
        <v>0</v>
      </c>
      <c r="H62" s="268">
        <f>H63+H68</f>
        <v>400249.63</v>
      </c>
      <c r="I62" s="269">
        <v>0</v>
      </c>
      <c r="J62" s="268">
        <f>J63+J68</f>
        <v>200000</v>
      </c>
      <c r="K62" s="269">
        <v>0</v>
      </c>
      <c r="L62" s="268">
        <f>L63+L68</f>
        <v>200000</v>
      </c>
      <c r="M62" s="269">
        <v>0</v>
      </c>
    </row>
    <row r="63" spans="1:13" s="10" customFormat="1" ht="48" x14ac:dyDescent="0.25">
      <c r="A63" s="29"/>
      <c r="B63" s="63" t="s">
        <v>483</v>
      </c>
      <c r="C63" s="441">
        <v>656</v>
      </c>
      <c r="D63" s="402">
        <v>1</v>
      </c>
      <c r="E63" s="402">
        <v>13</v>
      </c>
      <c r="F63" s="347" t="s">
        <v>104</v>
      </c>
      <c r="G63" s="348">
        <v>0</v>
      </c>
      <c r="H63" s="268">
        <f>H64+H66</f>
        <v>377249.63</v>
      </c>
      <c r="I63" s="269">
        <v>0</v>
      </c>
      <c r="J63" s="268">
        <f>J64+J66</f>
        <v>200000</v>
      </c>
      <c r="K63" s="269">
        <v>0</v>
      </c>
      <c r="L63" s="268">
        <f>L64+L66</f>
        <v>200000</v>
      </c>
      <c r="M63" s="269">
        <v>0</v>
      </c>
    </row>
    <row r="64" spans="1:13" s="10" customFormat="1" ht="48" x14ac:dyDescent="0.25">
      <c r="A64" s="29"/>
      <c r="B64" s="151" t="s">
        <v>75</v>
      </c>
      <c r="C64" s="441">
        <v>656</v>
      </c>
      <c r="D64" s="402">
        <v>1</v>
      </c>
      <c r="E64" s="402">
        <v>13</v>
      </c>
      <c r="F64" s="347" t="s">
        <v>104</v>
      </c>
      <c r="G64" s="348">
        <v>100</v>
      </c>
      <c r="H64" s="268">
        <f>H65</f>
        <v>355521.67</v>
      </c>
      <c r="I64" s="269">
        <v>0</v>
      </c>
      <c r="J64" s="268">
        <f>J65</f>
        <v>200000</v>
      </c>
      <c r="K64" s="269">
        <v>0</v>
      </c>
      <c r="L64" s="268">
        <f>L65</f>
        <v>200000</v>
      </c>
      <c r="M64" s="269">
        <v>0</v>
      </c>
    </row>
    <row r="65" spans="1:17" s="10" customFormat="1" ht="24" x14ac:dyDescent="0.25">
      <c r="A65" s="29"/>
      <c r="B65" s="151" t="s">
        <v>137</v>
      </c>
      <c r="C65" s="441">
        <v>656</v>
      </c>
      <c r="D65" s="402">
        <v>1</v>
      </c>
      <c r="E65" s="402">
        <v>13</v>
      </c>
      <c r="F65" s="347" t="s">
        <v>104</v>
      </c>
      <c r="G65" s="348">
        <v>122</v>
      </c>
      <c r="H65" s="268">
        <f>'по нов.7'!R86</f>
        <v>355521.67</v>
      </c>
      <c r="I65" s="269">
        <v>0</v>
      </c>
      <c r="J65" s="268">
        <f>'по нов.7'!W86</f>
        <v>200000</v>
      </c>
      <c r="K65" s="269">
        <v>0</v>
      </c>
      <c r="L65" s="268">
        <f>'по нов.7'!X86</f>
        <v>200000</v>
      </c>
      <c r="M65" s="269">
        <v>0</v>
      </c>
    </row>
    <row r="66" spans="1:17" s="10" customFormat="1" ht="24" x14ac:dyDescent="0.25">
      <c r="A66" s="29"/>
      <c r="B66" s="151" t="s">
        <v>128</v>
      </c>
      <c r="C66" s="441">
        <v>656</v>
      </c>
      <c r="D66" s="402">
        <v>1</v>
      </c>
      <c r="E66" s="402">
        <v>13</v>
      </c>
      <c r="F66" s="347" t="s">
        <v>104</v>
      </c>
      <c r="G66" s="348">
        <v>200</v>
      </c>
      <c r="H66" s="268">
        <f>H67</f>
        <v>21727.96</v>
      </c>
      <c r="I66" s="269">
        <v>0</v>
      </c>
      <c r="J66" s="268">
        <f>J67</f>
        <v>0</v>
      </c>
      <c r="K66" s="269">
        <v>0</v>
      </c>
      <c r="L66" s="268">
        <f>L67</f>
        <v>0</v>
      </c>
      <c r="M66" s="269">
        <v>0</v>
      </c>
    </row>
    <row r="67" spans="1:17" s="10" customFormat="1" ht="24" customHeight="1" x14ac:dyDescent="0.25">
      <c r="A67" s="29"/>
      <c r="B67" s="229" t="s">
        <v>506</v>
      </c>
      <c r="C67" s="444">
        <v>656</v>
      </c>
      <c r="D67" s="407">
        <v>1</v>
      </c>
      <c r="E67" s="407">
        <v>13</v>
      </c>
      <c r="F67" s="347" t="s">
        <v>104</v>
      </c>
      <c r="G67" s="377">
        <v>244</v>
      </c>
      <c r="H67" s="273">
        <f>'по нов.7'!R88</f>
        <v>21727.96</v>
      </c>
      <c r="I67" s="274">
        <v>0</v>
      </c>
      <c r="J67" s="273">
        <f>'по нов.7'!W88</f>
        <v>0</v>
      </c>
      <c r="K67" s="274">
        <v>0</v>
      </c>
      <c r="L67" s="273">
        <f>'по нов.7'!V88</f>
        <v>0</v>
      </c>
      <c r="M67" s="274">
        <v>0</v>
      </c>
    </row>
    <row r="68" spans="1:17" s="10" customFormat="1" ht="20.25" customHeight="1" x14ac:dyDescent="0.25">
      <c r="A68" s="29"/>
      <c r="B68" s="239" t="s">
        <v>78</v>
      </c>
      <c r="C68" s="444">
        <v>656</v>
      </c>
      <c r="D68" s="407">
        <v>1</v>
      </c>
      <c r="E68" s="407">
        <v>13</v>
      </c>
      <c r="F68" s="347" t="s">
        <v>104</v>
      </c>
      <c r="G68" s="410">
        <v>800</v>
      </c>
      <c r="H68" s="275">
        <f>H69+H70</f>
        <v>23000</v>
      </c>
      <c r="I68" s="276">
        <v>0</v>
      </c>
      <c r="J68" s="275">
        <f>J69+J70</f>
        <v>0</v>
      </c>
      <c r="K68" s="276">
        <v>0</v>
      </c>
      <c r="L68" s="275">
        <f>L69+L70</f>
        <v>0</v>
      </c>
      <c r="M68" s="276">
        <v>0</v>
      </c>
    </row>
    <row r="69" spans="1:17" s="10" customFormat="1" ht="15" customHeight="1" x14ac:dyDescent="0.25">
      <c r="A69" s="29"/>
      <c r="B69" s="151" t="s">
        <v>488</v>
      </c>
      <c r="C69" s="441">
        <v>656</v>
      </c>
      <c r="D69" s="407">
        <v>1</v>
      </c>
      <c r="E69" s="407">
        <v>13</v>
      </c>
      <c r="F69" s="347" t="s">
        <v>104</v>
      </c>
      <c r="G69" s="348">
        <v>851</v>
      </c>
      <c r="H69" s="268">
        <f>'по нов.7'!R90</f>
        <v>6000</v>
      </c>
      <c r="I69" s="269">
        <v>0</v>
      </c>
      <c r="J69" s="268">
        <f>'по нов.7'!W90</f>
        <v>0</v>
      </c>
      <c r="K69" s="269">
        <v>0</v>
      </c>
      <c r="L69" s="268">
        <f>'по нов.7'!V90</f>
        <v>0</v>
      </c>
      <c r="M69" s="269">
        <v>0</v>
      </c>
    </row>
    <row r="70" spans="1:17" s="10" customFormat="1" ht="15" customHeight="1" x14ac:dyDescent="0.25">
      <c r="A70" s="29"/>
      <c r="B70" s="151" t="s">
        <v>348</v>
      </c>
      <c r="C70" s="441">
        <v>656</v>
      </c>
      <c r="D70" s="407">
        <v>1</v>
      </c>
      <c r="E70" s="407">
        <v>13</v>
      </c>
      <c r="F70" s="347" t="s">
        <v>104</v>
      </c>
      <c r="G70" s="348">
        <v>853</v>
      </c>
      <c r="H70" s="268">
        <f>'по нов.7'!R91</f>
        <v>17000</v>
      </c>
      <c r="I70" s="269">
        <v>0</v>
      </c>
      <c r="J70" s="268">
        <f>'по нов.7'!W91</f>
        <v>0</v>
      </c>
      <c r="K70" s="269">
        <v>0</v>
      </c>
      <c r="L70" s="268">
        <f>'по нов.7'!V91</f>
        <v>0</v>
      </c>
      <c r="M70" s="269">
        <v>0</v>
      </c>
    </row>
    <row r="71" spans="1:17" s="10" customFormat="1" ht="37.799999999999997" customHeight="1" x14ac:dyDescent="0.25">
      <c r="A71" s="29"/>
      <c r="B71" s="151" t="s">
        <v>422</v>
      </c>
      <c r="C71" s="441">
        <v>656</v>
      </c>
      <c r="D71" s="407">
        <v>1</v>
      </c>
      <c r="E71" s="407">
        <v>13</v>
      </c>
      <c r="F71" s="347" t="s">
        <v>396</v>
      </c>
      <c r="G71" s="348">
        <v>0</v>
      </c>
      <c r="H71" s="274">
        <v>0</v>
      </c>
      <c r="I71" s="274">
        <v>0</v>
      </c>
      <c r="J71" s="274">
        <f>J72</f>
        <v>650000</v>
      </c>
      <c r="K71" s="274">
        <v>0</v>
      </c>
      <c r="L71" s="274">
        <f>L72</f>
        <v>1338000</v>
      </c>
      <c r="M71" s="274">
        <v>0</v>
      </c>
      <c r="N71" s="18"/>
      <c r="O71" s="18"/>
      <c r="P71" s="18"/>
      <c r="Q71" s="18"/>
    </row>
    <row r="72" spans="1:17" s="10" customFormat="1" ht="36" customHeight="1" x14ac:dyDescent="0.25">
      <c r="A72" s="29"/>
      <c r="B72" s="151" t="s">
        <v>423</v>
      </c>
      <c r="C72" s="441">
        <v>656</v>
      </c>
      <c r="D72" s="407">
        <v>1</v>
      </c>
      <c r="E72" s="407">
        <v>13</v>
      </c>
      <c r="F72" s="347" t="s">
        <v>396</v>
      </c>
      <c r="G72" s="348">
        <v>0</v>
      </c>
      <c r="H72" s="276">
        <v>0</v>
      </c>
      <c r="I72" s="276">
        <v>0</v>
      </c>
      <c r="J72" s="276">
        <f>J73</f>
        <v>650000</v>
      </c>
      <c r="K72" s="276">
        <v>0</v>
      </c>
      <c r="L72" s="276">
        <f>L73</f>
        <v>1338000</v>
      </c>
      <c r="M72" s="276">
        <v>0</v>
      </c>
      <c r="N72" s="18"/>
      <c r="O72" s="18"/>
      <c r="P72" s="18"/>
      <c r="Q72" s="18"/>
    </row>
    <row r="73" spans="1:17" s="10" customFormat="1" ht="15" customHeight="1" x14ac:dyDescent="0.25">
      <c r="A73" s="29"/>
      <c r="B73" s="151" t="s">
        <v>78</v>
      </c>
      <c r="C73" s="441">
        <v>656</v>
      </c>
      <c r="D73" s="407">
        <v>1</v>
      </c>
      <c r="E73" s="407">
        <v>13</v>
      </c>
      <c r="F73" s="347" t="s">
        <v>396</v>
      </c>
      <c r="G73" s="348">
        <v>800</v>
      </c>
      <c r="H73" s="269">
        <v>0</v>
      </c>
      <c r="I73" s="269">
        <v>0</v>
      </c>
      <c r="J73" s="269">
        <f>J74</f>
        <v>650000</v>
      </c>
      <c r="K73" s="269">
        <v>0</v>
      </c>
      <c r="L73" s="269">
        <f>L74</f>
        <v>1338000</v>
      </c>
      <c r="M73" s="269">
        <v>0</v>
      </c>
      <c r="N73" s="18"/>
      <c r="O73" s="18"/>
      <c r="P73" s="18"/>
      <c r="Q73" s="18"/>
    </row>
    <row r="74" spans="1:17" s="10" customFormat="1" ht="17.25" customHeight="1" x14ac:dyDescent="0.25">
      <c r="A74" s="29"/>
      <c r="B74" s="155" t="s">
        <v>255</v>
      </c>
      <c r="C74" s="441">
        <v>656</v>
      </c>
      <c r="D74" s="407">
        <v>1</v>
      </c>
      <c r="E74" s="407">
        <v>13</v>
      </c>
      <c r="F74" s="347" t="s">
        <v>396</v>
      </c>
      <c r="G74" s="348">
        <v>870</v>
      </c>
      <c r="H74" s="269">
        <v>0</v>
      </c>
      <c r="I74" s="269">
        <v>0</v>
      </c>
      <c r="J74" s="269">
        <f>'0'!AB141</f>
        <v>650000</v>
      </c>
      <c r="K74" s="269">
        <v>0</v>
      </c>
      <c r="L74" s="269">
        <f>'по нов.7'!X113</f>
        <v>1338000</v>
      </c>
      <c r="M74" s="269">
        <v>0</v>
      </c>
      <c r="N74" s="18"/>
      <c r="O74" s="18"/>
      <c r="P74" s="18"/>
      <c r="Q74" s="18"/>
    </row>
    <row r="75" spans="1:17" s="10" customFormat="1" ht="37.5" customHeight="1" x14ac:dyDescent="0.25">
      <c r="A75" s="29"/>
      <c r="B75" s="151" t="s">
        <v>424</v>
      </c>
      <c r="C75" s="441">
        <v>656</v>
      </c>
      <c r="D75" s="402">
        <v>1</v>
      </c>
      <c r="E75" s="402">
        <v>13</v>
      </c>
      <c r="F75" s="347" t="s">
        <v>109</v>
      </c>
      <c r="G75" s="348">
        <v>0</v>
      </c>
      <c r="H75" s="268">
        <f>H76+H88</f>
        <v>6971334.6900000004</v>
      </c>
      <c r="I75" s="269">
        <v>0</v>
      </c>
      <c r="J75" s="268">
        <f>J76</f>
        <v>6396767.9000000004</v>
      </c>
      <c r="K75" s="269">
        <v>0</v>
      </c>
      <c r="L75" s="268">
        <f>L76</f>
        <v>4420464</v>
      </c>
      <c r="M75" s="269">
        <v>0</v>
      </c>
    </row>
    <row r="76" spans="1:17" s="10" customFormat="1" ht="63.6" customHeight="1" x14ac:dyDescent="0.25">
      <c r="A76" s="29"/>
      <c r="B76" s="151" t="s">
        <v>425</v>
      </c>
      <c r="C76" s="441">
        <v>656</v>
      </c>
      <c r="D76" s="402">
        <v>1</v>
      </c>
      <c r="E76" s="402">
        <v>13</v>
      </c>
      <c r="F76" s="347" t="s">
        <v>110</v>
      </c>
      <c r="G76" s="348">
        <v>0</v>
      </c>
      <c r="H76" s="268">
        <f>H77+H81+H84</f>
        <v>6635334.6900000004</v>
      </c>
      <c r="I76" s="269">
        <v>0</v>
      </c>
      <c r="J76" s="268">
        <f>J77+J81+J84</f>
        <v>6396767.9000000004</v>
      </c>
      <c r="K76" s="269">
        <v>0</v>
      </c>
      <c r="L76" s="268">
        <f>L77+L81+L84</f>
        <v>4420464</v>
      </c>
      <c r="M76" s="269">
        <v>0</v>
      </c>
    </row>
    <row r="77" spans="1:17" s="10" customFormat="1" ht="54" customHeight="1" x14ac:dyDescent="0.25">
      <c r="A77" s="29"/>
      <c r="B77" s="151" t="s">
        <v>75</v>
      </c>
      <c r="C77" s="441">
        <v>656</v>
      </c>
      <c r="D77" s="402">
        <v>1</v>
      </c>
      <c r="E77" s="402">
        <v>13</v>
      </c>
      <c r="F77" s="347" t="s">
        <v>110</v>
      </c>
      <c r="G77" s="348">
        <v>100</v>
      </c>
      <c r="H77" s="268">
        <f>H78+H79+H80</f>
        <v>4353897</v>
      </c>
      <c r="I77" s="269">
        <v>0</v>
      </c>
      <c r="J77" s="268">
        <f>J78+J79+J80</f>
        <v>5358787.9000000004</v>
      </c>
      <c r="K77" s="269">
        <v>0</v>
      </c>
      <c r="L77" s="268">
        <f>L78+L79+L80</f>
        <v>3369184</v>
      </c>
      <c r="M77" s="269">
        <v>0</v>
      </c>
    </row>
    <row r="78" spans="1:17" s="10" customFormat="1" ht="16.5" customHeight="1" x14ac:dyDescent="0.25">
      <c r="A78" s="29"/>
      <c r="B78" s="239" t="s">
        <v>486</v>
      </c>
      <c r="C78" s="441">
        <v>656</v>
      </c>
      <c r="D78" s="402">
        <v>1</v>
      </c>
      <c r="E78" s="402">
        <v>13</v>
      </c>
      <c r="F78" s="347" t="s">
        <v>110</v>
      </c>
      <c r="G78" s="348">
        <v>111</v>
      </c>
      <c r="H78" s="268">
        <f>'по нов.7'!R117</f>
        <v>3342939</v>
      </c>
      <c r="I78" s="269">
        <v>0</v>
      </c>
      <c r="J78" s="268">
        <f>'по нов.7'!W117</f>
        <v>3961826</v>
      </c>
      <c r="K78" s="269">
        <v>0</v>
      </c>
      <c r="L78" s="268">
        <f>'по нов.7'!X117</f>
        <v>1972226</v>
      </c>
      <c r="M78" s="269">
        <v>0</v>
      </c>
    </row>
    <row r="79" spans="1:17" s="10" customFormat="1" ht="27.75" customHeight="1" x14ac:dyDescent="0.25">
      <c r="A79" s="29"/>
      <c r="B79" s="151" t="s">
        <v>487</v>
      </c>
      <c r="C79" s="441">
        <v>656</v>
      </c>
      <c r="D79" s="402">
        <v>1</v>
      </c>
      <c r="E79" s="402">
        <v>13</v>
      </c>
      <c r="F79" s="347" t="s">
        <v>110</v>
      </c>
      <c r="G79" s="348">
        <v>112</v>
      </c>
      <c r="H79" s="268">
        <f>'по нов.7'!R118</f>
        <v>100000</v>
      </c>
      <c r="I79" s="269">
        <v>0</v>
      </c>
      <c r="J79" s="268">
        <f>'по нов.7'!W118</f>
        <v>200000</v>
      </c>
      <c r="K79" s="269">
        <v>0</v>
      </c>
      <c r="L79" s="268">
        <f>'по нов.7'!X118</f>
        <v>200000</v>
      </c>
      <c r="M79" s="269">
        <v>0</v>
      </c>
    </row>
    <row r="80" spans="1:17" s="10" customFormat="1" ht="36" x14ac:dyDescent="0.25">
      <c r="A80" s="29"/>
      <c r="B80" s="239" t="s">
        <v>491</v>
      </c>
      <c r="C80" s="441">
        <v>656</v>
      </c>
      <c r="D80" s="402">
        <v>1</v>
      </c>
      <c r="E80" s="402">
        <v>13</v>
      </c>
      <c r="F80" s="347" t="s">
        <v>110</v>
      </c>
      <c r="G80" s="348">
        <v>119</v>
      </c>
      <c r="H80" s="268">
        <f>'по нов.7'!R119</f>
        <v>910958</v>
      </c>
      <c r="I80" s="269">
        <v>0</v>
      </c>
      <c r="J80" s="268">
        <f>'по нов.7'!W119</f>
        <v>1196961.8999999999</v>
      </c>
      <c r="K80" s="269">
        <v>0</v>
      </c>
      <c r="L80" s="268">
        <f>'по нов.7'!X119</f>
        <v>1196958</v>
      </c>
      <c r="M80" s="269">
        <v>0</v>
      </c>
    </row>
    <row r="81" spans="1:13" s="10" customFormat="1" ht="24" customHeight="1" x14ac:dyDescent="0.25">
      <c r="A81" s="29"/>
      <c r="B81" s="151" t="s">
        <v>128</v>
      </c>
      <c r="C81" s="441">
        <v>656</v>
      </c>
      <c r="D81" s="402">
        <v>1</v>
      </c>
      <c r="E81" s="402">
        <v>13</v>
      </c>
      <c r="F81" s="347" t="s">
        <v>110</v>
      </c>
      <c r="G81" s="348">
        <v>200</v>
      </c>
      <c r="H81" s="268">
        <f>H82+H83</f>
        <v>2264437.6900000004</v>
      </c>
      <c r="I81" s="269">
        <v>0</v>
      </c>
      <c r="J81" s="268">
        <f>J82+J83</f>
        <v>1037980</v>
      </c>
      <c r="K81" s="269">
        <v>0</v>
      </c>
      <c r="L81" s="268">
        <f>L82+L83</f>
        <v>1051280</v>
      </c>
      <c r="M81" s="269">
        <v>0</v>
      </c>
    </row>
    <row r="82" spans="1:13" s="10" customFormat="1" ht="24" customHeight="1" x14ac:dyDescent="0.25">
      <c r="A82" s="29"/>
      <c r="B82" s="151" t="s">
        <v>59</v>
      </c>
      <c r="C82" s="441">
        <v>656</v>
      </c>
      <c r="D82" s="402">
        <v>1</v>
      </c>
      <c r="E82" s="402">
        <v>13</v>
      </c>
      <c r="F82" s="347" t="s">
        <v>110</v>
      </c>
      <c r="G82" s="348">
        <v>242</v>
      </c>
      <c r="H82" s="268">
        <f>'по нов.7'!R121</f>
        <v>312659.14500000002</v>
      </c>
      <c r="I82" s="269">
        <v>0</v>
      </c>
      <c r="J82" s="268">
        <f>'по нов.7'!W121</f>
        <v>138000</v>
      </c>
      <c r="K82" s="269">
        <v>0</v>
      </c>
      <c r="L82" s="268">
        <f>'по нов.7'!X121</f>
        <v>138000</v>
      </c>
      <c r="M82" s="269">
        <v>0</v>
      </c>
    </row>
    <row r="83" spans="1:13" s="10" customFormat="1" ht="36" x14ac:dyDescent="0.25">
      <c r="A83" s="29"/>
      <c r="B83" s="229" t="s">
        <v>506</v>
      </c>
      <c r="C83" s="444">
        <v>656</v>
      </c>
      <c r="D83" s="407">
        <v>1</v>
      </c>
      <c r="E83" s="407">
        <v>13</v>
      </c>
      <c r="F83" s="347" t="s">
        <v>110</v>
      </c>
      <c r="G83" s="377">
        <v>244</v>
      </c>
      <c r="H83" s="273">
        <f>'по нов.7'!R124</f>
        <v>1951778.5450000002</v>
      </c>
      <c r="I83" s="274">
        <v>0</v>
      </c>
      <c r="J83" s="273">
        <f>'по нов.7'!W124</f>
        <v>899980</v>
      </c>
      <c r="K83" s="274">
        <v>0</v>
      </c>
      <c r="L83" s="273">
        <f>'по нов.7'!X124</f>
        <v>913280</v>
      </c>
      <c r="M83" s="274">
        <v>0</v>
      </c>
    </row>
    <row r="84" spans="1:13" s="10" customFormat="1" x14ac:dyDescent="0.25">
      <c r="A84" s="29"/>
      <c r="B84" s="239" t="s">
        <v>78</v>
      </c>
      <c r="C84" s="444">
        <v>656</v>
      </c>
      <c r="D84" s="402">
        <v>1</v>
      </c>
      <c r="E84" s="407">
        <v>13</v>
      </c>
      <c r="F84" s="347" t="s">
        <v>110</v>
      </c>
      <c r="G84" s="410">
        <v>800</v>
      </c>
      <c r="H84" s="275">
        <f>H85+H87+H86</f>
        <v>17000</v>
      </c>
      <c r="I84" s="276">
        <v>0</v>
      </c>
      <c r="J84" s="275">
        <f>J85+J87</f>
        <v>0</v>
      </c>
      <c r="K84" s="276">
        <v>0</v>
      </c>
      <c r="L84" s="275">
        <f>L85+L87</f>
        <v>0</v>
      </c>
      <c r="M84" s="276">
        <v>0</v>
      </c>
    </row>
    <row r="85" spans="1:13" s="10" customFormat="1" x14ac:dyDescent="0.25">
      <c r="A85" s="29"/>
      <c r="B85" s="151" t="s">
        <v>488</v>
      </c>
      <c r="C85" s="441">
        <v>656</v>
      </c>
      <c r="D85" s="402">
        <v>1</v>
      </c>
      <c r="E85" s="407">
        <v>13</v>
      </c>
      <c r="F85" s="347" t="s">
        <v>110</v>
      </c>
      <c r="G85" s="348">
        <v>851</v>
      </c>
      <c r="H85" s="268">
        <f>'по нов.7'!R126</f>
        <v>1000</v>
      </c>
      <c r="I85" s="269">
        <v>0</v>
      </c>
      <c r="J85" s="268">
        <v>0</v>
      </c>
      <c r="K85" s="269">
        <v>0</v>
      </c>
      <c r="L85" s="268">
        <v>0</v>
      </c>
      <c r="M85" s="269">
        <v>0</v>
      </c>
    </row>
    <row r="86" spans="1:13" s="10" customFormat="1" x14ac:dyDescent="0.25">
      <c r="A86" s="29"/>
      <c r="B86" s="151" t="s">
        <v>590</v>
      </c>
      <c r="C86" s="441">
        <v>656</v>
      </c>
      <c r="D86" s="402">
        <v>1</v>
      </c>
      <c r="E86" s="407">
        <v>13</v>
      </c>
      <c r="F86" s="347" t="s">
        <v>110</v>
      </c>
      <c r="G86" s="348">
        <v>852</v>
      </c>
      <c r="H86" s="268">
        <f>'по нов.7'!R127</f>
        <v>8000</v>
      </c>
      <c r="I86" s="269">
        <v>0</v>
      </c>
      <c r="J86" s="268">
        <v>0</v>
      </c>
      <c r="K86" s="269">
        <v>0</v>
      </c>
      <c r="L86" s="268">
        <v>0</v>
      </c>
      <c r="M86" s="269">
        <v>0</v>
      </c>
    </row>
    <row r="87" spans="1:13" s="10" customFormat="1" x14ac:dyDescent="0.25">
      <c r="A87" s="29"/>
      <c r="B87" s="151" t="s">
        <v>348</v>
      </c>
      <c r="C87" s="441">
        <v>656</v>
      </c>
      <c r="D87" s="402">
        <v>1</v>
      </c>
      <c r="E87" s="407">
        <v>13</v>
      </c>
      <c r="F87" s="347" t="s">
        <v>110</v>
      </c>
      <c r="G87" s="348">
        <v>853</v>
      </c>
      <c r="H87" s="268">
        <f>'по нов.7'!R128</f>
        <v>8000</v>
      </c>
      <c r="I87" s="269">
        <v>0</v>
      </c>
      <c r="J87" s="268">
        <v>0</v>
      </c>
      <c r="K87" s="269">
        <v>0</v>
      </c>
      <c r="L87" s="268">
        <v>0</v>
      </c>
      <c r="M87" s="269">
        <v>0</v>
      </c>
    </row>
    <row r="88" spans="1:13" s="10" customFormat="1" ht="48" x14ac:dyDescent="0.25">
      <c r="A88" s="29"/>
      <c r="B88" s="151" t="s">
        <v>75</v>
      </c>
      <c r="C88" s="441">
        <v>656</v>
      </c>
      <c r="D88" s="402">
        <v>1</v>
      </c>
      <c r="E88" s="402">
        <v>13</v>
      </c>
      <c r="F88" s="347" t="s">
        <v>702</v>
      </c>
      <c r="G88" s="348">
        <v>100</v>
      </c>
      <c r="H88" s="268">
        <f>H89+H90</f>
        <v>336000</v>
      </c>
      <c r="I88" s="269">
        <v>0</v>
      </c>
      <c r="J88" s="268">
        <f>J89+J90</f>
        <v>0</v>
      </c>
      <c r="K88" s="269">
        <v>0</v>
      </c>
      <c r="L88" s="268">
        <f>L89+L90</f>
        <v>0</v>
      </c>
      <c r="M88" s="269">
        <v>0</v>
      </c>
    </row>
    <row r="89" spans="1:13" s="10" customFormat="1" x14ac:dyDescent="0.25">
      <c r="A89" s="29"/>
      <c r="B89" s="239" t="s">
        <v>486</v>
      </c>
      <c r="C89" s="441">
        <v>656</v>
      </c>
      <c r="D89" s="402">
        <v>1</v>
      </c>
      <c r="E89" s="402">
        <v>13</v>
      </c>
      <c r="F89" s="347" t="s">
        <v>702</v>
      </c>
      <c r="G89" s="348">
        <v>111</v>
      </c>
      <c r="H89" s="268">
        <f>'по нов.7'!R130</f>
        <v>244944</v>
      </c>
      <c r="I89" s="269">
        <v>0</v>
      </c>
      <c r="J89" s="268">
        <f>'по нов.7'!W130</f>
        <v>0</v>
      </c>
      <c r="K89" s="269">
        <v>0</v>
      </c>
      <c r="L89" s="268">
        <f>'по нов.7'!X130</f>
        <v>0</v>
      </c>
      <c r="M89" s="269">
        <v>0</v>
      </c>
    </row>
    <row r="90" spans="1:13" s="10" customFormat="1" ht="36.6" thickBot="1" x14ac:dyDescent="0.3">
      <c r="A90" s="29"/>
      <c r="B90" s="239" t="s">
        <v>491</v>
      </c>
      <c r="C90" s="441">
        <v>656</v>
      </c>
      <c r="D90" s="402">
        <v>1</v>
      </c>
      <c r="E90" s="402">
        <v>13</v>
      </c>
      <c r="F90" s="347" t="s">
        <v>702</v>
      </c>
      <c r="G90" s="348">
        <v>119</v>
      </c>
      <c r="H90" s="268">
        <f>'по нов.7'!R131</f>
        <v>91056</v>
      </c>
      <c r="I90" s="269">
        <v>0</v>
      </c>
      <c r="J90" s="268">
        <v>0</v>
      </c>
      <c r="K90" s="269">
        <v>0</v>
      </c>
      <c r="L90" s="268">
        <v>0</v>
      </c>
      <c r="M90" s="269">
        <v>0</v>
      </c>
    </row>
    <row r="91" spans="1:13" s="10" customFormat="1" ht="13.8" thickBot="1" x14ac:dyDescent="0.3">
      <c r="A91" s="29"/>
      <c r="B91" s="149" t="s">
        <v>26</v>
      </c>
      <c r="C91" s="445">
        <v>656</v>
      </c>
      <c r="D91" s="411">
        <v>2</v>
      </c>
      <c r="E91" s="412">
        <v>0</v>
      </c>
      <c r="F91" s="399" t="s">
        <v>122</v>
      </c>
      <c r="G91" s="373">
        <v>0</v>
      </c>
      <c r="H91" s="277">
        <f t="shared" ref="H91:M92" si="3">H92</f>
        <v>210100</v>
      </c>
      <c r="I91" s="265">
        <f t="shared" si="3"/>
        <v>210100</v>
      </c>
      <c r="J91" s="277">
        <f t="shared" si="3"/>
        <v>214000</v>
      </c>
      <c r="K91" s="265">
        <f t="shared" si="3"/>
        <v>214000</v>
      </c>
      <c r="L91" s="277">
        <f t="shared" si="3"/>
        <v>227300</v>
      </c>
      <c r="M91" s="265">
        <f t="shared" si="3"/>
        <v>227300</v>
      </c>
    </row>
    <row r="92" spans="1:13" s="36" customFormat="1" ht="13.8" thickBot="1" x14ac:dyDescent="0.3">
      <c r="A92" s="34"/>
      <c r="B92" s="157" t="s">
        <v>27</v>
      </c>
      <c r="C92" s="440">
        <v>656</v>
      </c>
      <c r="D92" s="400">
        <v>2</v>
      </c>
      <c r="E92" s="400">
        <v>3</v>
      </c>
      <c r="F92" s="399" t="s">
        <v>122</v>
      </c>
      <c r="G92" s="401">
        <v>0</v>
      </c>
      <c r="H92" s="266">
        <f t="shared" si="3"/>
        <v>210100</v>
      </c>
      <c r="I92" s="267">
        <f t="shared" si="3"/>
        <v>210100</v>
      </c>
      <c r="J92" s="266">
        <f t="shared" si="3"/>
        <v>214000</v>
      </c>
      <c r="K92" s="267">
        <f t="shared" si="3"/>
        <v>214000</v>
      </c>
      <c r="L92" s="266">
        <f t="shared" si="3"/>
        <v>227300</v>
      </c>
      <c r="M92" s="267">
        <f t="shared" si="3"/>
        <v>227300</v>
      </c>
    </row>
    <row r="93" spans="1:13" s="10" customFormat="1" ht="36" x14ac:dyDescent="0.25">
      <c r="A93" s="29"/>
      <c r="B93" s="151" t="s">
        <v>426</v>
      </c>
      <c r="C93" s="441">
        <v>656</v>
      </c>
      <c r="D93" s="402">
        <v>2</v>
      </c>
      <c r="E93" s="402">
        <v>3</v>
      </c>
      <c r="F93" s="347" t="s">
        <v>102</v>
      </c>
      <c r="G93" s="348">
        <v>0</v>
      </c>
      <c r="H93" s="268">
        <f>H94</f>
        <v>210100</v>
      </c>
      <c r="I93" s="269">
        <f>H93</f>
        <v>210100</v>
      </c>
      <c r="J93" s="268">
        <f>J94</f>
        <v>214000</v>
      </c>
      <c r="K93" s="269">
        <f>J93</f>
        <v>214000</v>
      </c>
      <c r="L93" s="268">
        <f>L94</f>
        <v>227300</v>
      </c>
      <c r="M93" s="269">
        <f>L93</f>
        <v>227300</v>
      </c>
    </row>
    <row r="94" spans="1:13" s="10" customFormat="1" ht="60" x14ac:dyDescent="0.25">
      <c r="A94" s="29"/>
      <c r="B94" s="154" t="s">
        <v>519</v>
      </c>
      <c r="C94" s="441">
        <v>656</v>
      </c>
      <c r="D94" s="402">
        <v>2</v>
      </c>
      <c r="E94" s="402">
        <v>3</v>
      </c>
      <c r="F94" s="347" t="s">
        <v>105</v>
      </c>
      <c r="G94" s="348">
        <v>0</v>
      </c>
      <c r="H94" s="268">
        <f>H95+H97+H100</f>
        <v>210100</v>
      </c>
      <c r="I94" s="269">
        <f>H94</f>
        <v>210100</v>
      </c>
      <c r="J94" s="268">
        <f>J95+J97+J100</f>
        <v>214000</v>
      </c>
      <c r="K94" s="269">
        <f>J94</f>
        <v>214000</v>
      </c>
      <c r="L94" s="268">
        <f>L95+L97+L100</f>
        <v>227300</v>
      </c>
      <c r="M94" s="269">
        <f>L94</f>
        <v>227300</v>
      </c>
    </row>
    <row r="95" spans="1:13" s="10" customFormat="1" ht="48" x14ac:dyDescent="0.25">
      <c r="A95" s="29"/>
      <c r="B95" s="151" t="s">
        <v>75</v>
      </c>
      <c r="C95" s="441">
        <v>656</v>
      </c>
      <c r="D95" s="402">
        <v>2</v>
      </c>
      <c r="E95" s="402">
        <v>3</v>
      </c>
      <c r="F95" s="347" t="s">
        <v>105</v>
      </c>
      <c r="G95" s="348">
        <v>100</v>
      </c>
      <c r="H95" s="268">
        <f>H96+H99</f>
        <v>167200</v>
      </c>
      <c r="I95" s="269">
        <f>H95</f>
        <v>167200</v>
      </c>
      <c r="J95" s="268">
        <f>J96+J99</f>
        <v>167200</v>
      </c>
      <c r="K95" s="269">
        <f>J95</f>
        <v>167200</v>
      </c>
      <c r="L95" s="268">
        <f>L96+L99</f>
        <v>167200</v>
      </c>
      <c r="M95" s="269">
        <f>L95</f>
        <v>167200</v>
      </c>
    </row>
    <row r="96" spans="1:13" s="10" customFormat="1" x14ac:dyDescent="0.25">
      <c r="A96" s="29"/>
      <c r="B96" s="239" t="s">
        <v>138</v>
      </c>
      <c r="C96" s="441">
        <v>656</v>
      </c>
      <c r="D96" s="402">
        <v>2</v>
      </c>
      <c r="E96" s="402">
        <v>3</v>
      </c>
      <c r="F96" s="347" t="s">
        <v>105</v>
      </c>
      <c r="G96" s="348">
        <v>121</v>
      </c>
      <c r="H96" s="268">
        <f>'по нов.7'!R94</f>
        <v>128500</v>
      </c>
      <c r="I96" s="269">
        <f>H96</f>
        <v>128500</v>
      </c>
      <c r="J96" s="268">
        <f>'по нов.7'!W94</f>
        <v>128500</v>
      </c>
      <c r="K96" s="269">
        <f>J96</f>
        <v>128500</v>
      </c>
      <c r="L96" s="268">
        <f>'по нов.7'!X94</f>
        <v>128500</v>
      </c>
      <c r="M96" s="269">
        <f>L96</f>
        <v>128500</v>
      </c>
    </row>
    <row r="97" spans="1:13" s="10" customFormat="1" ht="24" x14ac:dyDescent="0.25">
      <c r="A97" s="29"/>
      <c r="B97" s="151" t="s">
        <v>77</v>
      </c>
      <c r="C97" s="441">
        <v>656</v>
      </c>
      <c r="D97" s="407">
        <v>2</v>
      </c>
      <c r="E97" s="407">
        <v>3</v>
      </c>
      <c r="F97" s="347" t="s">
        <v>105</v>
      </c>
      <c r="G97" s="348">
        <v>200</v>
      </c>
      <c r="H97" s="268">
        <f t="shared" ref="H97:M97" si="4">H98</f>
        <v>0</v>
      </c>
      <c r="I97" s="269">
        <f t="shared" si="4"/>
        <v>2400</v>
      </c>
      <c r="J97" s="268">
        <f t="shared" si="4"/>
        <v>0</v>
      </c>
      <c r="K97" s="269">
        <f t="shared" si="4"/>
        <v>2400</v>
      </c>
      <c r="L97" s="268">
        <f t="shared" si="4"/>
        <v>0</v>
      </c>
      <c r="M97" s="269">
        <f t="shared" si="4"/>
        <v>2400</v>
      </c>
    </row>
    <row r="98" spans="1:13" s="10" customFormat="1" ht="24" x14ac:dyDescent="0.25">
      <c r="A98" s="29"/>
      <c r="B98" s="155" t="s">
        <v>60</v>
      </c>
      <c r="C98" s="444">
        <v>656</v>
      </c>
      <c r="D98" s="407">
        <v>2</v>
      </c>
      <c r="E98" s="407">
        <v>3</v>
      </c>
      <c r="F98" s="347" t="s">
        <v>105</v>
      </c>
      <c r="G98" s="377">
        <v>244</v>
      </c>
      <c r="H98" s="273">
        <v>0</v>
      </c>
      <c r="I98" s="274">
        <v>2400</v>
      </c>
      <c r="J98" s="273">
        <v>0</v>
      </c>
      <c r="K98" s="274">
        <v>2400</v>
      </c>
      <c r="L98" s="273">
        <v>0</v>
      </c>
      <c r="M98" s="274">
        <v>2400</v>
      </c>
    </row>
    <row r="99" spans="1:13" s="10" customFormat="1" ht="36" x14ac:dyDescent="0.25">
      <c r="A99" s="29"/>
      <c r="B99" s="239" t="s">
        <v>134</v>
      </c>
      <c r="C99" s="441">
        <v>656</v>
      </c>
      <c r="D99" s="402">
        <v>2</v>
      </c>
      <c r="E99" s="402">
        <v>3</v>
      </c>
      <c r="F99" s="347" t="s">
        <v>105</v>
      </c>
      <c r="G99" s="348">
        <v>129</v>
      </c>
      <c r="H99" s="268">
        <f>'по нов.7'!R95</f>
        <v>38700</v>
      </c>
      <c r="I99" s="269">
        <f>H99</f>
        <v>38700</v>
      </c>
      <c r="J99" s="268">
        <f>'по нов.7'!W95</f>
        <v>38700</v>
      </c>
      <c r="K99" s="269">
        <f>J99</f>
        <v>38700</v>
      </c>
      <c r="L99" s="268">
        <f>'по нов.7'!X95</f>
        <v>38700</v>
      </c>
      <c r="M99" s="269">
        <f>L99</f>
        <v>38700</v>
      </c>
    </row>
    <row r="100" spans="1:13" s="10" customFormat="1" ht="24" x14ac:dyDescent="0.25">
      <c r="A100" s="29"/>
      <c r="B100" s="151" t="s">
        <v>128</v>
      </c>
      <c r="C100" s="444">
        <v>656</v>
      </c>
      <c r="D100" s="402">
        <v>2</v>
      </c>
      <c r="E100" s="402">
        <v>3</v>
      </c>
      <c r="F100" s="347" t="s">
        <v>105</v>
      </c>
      <c r="G100" s="354">
        <v>200</v>
      </c>
      <c r="H100" s="268">
        <f t="shared" ref="H100:M100" si="5">H101</f>
        <v>42900</v>
      </c>
      <c r="I100" s="269">
        <f t="shared" si="5"/>
        <v>42900</v>
      </c>
      <c r="J100" s="268">
        <f t="shared" si="5"/>
        <v>46800</v>
      </c>
      <c r="K100" s="269">
        <f t="shared" si="5"/>
        <v>46800</v>
      </c>
      <c r="L100" s="268">
        <f t="shared" si="5"/>
        <v>60100</v>
      </c>
      <c r="M100" s="269">
        <f t="shared" si="5"/>
        <v>60100</v>
      </c>
    </row>
    <row r="101" spans="1:13" s="10" customFormat="1" ht="36.6" thickBot="1" x14ac:dyDescent="0.3">
      <c r="A101" s="29"/>
      <c r="B101" s="229" t="s">
        <v>506</v>
      </c>
      <c r="C101" s="444">
        <v>656</v>
      </c>
      <c r="D101" s="402">
        <v>2</v>
      </c>
      <c r="E101" s="402">
        <v>3</v>
      </c>
      <c r="F101" s="347" t="s">
        <v>105</v>
      </c>
      <c r="G101" s="354">
        <v>244</v>
      </c>
      <c r="H101" s="268">
        <f>'по нов.7'!R96</f>
        <v>42900</v>
      </c>
      <c r="I101" s="269">
        <f>H101</f>
        <v>42900</v>
      </c>
      <c r="J101" s="268">
        <f>'по нов.7'!W96</f>
        <v>46800</v>
      </c>
      <c r="K101" s="269">
        <f>J101</f>
        <v>46800</v>
      </c>
      <c r="L101" s="268">
        <f>'по нов.7'!X96</f>
        <v>60100</v>
      </c>
      <c r="M101" s="269">
        <f>L101</f>
        <v>60100</v>
      </c>
    </row>
    <row r="102" spans="1:13" s="10" customFormat="1" ht="24" thickBot="1" x14ac:dyDescent="0.3">
      <c r="A102" s="29"/>
      <c r="B102" s="158" t="s">
        <v>17</v>
      </c>
      <c r="C102" s="439">
        <v>656</v>
      </c>
      <c r="D102" s="398">
        <v>3</v>
      </c>
      <c r="E102" s="398">
        <v>0</v>
      </c>
      <c r="F102" s="399" t="s">
        <v>122</v>
      </c>
      <c r="G102" s="373">
        <v>0</v>
      </c>
      <c r="H102" s="264">
        <f>H103+H111+H121+H116</f>
        <v>1189290</v>
      </c>
      <c r="I102" s="265">
        <f>I103+I111</f>
        <v>12040</v>
      </c>
      <c r="J102" s="264">
        <f>J103+J111+J121</f>
        <v>29610</v>
      </c>
      <c r="K102" s="265">
        <f>K103+K111</f>
        <v>12040</v>
      </c>
      <c r="L102" s="264">
        <f>L103+L111+L121</f>
        <v>29640</v>
      </c>
      <c r="M102" s="265">
        <f>M103+M111</f>
        <v>12040</v>
      </c>
    </row>
    <row r="103" spans="1:13" s="36" customFormat="1" ht="13.8" thickBot="1" x14ac:dyDescent="0.3">
      <c r="A103" s="34"/>
      <c r="B103" s="157" t="s">
        <v>55</v>
      </c>
      <c r="C103" s="440">
        <v>656</v>
      </c>
      <c r="D103" s="400">
        <v>3</v>
      </c>
      <c r="E103" s="400">
        <v>4</v>
      </c>
      <c r="F103" s="399" t="s">
        <v>122</v>
      </c>
      <c r="G103" s="401">
        <v>0</v>
      </c>
      <c r="H103" s="266">
        <f>H104</f>
        <v>12040</v>
      </c>
      <c r="I103" s="266">
        <f t="shared" ref="I103:M103" si="6">I104</f>
        <v>12040</v>
      </c>
      <c r="J103" s="266">
        <f t="shared" si="6"/>
        <v>12040</v>
      </c>
      <c r="K103" s="266">
        <f t="shared" si="6"/>
        <v>12040</v>
      </c>
      <c r="L103" s="266">
        <f t="shared" si="6"/>
        <v>12040</v>
      </c>
      <c r="M103" s="266">
        <f t="shared" si="6"/>
        <v>12040</v>
      </c>
    </row>
    <row r="104" spans="1:13" s="10" customFormat="1" ht="36" x14ac:dyDescent="0.25">
      <c r="A104" s="29"/>
      <c r="B104" s="151" t="s">
        <v>420</v>
      </c>
      <c r="C104" s="441">
        <v>656</v>
      </c>
      <c r="D104" s="402">
        <v>3</v>
      </c>
      <c r="E104" s="402">
        <v>4</v>
      </c>
      <c r="F104" s="347" t="s">
        <v>102</v>
      </c>
      <c r="G104" s="348">
        <v>0</v>
      </c>
      <c r="H104" s="268">
        <f>H105+H108</f>
        <v>12040</v>
      </c>
      <c r="I104" s="268">
        <f t="shared" ref="I104:M104" si="7">I105+I108</f>
        <v>12040</v>
      </c>
      <c r="J104" s="268">
        <f t="shared" si="7"/>
        <v>12040</v>
      </c>
      <c r="K104" s="268">
        <f t="shared" si="7"/>
        <v>12040</v>
      </c>
      <c r="L104" s="268">
        <f t="shared" si="7"/>
        <v>12040</v>
      </c>
      <c r="M104" s="268">
        <f t="shared" si="7"/>
        <v>12040</v>
      </c>
    </row>
    <row r="105" spans="1:13" s="10" customFormat="1" ht="96" x14ac:dyDescent="0.25">
      <c r="A105" s="29"/>
      <c r="B105" s="154" t="s">
        <v>523</v>
      </c>
      <c r="C105" s="441">
        <v>656</v>
      </c>
      <c r="D105" s="402">
        <v>3</v>
      </c>
      <c r="E105" s="402">
        <v>4</v>
      </c>
      <c r="F105" s="347" t="s">
        <v>106</v>
      </c>
      <c r="G105" s="348">
        <v>0</v>
      </c>
      <c r="H105" s="273">
        <f t="shared" ref="H105:M106" si="8">H106</f>
        <v>1470</v>
      </c>
      <c r="I105" s="274">
        <f t="shared" si="8"/>
        <v>1470</v>
      </c>
      <c r="J105" s="273">
        <f t="shared" si="8"/>
        <v>1470</v>
      </c>
      <c r="K105" s="274">
        <f t="shared" si="8"/>
        <v>1470</v>
      </c>
      <c r="L105" s="273">
        <f t="shared" si="8"/>
        <v>1470</v>
      </c>
      <c r="M105" s="274">
        <f t="shared" si="8"/>
        <v>1470</v>
      </c>
    </row>
    <row r="106" spans="1:13" s="10" customFormat="1" ht="24" x14ac:dyDescent="0.25">
      <c r="A106" s="29"/>
      <c r="B106" s="151" t="s">
        <v>128</v>
      </c>
      <c r="C106" s="441">
        <v>656</v>
      </c>
      <c r="D106" s="402">
        <v>3</v>
      </c>
      <c r="E106" s="402">
        <v>4</v>
      </c>
      <c r="F106" s="347" t="s">
        <v>106</v>
      </c>
      <c r="G106" s="348">
        <v>200</v>
      </c>
      <c r="H106" s="273">
        <f>H107</f>
        <v>1470</v>
      </c>
      <c r="I106" s="273">
        <f t="shared" si="8"/>
        <v>1470</v>
      </c>
      <c r="J106" s="273">
        <f t="shared" si="8"/>
        <v>1470</v>
      </c>
      <c r="K106" s="273">
        <f t="shared" si="8"/>
        <v>1470</v>
      </c>
      <c r="L106" s="273">
        <f t="shared" si="8"/>
        <v>1470</v>
      </c>
      <c r="M106" s="273">
        <f t="shared" si="8"/>
        <v>1470</v>
      </c>
    </row>
    <row r="107" spans="1:13" s="10" customFormat="1" ht="36" x14ac:dyDescent="0.25">
      <c r="A107" s="29"/>
      <c r="B107" s="229" t="s">
        <v>506</v>
      </c>
      <c r="C107" s="444">
        <v>656</v>
      </c>
      <c r="D107" s="407">
        <v>3</v>
      </c>
      <c r="E107" s="407">
        <v>4</v>
      </c>
      <c r="F107" s="347" t="s">
        <v>106</v>
      </c>
      <c r="G107" s="377">
        <v>244</v>
      </c>
      <c r="H107" s="273">
        <f>'0'!V163</f>
        <v>1470</v>
      </c>
      <c r="I107" s="274">
        <f>H107</f>
        <v>1470</v>
      </c>
      <c r="J107" s="273">
        <f>'0'!AB163</f>
        <v>1470</v>
      </c>
      <c r="K107" s="274">
        <f>J107</f>
        <v>1470</v>
      </c>
      <c r="L107" s="273">
        <f>'0'!AC163</f>
        <v>1470</v>
      </c>
      <c r="M107" s="274">
        <f>L107</f>
        <v>1470</v>
      </c>
    </row>
    <row r="108" spans="1:13" s="10" customFormat="1" ht="96" x14ac:dyDescent="0.25">
      <c r="A108" s="29"/>
      <c r="B108" s="154" t="s">
        <v>444</v>
      </c>
      <c r="C108" s="441">
        <v>656</v>
      </c>
      <c r="D108" s="402">
        <v>3</v>
      </c>
      <c r="E108" s="402">
        <v>4</v>
      </c>
      <c r="F108" s="347" t="s">
        <v>469</v>
      </c>
      <c r="G108" s="348">
        <v>0</v>
      </c>
      <c r="H108" s="273">
        <f t="shared" ref="H108:M108" si="9">H109</f>
        <v>10570</v>
      </c>
      <c r="I108" s="274">
        <f t="shared" si="9"/>
        <v>10570</v>
      </c>
      <c r="J108" s="273">
        <f t="shared" si="9"/>
        <v>10570</v>
      </c>
      <c r="K108" s="274">
        <f t="shared" si="9"/>
        <v>10570</v>
      </c>
      <c r="L108" s="273">
        <f t="shared" si="9"/>
        <v>10570</v>
      </c>
      <c r="M108" s="274">
        <f t="shared" si="9"/>
        <v>10570</v>
      </c>
    </row>
    <row r="109" spans="1:13" s="10" customFormat="1" ht="24" x14ac:dyDescent="0.25">
      <c r="A109" s="29"/>
      <c r="B109" s="151" t="s">
        <v>128</v>
      </c>
      <c r="C109" s="441">
        <v>656</v>
      </c>
      <c r="D109" s="402">
        <v>3</v>
      </c>
      <c r="E109" s="402">
        <v>4</v>
      </c>
      <c r="F109" s="347" t="s">
        <v>469</v>
      </c>
      <c r="G109" s="348">
        <v>200</v>
      </c>
      <c r="H109" s="273">
        <f>H110</f>
        <v>10570</v>
      </c>
      <c r="I109" s="273">
        <f t="shared" ref="I109:M109" si="10">I110+I113</f>
        <v>10570</v>
      </c>
      <c r="J109" s="273">
        <f t="shared" si="10"/>
        <v>10570</v>
      </c>
      <c r="K109" s="273">
        <f t="shared" si="10"/>
        <v>10570</v>
      </c>
      <c r="L109" s="273">
        <f t="shared" si="10"/>
        <v>10570</v>
      </c>
      <c r="M109" s="273">
        <f t="shared" si="10"/>
        <v>10570</v>
      </c>
    </row>
    <row r="110" spans="1:13" s="10" customFormat="1" ht="36.6" thickBot="1" x14ac:dyDescent="0.3">
      <c r="A110" s="29"/>
      <c r="B110" s="229" t="s">
        <v>506</v>
      </c>
      <c r="C110" s="444">
        <v>656</v>
      </c>
      <c r="D110" s="407">
        <v>3</v>
      </c>
      <c r="E110" s="407">
        <v>4</v>
      </c>
      <c r="F110" s="347" t="s">
        <v>469</v>
      </c>
      <c r="G110" s="377">
        <v>244</v>
      </c>
      <c r="H110" s="273">
        <f>'0'!V164</f>
        <v>10570</v>
      </c>
      <c r="I110" s="274">
        <f>H110</f>
        <v>10570</v>
      </c>
      <c r="J110" s="273">
        <f>'0'!AB164</f>
        <v>10570</v>
      </c>
      <c r="K110" s="274">
        <f>J110</f>
        <v>10570</v>
      </c>
      <c r="L110" s="273">
        <f>'0'!AC164</f>
        <v>10570</v>
      </c>
      <c r="M110" s="274">
        <f>L110</f>
        <v>10570</v>
      </c>
    </row>
    <row r="111" spans="1:13" s="36" customFormat="1" ht="35.4" thickBot="1" x14ac:dyDescent="0.3">
      <c r="A111" s="34"/>
      <c r="B111" s="159" t="s">
        <v>86</v>
      </c>
      <c r="C111" s="446" t="s">
        <v>356</v>
      </c>
      <c r="D111" s="413">
        <v>3</v>
      </c>
      <c r="E111" s="413">
        <v>9</v>
      </c>
      <c r="F111" s="399" t="s">
        <v>122</v>
      </c>
      <c r="G111" s="414">
        <v>0</v>
      </c>
      <c r="H111" s="271">
        <f>H112+H117</f>
        <v>1159680</v>
      </c>
      <c r="I111" s="272">
        <v>0</v>
      </c>
      <c r="J111" s="271">
        <f>J112</f>
        <v>0</v>
      </c>
      <c r="K111" s="272">
        <v>0</v>
      </c>
      <c r="L111" s="271">
        <f>L112</f>
        <v>0</v>
      </c>
      <c r="M111" s="272">
        <v>0</v>
      </c>
    </row>
    <row r="112" spans="1:13" s="10" customFormat="1" ht="48" x14ac:dyDescent="0.25">
      <c r="A112" s="29"/>
      <c r="B112" s="160" t="s">
        <v>427</v>
      </c>
      <c r="C112" s="444">
        <v>656</v>
      </c>
      <c r="D112" s="415">
        <v>3</v>
      </c>
      <c r="E112" s="415">
        <v>9</v>
      </c>
      <c r="F112" s="378" t="s">
        <v>124</v>
      </c>
      <c r="G112" s="361">
        <v>0</v>
      </c>
      <c r="H112" s="278">
        <f>H115</f>
        <v>709680</v>
      </c>
      <c r="I112" s="279">
        <v>0</v>
      </c>
      <c r="J112" s="278">
        <f>J115</f>
        <v>0</v>
      </c>
      <c r="K112" s="279">
        <v>0</v>
      </c>
      <c r="L112" s="278">
        <f>L115</f>
        <v>0</v>
      </c>
      <c r="M112" s="279">
        <v>0</v>
      </c>
    </row>
    <row r="113" spans="1:13" s="10" customFormat="1" ht="60" x14ac:dyDescent="0.25">
      <c r="A113" s="29"/>
      <c r="B113" s="151" t="s">
        <v>509</v>
      </c>
      <c r="C113" s="444">
        <v>656</v>
      </c>
      <c r="D113" s="416">
        <v>3</v>
      </c>
      <c r="E113" s="416">
        <v>9</v>
      </c>
      <c r="F113" s="353" t="s">
        <v>116</v>
      </c>
      <c r="G113" s="354">
        <v>0</v>
      </c>
      <c r="H113" s="268">
        <f>H114</f>
        <v>709680</v>
      </c>
      <c r="I113" s="269">
        <v>0</v>
      </c>
      <c r="J113" s="268">
        <f>J114</f>
        <v>0</v>
      </c>
      <c r="K113" s="269">
        <v>0</v>
      </c>
      <c r="L113" s="268">
        <f>L114</f>
        <v>0</v>
      </c>
      <c r="M113" s="269">
        <v>0</v>
      </c>
    </row>
    <row r="114" spans="1:13" s="10" customFormat="1" ht="24" x14ac:dyDescent="0.25">
      <c r="A114" s="29"/>
      <c r="B114" s="151" t="s">
        <v>128</v>
      </c>
      <c r="C114" s="444">
        <v>656</v>
      </c>
      <c r="D114" s="416">
        <v>3</v>
      </c>
      <c r="E114" s="416">
        <v>9</v>
      </c>
      <c r="F114" s="353" t="s">
        <v>116</v>
      </c>
      <c r="G114" s="354">
        <v>200</v>
      </c>
      <c r="H114" s="268">
        <f>H115</f>
        <v>709680</v>
      </c>
      <c r="I114" s="269">
        <v>0</v>
      </c>
      <c r="J114" s="268">
        <f>J115</f>
        <v>0</v>
      </c>
      <c r="K114" s="269">
        <v>0</v>
      </c>
      <c r="L114" s="268">
        <f>L115</f>
        <v>0</v>
      </c>
      <c r="M114" s="269">
        <v>0</v>
      </c>
    </row>
    <row r="115" spans="1:13" s="10" customFormat="1" ht="36.6" thickBot="1" x14ac:dyDescent="0.3">
      <c r="A115" s="29"/>
      <c r="B115" s="229" t="s">
        <v>506</v>
      </c>
      <c r="C115" s="444">
        <v>656</v>
      </c>
      <c r="D115" s="416">
        <v>3</v>
      </c>
      <c r="E115" s="416">
        <v>9</v>
      </c>
      <c r="F115" s="353" t="s">
        <v>116</v>
      </c>
      <c r="G115" s="354">
        <v>244</v>
      </c>
      <c r="H115" s="268">
        <f>'по нов.7'!R175</f>
        <v>709680</v>
      </c>
      <c r="I115" s="269">
        <v>0</v>
      </c>
      <c r="J115" s="268">
        <f>'по нов.7'!W175</f>
        <v>0</v>
      </c>
      <c r="K115" s="269">
        <v>0</v>
      </c>
      <c r="L115" s="268">
        <f>'по нов.7'!X175</f>
        <v>0</v>
      </c>
      <c r="M115" s="269">
        <v>0</v>
      </c>
    </row>
    <row r="116" spans="1:13" s="36" customFormat="1" ht="13.8" thickBot="1" x14ac:dyDescent="0.3">
      <c r="A116" s="34"/>
      <c r="B116" s="159"/>
      <c r="C116" s="446"/>
      <c r="D116" s="413"/>
      <c r="E116" s="413"/>
      <c r="F116" s="399"/>
      <c r="G116" s="414"/>
      <c r="H116" s="271"/>
      <c r="I116" s="272"/>
      <c r="J116" s="271"/>
      <c r="K116" s="272"/>
      <c r="L116" s="271"/>
      <c r="M116" s="272"/>
    </row>
    <row r="117" spans="1:13" s="10" customFormat="1" ht="24" x14ac:dyDescent="0.25">
      <c r="A117" s="29"/>
      <c r="B117" s="162" t="s">
        <v>445</v>
      </c>
      <c r="C117" s="444">
        <v>656</v>
      </c>
      <c r="D117" s="416">
        <v>3</v>
      </c>
      <c r="E117" s="416">
        <v>9</v>
      </c>
      <c r="F117" s="378" t="s">
        <v>125</v>
      </c>
      <c r="G117" s="361">
        <v>0</v>
      </c>
      <c r="H117" s="278">
        <f>H120</f>
        <v>450000</v>
      </c>
      <c r="I117" s="279">
        <v>0</v>
      </c>
      <c r="J117" s="278">
        <f>J120</f>
        <v>0</v>
      </c>
      <c r="K117" s="279">
        <v>0</v>
      </c>
      <c r="L117" s="278">
        <f>L120</f>
        <v>0</v>
      </c>
      <c r="M117" s="279">
        <v>0</v>
      </c>
    </row>
    <row r="118" spans="1:13" s="10" customFormat="1" ht="48" x14ac:dyDescent="0.25">
      <c r="A118" s="29"/>
      <c r="B118" s="239" t="s">
        <v>428</v>
      </c>
      <c r="C118" s="444">
        <v>656</v>
      </c>
      <c r="D118" s="416">
        <v>3</v>
      </c>
      <c r="E118" s="416">
        <v>9</v>
      </c>
      <c r="F118" s="353" t="s">
        <v>405</v>
      </c>
      <c r="G118" s="354">
        <v>0</v>
      </c>
      <c r="H118" s="268">
        <f>H119</f>
        <v>450000</v>
      </c>
      <c r="I118" s="269">
        <v>0</v>
      </c>
      <c r="J118" s="268">
        <f>J119</f>
        <v>0</v>
      </c>
      <c r="K118" s="269">
        <v>0</v>
      </c>
      <c r="L118" s="268">
        <f>L119</f>
        <v>0</v>
      </c>
      <c r="M118" s="269">
        <v>0</v>
      </c>
    </row>
    <row r="119" spans="1:13" s="10" customFormat="1" ht="24" x14ac:dyDescent="0.25">
      <c r="A119" s="29"/>
      <c r="B119" s="151" t="s">
        <v>128</v>
      </c>
      <c r="C119" s="444">
        <v>656</v>
      </c>
      <c r="D119" s="416">
        <v>3</v>
      </c>
      <c r="E119" s="416">
        <v>9</v>
      </c>
      <c r="F119" s="353" t="s">
        <v>405</v>
      </c>
      <c r="G119" s="354">
        <v>200</v>
      </c>
      <c r="H119" s="268">
        <f>H120</f>
        <v>450000</v>
      </c>
      <c r="I119" s="269">
        <v>0</v>
      </c>
      <c r="J119" s="268">
        <f>J120</f>
        <v>0</v>
      </c>
      <c r="K119" s="269">
        <v>0</v>
      </c>
      <c r="L119" s="268">
        <f>L120</f>
        <v>0</v>
      </c>
      <c r="M119" s="269">
        <v>0</v>
      </c>
    </row>
    <row r="120" spans="1:13" s="10" customFormat="1" ht="36.6" thickBot="1" x14ac:dyDescent="0.3">
      <c r="A120" s="29"/>
      <c r="B120" s="229" t="s">
        <v>506</v>
      </c>
      <c r="C120" s="444">
        <v>656</v>
      </c>
      <c r="D120" s="416">
        <v>3</v>
      </c>
      <c r="E120" s="416">
        <v>9</v>
      </c>
      <c r="F120" s="353" t="s">
        <v>405</v>
      </c>
      <c r="G120" s="354">
        <v>244</v>
      </c>
      <c r="H120" s="268">
        <f>'по нов.7'!R229</f>
        <v>450000</v>
      </c>
      <c r="I120" s="269">
        <v>0</v>
      </c>
      <c r="J120" s="268">
        <v>0</v>
      </c>
      <c r="K120" s="269">
        <v>0</v>
      </c>
      <c r="L120" s="268">
        <v>0</v>
      </c>
      <c r="M120" s="269">
        <v>0</v>
      </c>
    </row>
    <row r="121" spans="1:13" s="36" customFormat="1" ht="35.4" thickBot="1" x14ac:dyDescent="0.3">
      <c r="A121" s="34"/>
      <c r="B121" s="240" t="s">
        <v>65</v>
      </c>
      <c r="C121" s="446" t="s">
        <v>356</v>
      </c>
      <c r="D121" s="417">
        <v>3</v>
      </c>
      <c r="E121" s="417">
        <v>14</v>
      </c>
      <c r="F121" s="399" t="s">
        <v>122</v>
      </c>
      <c r="G121" s="418">
        <v>0</v>
      </c>
      <c r="H121" s="271">
        <f>H122</f>
        <v>17570</v>
      </c>
      <c r="I121" s="272">
        <v>0</v>
      </c>
      <c r="J121" s="271">
        <f>J122</f>
        <v>17570</v>
      </c>
      <c r="K121" s="272">
        <v>0</v>
      </c>
      <c r="L121" s="271">
        <f>L122</f>
        <v>17600</v>
      </c>
      <c r="M121" s="272">
        <v>0</v>
      </c>
    </row>
    <row r="122" spans="1:13" s="10" customFormat="1" ht="60" x14ac:dyDescent="0.25">
      <c r="A122" s="29"/>
      <c r="B122" s="161" t="s">
        <v>0</v>
      </c>
      <c r="C122" s="444">
        <v>656</v>
      </c>
      <c r="D122" s="416">
        <v>3</v>
      </c>
      <c r="E122" s="416">
        <v>14</v>
      </c>
      <c r="F122" s="353" t="s">
        <v>97</v>
      </c>
      <c r="G122" s="354">
        <v>0</v>
      </c>
      <c r="H122" s="268">
        <f>H123+H126</f>
        <v>17570</v>
      </c>
      <c r="I122" s="269">
        <v>0</v>
      </c>
      <c r="J122" s="268">
        <f>J123+J126</f>
        <v>17570</v>
      </c>
      <c r="K122" s="269">
        <v>0</v>
      </c>
      <c r="L122" s="268">
        <f>L123+L126</f>
        <v>17600</v>
      </c>
      <c r="M122" s="269">
        <v>0</v>
      </c>
    </row>
    <row r="123" spans="1:13" s="10" customFormat="1" ht="72" x14ac:dyDescent="0.25">
      <c r="A123" s="29"/>
      <c r="B123" s="237" t="s">
        <v>516</v>
      </c>
      <c r="C123" s="444">
        <v>656</v>
      </c>
      <c r="D123" s="416">
        <v>3</v>
      </c>
      <c r="E123" s="416">
        <v>14</v>
      </c>
      <c r="F123" s="353" t="s">
        <v>98</v>
      </c>
      <c r="G123" s="354">
        <v>0</v>
      </c>
      <c r="H123" s="273">
        <f>H124</f>
        <v>5270</v>
      </c>
      <c r="I123" s="274">
        <v>0</v>
      </c>
      <c r="J123" s="273">
        <f>J124</f>
        <v>5270</v>
      </c>
      <c r="K123" s="274">
        <v>0</v>
      </c>
      <c r="L123" s="273">
        <f>L124</f>
        <v>5280</v>
      </c>
      <c r="M123" s="274">
        <v>0</v>
      </c>
    </row>
    <row r="124" spans="1:13" s="10" customFormat="1" ht="24" x14ac:dyDescent="0.25">
      <c r="A124" s="29"/>
      <c r="B124" s="151" t="s">
        <v>128</v>
      </c>
      <c r="C124" s="444">
        <v>656</v>
      </c>
      <c r="D124" s="416">
        <v>3</v>
      </c>
      <c r="E124" s="416">
        <v>14</v>
      </c>
      <c r="F124" s="353" t="s">
        <v>98</v>
      </c>
      <c r="G124" s="354">
        <v>200</v>
      </c>
      <c r="H124" s="273">
        <f>H125</f>
        <v>5270</v>
      </c>
      <c r="I124" s="274">
        <v>0</v>
      </c>
      <c r="J124" s="273">
        <f>J125</f>
        <v>5270</v>
      </c>
      <c r="K124" s="274">
        <v>0</v>
      </c>
      <c r="L124" s="273">
        <f>L125</f>
        <v>5280</v>
      </c>
      <c r="M124" s="274">
        <v>0</v>
      </c>
    </row>
    <row r="125" spans="1:13" s="10" customFormat="1" ht="36" x14ac:dyDescent="0.25">
      <c r="A125" s="29"/>
      <c r="B125" s="229" t="s">
        <v>506</v>
      </c>
      <c r="C125" s="444">
        <v>656</v>
      </c>
      <c r="D125" s="416">
        <v>3</v>
      </c>
      <c r="E125" s="416">
        <v>14</v>
      </c>
      <c r="F125" s="353" t="s">
        <v>98</v>
      </c>
      <c r="G125" s="354">
        <v>244</v>
      </c>
      <c r="H125" s="273">
        <f>'по нов.7'!R42</f>
        <v>5270</v>
      </c>
      <c r="I125" s="274">
        <v>0</v>
      </c>
      <c r="J125" s="273">
        <f>'по нов.7'!W42</f>
        <v>5270</v>
      </c>
      <c r="K125" s="274">
        <v>0</v>
      </c>
      <c r="L125" s="273">
        <f>'по нов.7'!X42</f>
        <v>5280</v>
      </c>
      <c r="M125" s="274">
        <v>0</v>
      </c>
    </row>
    <row r="126" spans="1:13" s="10" customFormat="1" ht="48" x14ac:dyDescent="0.25">
      <c r="A126" s="29"/>
      <c r="B126" s="238" t="s">
        <v>517</v>
      </c>
      <c r="C126" s="444">
        <v>656</v>
      </c>
      <c r="D126" s="419">
        <v>3</v>
      </c>
      <c r="E126" s="419">
        <v>14</v>
      </c>
      <c r="F126" s="353" t="s">
        <v>100</v>
      </c>
      <c r="G126" s="356">
        <v>0</v>
      </c>
      <c r="H126" s="273">
        <f>H128</f>
        <v>12300</v>
      </c>
      <c r="I126" s="274">
        <v>0</v>
      </c>
      <c r="J126" s="273">
        <f>J128</f>
        <v>12300</v>
      </c>
      <c r="K126" s="274">
        <v>0</v>
      </c>
      <c r="L126" s="273">
        <f>L128</f>
        <v>12320</v>
      </c>
      <c r="M126" s="274">
        <v>0</v>
      </c>
    </row>
    <row r="127" spans="1:13" s="10" customFormat="1" ht="24" x14ac:dyDescent="0.25">
      <c r="A127" s="29"/>
      <c r="B127" s="151" t="s">
        <v>128</v>
      </c>
      <c r="C127" s="444">
        <v>656</v>
      </c>
      <c r="D127" s="419">
        <v>3</v>
      </c>
      <c r="E127" s="419">
        <v>14</v>
      </c>
      <c r="F127" s="353" t="s">
        <v>100</v>
      </c>
      <c r="G127" s="356">
        <v>200</v>
      </c>
      <c r="H127" s="273">
        <f>H128</f>
        <v>12300</v>
      </c>
      <c r="I127" s="274">
        <v>0</v>
      </c>
      <c r="J127" s="273">
        <f>J128</f>
        <v>12300</v>
      </c>
      <c r="K127" s="274">
        <v>0</v>
      </c>
      <c r="L127" s="273">
        <f>L128</f>
        <v>12320</v>
      </c>
      <c r="M127" s="274">
        <v>0</v>
      </c>
    </row>
    <row r="128" spans="1:13" s="10" customFormat="1" ht="36.6" thickBot="1" x14ac:dyDescent="0.3">
      <c r="A128" s="29"/>
      <c r="B128" s="229" t="s">
        <v>506</v>
      </c>
      <c r="C128" s="444">
        <v>656</v>
      </c>
      <c r="D128" s="419">
        <v>3</v>
      </c>
      <c r="E128" s="419">
        <v>14</v>
      </c>
      <c r="F128" s="353" t="s">
        <v>100</v>
      </c>
      <c r="G128" s="356">
        <v>244</v>
      </c>
      <c r="H128" s="273">
        <f>'по нов.7'!R45</f>
        <v>12300</v>
      </c>
      <c r="I128" s="269">
        <v>0</v>
      </c>
      <c r="J128" s="273">
        <f>'по нов.7'!W45</f>
        <v>12300</v>
      </c>
      <c r="K128" s="269">
        <v>0</v>
      </c>
      <c r="L128" s="273">
        <f>'по нов.7'!X45</f>
        <v>12320</v>
      </c>
      <c r="M128" s="269">
        <v>0</v>
      </c>
    </row>
    <row r="129" spans="1:13" s="10" customFormat="1" ht="13.8" thickBot="1" x14ac:dyDescent="0.3">
      <c r="A129" s="29"/>
      <c r="B129" s="158" t="s">
        <v>18</v>
      </c>
      <c r="C129" s="439">
        <v>656</v>
      </c>
      <c r="D129" s="398">
        <v>4</v>
      </c>
      <c r="E129" s="398">
        <v>0</v>
      </c>
      <c r="F129" s="399" t="s">
        <v>122</v>
      </c>
      <c r="G129" s="373">
        <v>0</v>
      </c>
      <c r="H129" s="264">
        <f>H138+H152+H130+H157</f>
        <v>7256671.7599999998</v>
      </c>
      <c r="I129" s="265">
        <f>I157</f>
        <v>0</v>
      </c>
      <c r="J129" s="264">
        <f>J138+J152+J130+J157</f>
        <v>4933296.0999999996</v>
      </c>
      <c r="K129" s="265">
        <f>K157</f>
        <v>0</v>
      </c>
      <c r="L129" s="264">
        <f>L138+L152+L130+L157</f>
        <v>5180000</v>
      </c>
      <c r="M129" s="265">
        <f>M157</f>
        <v>0</v>
      </c>
    </row>
    <row r="130" spans="1:13" s="36" customFormat="1" ht="23.4" thickBot="1" x14ac:dyDescent="0.3">
      <c r="A130" s="34"/>
      <c r="B130" s="197" t="s">
        <v>429</v>
      </c>
      <c r="C130" s="444">
        <v>656</v>
      </c>
      <c r="D130" s="400">
        <v>4</v>
      </c>
      <c r="E130" s="400">
        <v>1</v>
      </c>
      <c r="F130" s="420" t="s">
        <v>355</v>
      </c>
      <c r="G130" s="401">
        <v>0</v>
      </c>
      <c r="H130" s="266">
        <f>H131+H135</f>
        <v>1798502.93</v>
      </c>
      <c r="I130" s="267">
        <v>0</v>
      </c>
      <c r="J130" s="266">
        <f>J131</f>
        <v>0</v>
      </c>
      <c r="K130" s="267">
        <v>0</v>
      </c>
      <c r="L130" s="266">
        <f>L131</f>
        <v>0</v>
      </c>
      <c r="M130" s="267">
        <v>0</v>
      </c>
    </row>
    <row r="131" spans="1:13" s="10" customFormat="1" ht="60" x14ac:dyDescent="0.25">
      <c r="A131" s="29"/>
      <c r="B131" s="62" t="s">
        <v>510</v>
      </c>
      <c r="C131" s="444">
        <v>656</v>
      </c>
      <c r="D131" s="402">
        <v>4</v>
      </c>
      <c r="E131" s="402">
        <v>1</v>
      </c>
      <c r="F131" s="355" t="s">
        <v>388</v>
      </c>
      <c r="G131" s="348">
        <v>0</v>
      </c>
      <c r="H131" s="268">
        <f>H132</f>
        <v>885467.92999999993</v>
      </c>
      <c r="I131" s="269">
        <v>0</v>
      </c>
      <c r="J131" s="268">
        <f>J132</f>
        <v>0</v>
      </c>
      <c r="K131" s="269">
        <v>0</v>
      </c>
      <c r="L131" s="268">
        <f>L132</f>
        <v>0</v>
      </c>
      <c r="M131" s="269">
        <v>0</v>
      </c>
    </row>
    <row r="132" spans="1:13" s="10" customFormat="1" ht="48" x14ac:dyDescent="0.25">
      <c r="A132" s="29"/>
      <c r="B132" s="151" t="s">
        <v>75</v>
      </c>
      <c r="C132" s="444">
        <v>656</v>
      </c>
      <c r="D132" s="402">
        <v>4</v>
      </c>
      <c r="E132" s="402">
        <v>1</v>
      </c>
      <c r="F132" s="355" t="s">
        <v>388</v>
      </c>
      <c r="G132" s="348">
        <v>100</v>
      </c>
      <c r="H132" s="268">
        <f>H133+H134</f>
        <v>885467.92999999993</v>
      </c>
      <c r="I132" s="269">
        <v>0</v>
      </c>
      <c r="J132" s="268">
        <f>J133+J134</f>
        <v>0</v>
      </c>
      <c r="K132" s="269">
        <v>0</v>
      </c>
      <c r="L132" s="268">
        <f>L133+L134</f>
        <v>0</v>
      </c>
      <c r="M132" s="269">
        <v>0</v>
      </c>
    </row>
    <row r="133" spans="1:13" s="10" customFormat="1" x14ac:dyDescent="0.25">
      <c r="A133" s="29"/>
      <c r="B133" s="239" t="s">
        <v>138</v>
      </c>
      <c r="C133" s="444">
        <v>656</v>
      </c>
      <c r="D133" s="402">
        <v>4</v>
      </c>
      <c r="E133" s="402">
        <v>1</v>
      </c>
      <c r="F133" s="355" t="s">
        <v>388</v>
      </c>
      <c r="G133" s="348">
        <v>111</v>
      </c>
      <c r="H133" s="268">
        <f>'по нов.7'!R240</f>
        <v>678215.5</v>
      </c>
      <c r="I133" s="269">
        <v>0</v>
      </c>
      <c r="J133" s="268">
        <f>'по нов.7'!W240</f>
        <v>0</v>
      </c>
      <c r="K133" s="269">
        <v>0</v>
      </c>
      <c r="L133" s="268">
        <f>'по нов.7'!X240</f>
        <v>0</v>
      </c>
      <c r="M133" s="269">
        <v>0</v>
      </c>
    </row>
    <row r="134" spans="1:13" s="10" customFormat="1" ht="36" x14ac:dyDescent="0.25">
      <c r="A134" s="29"/>
      <c r="B134" s="239" t="s">
        <v>134</v>
      </c>
      <c r="C134" s="444">
        <v>656</v>
      </c>
      <c r="D134" s="402">
        <v>4</v>
      </c>
      <c r="E134" s="402">
        <v>1</v>
      </c>
      <c r="F134" s="355" t="s">
        <v>388</v>
      </c>
      <c r="G134" s="348">
        <v>119</v>
      </c>
      <c r="H134" s="268">
        <f>'по нов.7'!R241</f>
        <v>207252.43</v>
      </c>
      <c r="I134" s="269"/>
      <c r="J134" s="268">
        <f>'по нов.7'!W241</f>
        <v>0</v>
      </c>
      <c r="K134" s="269"/>
      <c r="L134" s="268">
        <f>'по нов.7'!X241</f>
        <v>0</v>
      </c>
      <c r="M134" s="269"/>
    </row>
    <row r="135" spans="1:13" s="10" customFormat="1" ht="48" x14ac:dyDescent="0.25">
      <c r="A135" s="29"/>
      <c r="B135" s="151" t="s">
        <v>75</v>
      </c>
      <c r="C135" s="444">
        <v>656</v>
      </c>
      <c r="D135" s="402">
        <v>4</v>
      </c>
      <c r="E135" s="402">
        <v>1</v>
      </c>
      <c r="F135" s="355" t="s">
        <v>572</v>
      </c>
      <c r="G135" s="348">
        <v>100</v>
      </c>
      <c r="H135" s="268">
        <f>H136+H137</f>
        <v>913035</v>
      </c>
      <c r="I135" s="269">
        <v>0</v>
      </c>
      <c r="J135" s="268">
        <f>J136+J137</f>
        <v>0</v>
      </c>
      <c r="K135" s="269">
        <v>0</v>
      </c>
      <c r="L135" s="268">
        <f>L136+L137</f>
        <v>0</v>
      </c>
      <c r="M135" s="269">
        <v>0</v>
      </c>
    </row>
    <row r="136" spans="1:13" s="10" customFormat="1" x14ac:dyDescent="0.25">
      <c r="A136" s="29"/>
      <c r="B136" s="239" t="s">
        <v>138</v>
      </c>
      <c r="C136" s="444">
        <v>656</v>
      </c>
      <c r="D136" s="402">
        <v>4</v>
      </c>
      <c r="E136" s="402">
        <v>1</v>
      </c>
      <c r="F136" s="355" t="s">
        <v>572</v>
      </c>
      <c r="G136" s="348">
        <v>111</v>
      </c>
      <c r="H136" s="268">
        <f>'по нов.7'!R242</f>
        <v>665602.5</v>
      </c>
      <c r="I136" s="269">
        <v>0</v>
      </c>
      <c r="J136" s="268">
        <f>'по нов.7'!W243</f>
        <v>0</v>
      </c>
      <c r="K136" s="269">
        <v>0</v>
      </c>
      <c r="L136" s="268">
        <f>'по нов.7'!X243</f>
        <v>0</v>
      </c>
      <c r="M136" s="269">
        <v>0</v>
      </c>
    </row>
    <row r="137" spans="1:13" s="10" customFormat="1" ht="36.6" thickBot="1" x14ac:dyDescent="0.3">
      <c r="A137" s="29"/>
      <c r="B137" s="239" t="s">
        <v>134</v>
      </c>
      <c r="C137" s="444">
        <v>656</v>
      </c>
      <c r="D137" s="402">
        <v>4</v>
      </c>
      <c r="E137" s="402">
        <v>1</v>
      </c>
      <c r="F137" s="355" t="s">
        <v>572</v>
      </c>
      <c r="G137" s="348">
        <v>119</v>
      </c>
      <c r="H137" s="268">
        <f>'по нов.7'!R243</f>
        <v>247432.5</v>
      </c>
      <c r="I137" s="269"/>
      <c r="J137" s="268">
        <v>0</v>
      </c>
      <c r="K137" s="269"/>
      <c r="L137" s="268">
        <v>0</v>
      </c>
      <c r="M137" s="269"/>
    </row>
    <row r="138" spans="1:13" s="36" customFormat="1" ht="13.8" thickBot="1" x14ac:dyDescent="0.3">
      <c r="A138" s="34"/>
      <c r="B138" s="159" t="s">
        <v>68</v>
      </c>
      <c r="C138" s="439">
        <v>656</v>
      </c>
      <c r="D138" s="417">
        <v>4</v>
      </c>
      <c r="E138" s="417">
        <v>9</v>
      </c>
      <c r="F138" s="399" t="s">
        <v>122</v>
      </c>
      <c r="G138" s="418">
        <v>0</v>
      </c>
      <c r="H138" s="271">
        <f>H141+H149</f>
        <v>4712270.2</v>
      </c>
      <c r="I138" s="272">
        <v>0</v>
      </c>
      <c r="J138" s="271">
        <f>J141+J149</f>
        <v>4933296.0999999996</v>
      </c>
      <c r="K138" s="272">
        <v>0</v>
      </c>
      <c r="L138" s="271">
        <f>L141+L149</f>
        <v>5180000</v>
      </c>
      <c r="M138" s="272">
        <v>0</v>
      </c>
    </row>
    <row r="139" spans="1:13" s="36" customFormat="1" ht="34.799999999999997" thickBot="1" x14ac:dyDescent="0.3">
      <c r="A139" s="34"/>
      <c r="B139" s="192" t="s">
        <v>70</v>
      </c>
      <c r="C139" s="447">
        <v>656</v>
      </c>
      <c r="D139" s="417">
        <v>4</v>
      </c>
      <c r="E139" s="417">
        <v>9</v>
      </c>
      <c r="F139" s="421" t="s">
        <v>93</v>
      </c>
      <c r="G139" s="418">
        <v>0</v>
      </c>
      <c r="H139" s="272">
        <f t="shared" ref="H139:M140" si="11">H140</f>
        <v>4712270.2</v>
      </c>
      <c r="I139" s="272">
        <f t="shared" si="11"/>
        <v>0</v>
      </c>
      <c r="J139" s="272">
        <f t="shared" si="11"/>
        <v>4933296.0999999996</v>
      </c>
      <c r="K139" s="272">
        <f t="shared" si="11"/>
        <v>0</v>
      </c>
      <c r="L139" s="272">
        <f t="shared" si="11"/>
        <v>5180000</v>
      </c>
      <c r="M139" s="272">
        <f t="shared" si="11"/>
        <v>0</v>
      </c>
    </row>
    <row r="140" spans="1:13" s="36" customFormat="1" ht="24" x14ac:dyDescent="0.25">
      <c r="A140" s="34"/>
      <c r="B140" s="62" t="s">
        <v>481</v>
      </c>
      <c r="C140" s="444">
        <v>656</v>
      </c>
      <c r="D140" s="416">
        <v>4</v>
      </c>
      <c r="E140" s="416">
        <v>9</v>
      </c>
      <c r="F140" s="353" t="s">
        <v>94</v>
      </c>
      <c r="G140" s="354">
        <v>0</v>
      </c>
      <c r="H140" s="269">
        <f t="shared" si="11"/>
        <v>4712270.2</v>
      </c>
      <c r="I140" s="269">
        <f t="shared" si="11"/>
        <v>0</v>
      </c>
      <c r="J140" s="269">
        <f t="shared" si="11"/>
        <v>4933296.0999999996</v>
      </c>
      <c r="K140" s="269">
        <f t="shared" si="11"/>
        <v>0</v>
      </c>
      <c r="L140" s="269">
        <f t="shared" si="11"/>
        <v>5180000</v>
      </c>
      <c r="M140" s="269">
        <f t="shared" si="11"/>
        <v>0</v>
      </c>
    </row>
    <row r="141" spans="1:13" s="10" customFormat="1" ht="48" x14ac:dyDescent="0.25">
      <c r="A141" s="29"/>
      <c r="B141" s="162" t="s">
        <v>96</v>
      </c>
      <c r="C141" s="444">
        <v>656</v>
      </c>
      <c r="D141" s="416">
        <v>4</v>
      </c>
      <c r="E141" s="416">
        <v>9</v>
      </c>
      <c r="F141" s="353" t="s">
        <v>95</v>
      </c>
      <c r="G141" s="354">
        <v>0</v>
      </c>
      <c r="H141" s="269">
        <f>H142</f>
        <v>4712270.2</v>
      </c>
      <c r="I141" s="269">
        <v>0</v>
      </c>
      <c r="J141" s="269">
        <f>J142</f>
        <v>4933296.0999999996</v>
      </c>
      <c r="K141" s="269">
        <v>0</v>
      </c>
      <c r="L141" s="269">
        <f>L142</f>
        <v>5180000</v>
      </c>
      <c r="M141" s="269">
        <v>0</v>
      </c>
    </row>
    <row r="142" spans="1:13" s="10" customFormat="1" ht="24" x14ac:dyDescent="0.25">
      <c r="A142" s="29"/>
      <c r="B142" s="151" t="s">
        <v>128</v>
      </c>
      <c r="C142" s="444">
        <v>656</v>
      </c>
      <c r="D142" s="416">
        <v>4</v>
      </c>
      <c r="E142" s="416">
        <v>9</v>
      </c>
      <c r="F142" s="353" t="s">
        <v>95</v>
      </c>
      <c r="G142" s="354">
        <v>200</v>
      </c>
      <c r="H142" s="268">
        <f>H143</f>
        <v>4712270.2</v>
      </c>
      <c r="I142" s="269">
        <v>0</v>
      </c>
      <c r="J142" s="268">
        <f>J143</f>
        <v>4933296.0999999996</v>
      </c>
      <c r="K142" s="269">
        <v>0</v>
      </c>
      <c r="L142" s="268">
        <f>L143</f>
        <v>5180000</v>
      </c>
      <c r="M142" s="269">
        <v>0</v>
      </c>
    </row>
    <row r="143" spans="1:13" s="39" customFormat="1" ht="36.6" thickBot="1" x14ac:dyDescent="0.3">
      <c r="A143" s="37"/>
      <c r="B143" s="229" t="s">
        <v>506</v>
      </c>
      <c r="C143" s="444">
        <v>656</v>
      </c>
      <c r="D143" s="416">
        <v>4</v>
      </c>
      <c r="E143" s="416">
        <v>9</v>
      </c>
      <c r="F143" s="353" t="s">
        <v>95</v>
      </c>
      <c r="G143" s="354">
        <v>244</v>
      </c>
      <c r="H143" s="268">
        <f>'по нов.7'!R31</f>
        <v>4712270.2</v>
      </c>
      <c r="I143" s="269">
        <v>0</v>
      </c>
      <c r="J143" s="268">
        <f>'по нов.7'!W31</f>
        <v>4933296.0999999996</v>
      </c>
      <c r="K143" s="269">
        <v>0</v>
      </c>
      <c r="L143" s="268">
        <f>'по нов.7'!X31</f>
        <v>5180000</v>
      </c>
      <c r="M143" s="269">
        <v>0</v>
      </c>
    </row>
    <row r="144" spans="1:13" s="10" customFormat="1" ht="60" hidden="1" x14ac:dyDescent="0.25">
      <c r="A144" s="29"/>
      <c r="B144" s="162" t="s">
        <v>142</v>
      </c>
      <c r="C144" s="444">
        <v>656</v>
      </c>
      <c r="D144" s="416">
        <v>4</v>
      </c>
      <c r="E144" s="416">
        <v>9</v>
      </c>
      <c r="F144" s="353" t="s">
        <v>123</v>
      </c>
      <c r="G144" s="354">
        <v>0</v>
      </c>
      <c r="H144" s="268">
        <f>H147</f>
        <v>0</v>
      </c>
      <c r="I144" s="269">
        <v>0</v>
      </c>
      <c r="J144" s="268">
        <f>J147</f>
        <v>0</v>
      </c>
      <c r="K144" s="269">
        <v>0</v>
      </c>
      <c r="L144" s="268">
        <f>L147</f>
        <v>0</v>
      </c>
      <c r="M144" s="269">
        <v>0</v>
      </c>
    </row>
    <row r="145" spans="1:13" s="10" customFormat="1" ht="120" hidden="1" x14ac:dyDescent="0.25">
      <c r="A145" s="29"/>
      <c r="B145" s="162" t="s">
        <v>352</v>
      </c>
      <c r="C145" s="444">
        <v>656</v>
      </c>
      <c r="D145" s="416">
        <v>4</v>
      </c>
      <c r="E145" s="416">
        <v>9</v>
      </c>
      <c r="F145" s="353" t="s">
        <v>350</v>
      </c>
      <c r="G145" s="354">
        <v>0</v>
      </c>
      <c r="H145" s="268">
        <f>H146</f>
        <v>0</v>
      </c>
      <c r="I145" s="269">
        <v>0</v>
      </c>
      <c r="J145" s="268">
        <f>J146</f>
        <v>0</v>
      </c>
      <c r="K145" s="269">
        <v>0</v>
      </c>
      <c r="L145" s="268">
        <f>L146</f>
        <v>0</v>
      </c>
      <c r="M145" s="269">
        <v>0</v>
      </c>
    </row>
    <row r="146" spans="1:13" s="10" customFormat="1" hidden="1" x14ac:dyDescent="0.25">
      <c r="A146" s="29"/>
      <c r="B146" s="239" t="s">
        <v>74</v>
      </c>
      <c r="C146" s="444">
        <v>656</v>
      </c>
      <c r="D146" s="416">
        <v>4</v>
      </c>
      <c r="E146" s="416">
        <v>9</v>
      </c>
      <c r="F146" s="353" t="s">
        <v>350</v>
      </c>
      <c r="G146" s="354">
        <v>500</v>
      </c>
      <c r="H146" s="268">
        <f>H147</f>
        <v>0</v>
      </c>
      <c r="I146" s="269">
        <v>0</v>
      </c>
      <c r="J146" s="268">
        <f>J147</f>
        <v>0</v>
      </c>
      <c r="K146" s="269">
        <v>0</v>
      </c>
      <c r="L146" s="268">
        <f>L147</f>
        <v>0</v>
      </c>
      <c r="M146" s="269">
        <v>0</v>
      </c>
    </row>
    <row r="147" spans="1:13" s="10" customFormat="1" hidden="1" x14ac:dyDescent="0.25">
      <c r="A147" s="29"/>
      <c r="B147" s="239" t="s">
        <v>63</v>
      </c>
      <c r="C147" s="444">
        <v>656</v>
      </c>
      <c r="D147" s="416">
        <v>4</v>
      </c>
      <c r="E147" s="416">
        <v>9</v>
      </c>
      <c r="F147" s="353" t="s">
        <v>350</v>
      </c>
      <c r="G147" s="354">
        <v>540</v>
      </c>
      <c r="H147" s="268">
        <f>'по нов.7'!R213</f>
        <v>0</v>
      </c>
      <c r="I147" s="269">
        <v>0</v>
      </c>
      <c r="J147" s="268">
        <f>'по нов.7'!T213</f>
        <v>0</v>
      </c>
      <c r="K147" s="269">
        <v>0</v>
      </c>
      <c r="L147" s="268">
        <f>'по нов.7'!V213</f>
        <v>0</v>
      </c>
      <c r="M147" s="269">
        <v>0</v>
      </c>
    </row>
    <row r="148" spans="1:13" s="10" customFormat="1" hidden="1" x14ac:dyDescent="0.25">
      <c r="A148" s="29"/>
      <c r="B148" s="162"/>
      <c r="C148" s="444">
        <v>656</v>
      </c>
      <c r="D148" s="416">
        <v>4</v>
      </c>
      <c r="E148" s="416">
        <v>9</v>
      </c>
      <c r="F148" s="353" t="s">
        <v>94</v>
      </c>
      <c r="G148" s="354">
        <v>0</v>
      </c>
      <c r="H148" s="269">
        <f>H149</f>
        <v>0</v>
      </c>
      <c r="I148" s="269">
        <v>0</v>
      </c>
      <c r="J148" s="269">
        <f>J149</f>
        <v>0</v>
      </c>
      <c r="K148" s="269">
        <v>0</v>
      </c>
      <c r="L148" s="269">
        <f>L149</f>
        <v>0</v>
      </c>
      <c r="M148" s="269">
        <v>0</v>
      </c>
    </row>
    <row r="149" spans="1:13" s="10" customFormat="1" ht="48" hidden="1" x14ac:dyDescent="0.25">
      <c r="A149" s="29"/>
      <c r="B149" s="162" t="s">
        <v>390</v>
      </c>
      <c r="C149" s="444">
        <v>656</v>
      </c>
      <c r="D149" s="416">
        <v>4</v>
      </c>
      <c r="E149" s="416">
        <v>9</v>
      </c>
      <c r="F149" s="353" t="s">
        <v>391</v>
      </c>
      <c r="G149" s="354">
        <v>0</v>
      </c>
      <c r="H149" s="269">
        <f>H150</f>
        <v>0</v>
      </c>
      <c r="I149" s="269">
        <v>0</v>
      </c>
      <c r="J149" s="269">
        <f>J150</f>
        <v>0</v>
      </c>
      <c r="K149" s="269">
        <v>0</v>
      </c>
      <c r="L149" s="269">
        <f>L150</f>
        <v>0</v>
      </c>
      <c r="M149" s="269">
        <v>0</v>
      </c>
    </row>
    <row r="150" spans="1:13" s="10" customFormat="1" ht="24" hidden="1" x14ac:dyDescent="0.25">
      <c r="A150" s="29"/>
      <c r="B150" s="151" t="s">
        <v>128</v>
      </c>
      <c r="C150" s="444">
        <v>656</v>
      </c>
      <c r="D150" s="416">
        <v>4</v>
      </c>
      <c r="E150" s="416">
        <v>9</v>
      </c>
      <c r="F150" s="353" t="s">
        <v>391</v>
      </c>
      <c r="G150" s="354">
        <v>200</v>
      </c>
      <c r="H150" s="268">
        <f>H151</f>
        <v>0</v>
      </c>
      <c r="I150" s="269">
        <v>0</v>
      </c>
      <c r="J150" s="268">
        <f>J151</f>
        <v>0</v>
      </c>
      <c r="K150" s="269">
        <v>0</v>
      </c>
      <c r="L150" s="268">
        <f>L151</f>
        <v>0</v>
      </c>
      <c r="M150" s="269">
        <v>0</v>
      </c>
    </row>
    <row r="151" spans="1:13" s="39" customFormat="1" ht="24.6" hidden="1" thickBot="1" x14ac:dyDescent="0.3">
      <c r="A151" s="37"/>
      <c r="B151" s="154" t="s">
        <v>60</v>
      </c>
      <c r="C151" s="444">
        <v>656</v>
      </c>
      <c r="D151" s="416">
        <v>4</v>
      </c>
      <c r="E151" s="416">
        <v>9</v>
      </c>
      <c r="F151" s="353" t="s">
        <v>391</v>
      </c>
      <c r="G151" s="354">
        <v>244</v>
      </c>
      <c r="H151" s="268">
        <f>'по нов.7'!R37</f>
        <v>0</v>
      </c>
      <c r="I151" s="269">
        <v>0</v>
      </c>
      <c r="J151" s="268">
        <f>'по нов.7'!W37</f>
        <v>0</v>
      </c>
      <c r="K151" s="269">
        <v>0</v>
      </c>
      <c r="L151" s="268">
        <f>'по нов.7'!X37</f>
        <v>0</v>
      </c>
      <c r="M151" s="269">
        <v>0</v>
      </c>
    </row>
    <row r="152" spans="1:13" s="36" customFormat="1" ht="13.8" thickBot="1" x14ac:dyDescent="0.3">
      <c r="A152" s="34"/>
      <c r="B152" s="159" t="s">
        <v>32</v>
      </c>
      <c r="C152" s="439">
        <v>656</v>
      </c>
      <c r="D152" s="417">
        <v>4</v>
      </c>
      <c r="E152" s="417">
        <v>10</v>
      </c>
      <c r="F152" s="399" t="s">
        <v>122</v>
      </c>
      <c r="G152" s="418">
        <v>0</v>
      </c>
      <c r="H152" s="271">
        <f>H153</f>
        <v>245898.63</v>
      </c>
      <c r="I152" s="272">
        <v>0</v>
      </c>
      <c r="J152" s="271">
        <f>J153</f>
        <v>0</v>
      </c>
      <c r="K152" s="272">
        <v>0</v>
      </c>
      <c r="L152" s="271">
        <f>L153</f>
        <v>0</v>
      </c>
      <c r="M152" s="272">
        <v>0</v>
      </c>
    </row>
    <row r="153" spans="1:13" s="10" customFormat="1" ht="36" x14ac:dyDescent="0.25">
      <c r="A153" s="29"/>
      <c r="B153" s="239" t="s">
        <v>430</v>
      </c>
      <c r="C153" s="444">
        <v>656</v>
      </c>
      <c r="D153" s="416">
        <v>4</v>
      </c>
      <c r="E153" s="416">
        <v>10</v>
      </c>
      <c r="F153" s="353" t="s">
        <v>117</v>
      </c>
      <c r="G153" s="354">
        <v>0</v>
      </c>
      <c r="H153" s="268">
        <f>H156</f>
        <v>245898.63</v>
      </c>
      <c r="I153" s="269">
        <v>0</v>
      </c>
      <c r="J153" s="268">
        <f>J156</f>
        <v>0</v>
      </c>
      <c r="K153" s="269">
        <v>0</v>
      </c>
      <c r="L153" s="268">
        <f>L156</f>
        <v>0</v>
      </c>
      <c r="M153" s="269">
        <v>0</v>
      </c>
    </row>
    <row r="154" spans="1:13" s="10" customFormat="1" ht="60" x14ac:dyDescent="0.25">
      <c r="A154" s="29"/>
      <c r="B154" s="239" t="s">
        <v>518</v>
      </c>
      <c r="C154" s="444">
        <v>656</v>
      </c>
      <c r="D154" s="416">
        <v>4</v>
      </c>
      <c r="E154" s="416">
        <v>10</v>
      </c>
      <c r="F154" s="353" t="s">
        <v>132</v>
      </c>
      <c r="G154" s="354">
        <v>0</v>
      </c>
      <c r="H154" s="268">
        <f>H155</f>
        <v>245898.63</v>
      </c>
      <c r="I154" s="269">
        <v>0</v>
      </c>
      <c r="J154" s="268">
        <f>J155</f>
        <v>0</v>
      </c>
      <c r="K154" s="269">
        <v>0</v>
      </c>
      <c r="L154" s="268">
        <f>L155</f>
        <v>0</v>
      </c>
      <c r="M154" s="269">
        <v>0</v>
      </c>
    </row>
    <row r="155" spans="1:13" s="10" customFormat="1" x14ac:dyDescent="0.25">
      <c r="A155" s="29"/>
      <c r="B155" s="151" t="s">
        <v>78</v>
      </c>
      <c r="C155" s="444">
        <v>656</v>
      </c>
      <c r="D155" s="416">
        <v>4</v>
      </c>
      <c r="E155" s="416">
        <v>10</v>
      </c>
      <c r="F155" s="353" t="s">
        <v>132</v>
      </c>
      <c r="G155" s="354">
        <v>800</v>
      </c>
      <c r="H155" s="268">
        <f>H156</f>
        <v>245898.63</v>
      </c>
      <c r="I155" s="269">
        <v>0</v>
      </c>
      <c r="J155" s="268">
        <f>J156</f>
        <v>0</v>
      </c>
      <c r="K155" s="269">
        <v>0</v>
      </c>
      <c r="L155" s="268">
        <f>L156</f>
        <v>0</v>
      </c>
      <c r="M155" s="269">
        <v>0</v>
      </c>
    </row>
    <row r="156" spans="1:13" s="10" customFormat="1" ht="36" x14ac:dyDescent="0.25">
      <c r="A156" s="29"/>
      <c r="B156" s="239" t="s">
        <v>407</v>
      </c>
      <c r="C156" s="444">
        <v>656</v>
      </c>
      <c r="D156" s="416">
        <v>4</v>
      </c>
      <c r="E156" s="416">
        <v>10</v>
      </c>
      <c r="F156" s="353" t="s">
        <v>132</v>
      </c>
      <c r="G156" s="354">
        <v>810</v>
      </c>
      <c r="H156" s="268">
        <f>'по нов.7'!R179</f>
        <v>245898.63</v>
      </c>
      <c r="I156" s="269">
        <v>0</v>
      </c>
      <c r="J156" s="268">
        <f>'по нов.7'!W179</f>
        <v>0</v>
      </c>
      <c r="K156" s="269">
        <v>0</v>
      </c>
      <c r="L156" s="268">
        <f>'по нов.7'!X179</f>
        <v>0</v>
      </c>
      <c r="M156" s="269">
        <v>0</v>
      </c>
    </row>
    <row r="157" spans="1:13" s="10" customFormat="1" x14ac:dyDescent="0.25">
      <c r="A157" s="29"/>
      <c r="B157" s="159" t="s">
        <v>54</v>
      </c>
      <c r="C157" s="444">
        <v>656</v>
      </c>
      <c r="D157" s="417">
        <v>4</v>
      </c>
      <c r="E157" s="417">
        <v>12</v>
      </c>
      <c r="F157" s="353" t="s">
        <v>123</v>
      </c>
      <c r="G157" s="418">
        <v>0</v>
      </c>
      <c r="H157" s="271">
        <f>H159</f>
        <v>500000</v>
      </c>
      <c r="I157" s="272">
        <v>0</v>
      </c>
      <c r="J157" s="271">
        <f>J159</f>
        <v>0</v>
      </c>
      <c r="K157" s="272">
        <v>0</v>
      </c>
      <c r="L157" s="271">
        <f>L159</f>
        <v>0</v>
      </c>
      <c r="M157" s="272">
        <v>0</v>
      </c>
    </row>
    <row r="158" spans="1:13" s="10" customFormat="1" ht="60" x14ac:dyDescent="0.25">
      <c r="A158" s="29"/>
      <c r="B158" s="162" t="s">
        <v>431</v>
      </c>
      <c r="C158" s="444">
        <v>656</v>
      </c>
      <c r="D158" s="416">
        <v>4</v>
      </c>
      <c r="E158" s="416">
        <v>12</v>
      </c>
      <c r="F158" s="353" t="s">
        <v>123</v>
      </c>
      <c r="G158" s="354">
        <v>0</v>
      </c>
      <c r="H158" s="268">
        <f>H159</f>
        <v>500000</v>
      </c>
      <c r="I158" s="269">
        <v>0</v>
      </c>
      <c r="J158" s="268">
        <f>J159</f>
        <v>0</v>
      </c>
      <c r="K158" s="269">
        <v>0</v>
      </c>
      <c r="L158" s="268">
        <f>L159</f>
        <v>0</v>
      </c>
      <c r="M158" s="269">
        <v>0</v>
      </c>
    </row>
    <row r="159" spans="1:13" s="10" customFormat="1" ht="120" x14ac:dyDescent="0.25">
      <c r="A159" s="29"/>
      <c r="B159" s="162" t="s">
        <v>502</v>
      </c>
      <c r="C159" s="444">
        <v>656</v>
      </c>
      <c r="D159" s="416">
        <v>4</v>
      </c>
      <c r="E159" s="416">
        <v>12</v>
      </c>
      <c r="F159" s="388" t="s">
        <v>351</v>
      </c>
      <c r="G159" s="354">
        <v>0</v>
      </c>
      <c r="H159" s="268">
        <f>H161</f>
        <v>500000</v>
      </c>
      <c r="I159" s="269">
        <v>0</v>
      </c>
      <c r="J159" s="268">
        <f>J160</f>
        <v>0</v>
      </c>
      <c r="K159" s="269">
        <v>0</v>
      </c>
      <c r="L159" s="268">
        <f>L161</f>
        <v>0</v>
      </c>
      <c r="M159" s="269">
        <v>0</v>
      </c>
    </row>
    <row r="160" spans="1:13" s="10" customFormat="1" x14ac:dyDescent="0.25">
      <c r="A160" s="29"/>
      <c r="B160" s="239" t="s">
        <v>74</v>
      </c>
      <c r="C160" s="444">
        <v>656</v>
      </c>
      <c r="D160" s="416">
        <v>4</v>
      </c>
      <c r="E160" s="416">
        <v>12</v>
      </c>
      <c r="F160" s="353" t="s">
        <v>351</v>
      </c>
      <c r="G160" s="354">
        <v>500</v>
      </c>
      <c r="H160" s="268">
        <f>H161</f>
        <v>500000</v>
      </c>
      <c r="I160" s="269">
        <v>0</v>
      </c>
      <c r="J160" s="268">
        <f>J161</f>
        <v>0</v>
      </c>
      <c r="K160" s="269">
        <v>0</v>
      </c>
      <c r="L160" s="268">
        <f>L161</f>
        <v>0</v>
      </c>
      <c r="M160" s="269">
        <v>0</v>
      </c>
    </row>
    <row r="161" spans="1:13" s="10" customFormat="1" ht="13.8" thickBot="1" x14ac:dyDescent="0.3">
      <c r="A161" s="29"/>
      <c r="B161" s="239" t="s">
        <v>63</v>
      </c>
      <c r="C161" s="444">
        <v>656</v>
      </c>
      <c r="D161" s="416">
        <v>4</v>
      </c>
      <c r="E161" s="416">
        <v>12</v>
      </c>
      <c r="F161" s="388" t="s">
        <v>351</v>
      </c>
      <c r="G161" s="354">
        <v>540</v>
      </c>
      <c r="H161" s="268">
        <f>'по нов.7'!R225</f>
        <v>500000</v>
      </c>
      <c r="I161" s="269">
        <v>0</v>
      </c>
      <c r="J161" s="268">
        <f>'по нов.7'!W225</f>
        <v>0</v>
      </c>
      <c r="K161" s="269">
        <v>0</v>
      </c>
      <c r="L161" s="268">
        <f>'по нов.7'!X225</f>
        <v>0</v>
      </c>
      <c r="M161" s="269">
        <v>0</v>
      </c>
    </row>
    <row r="162" spans="1:13" s="10" customFormat="1" ht="13.8" thickBot="1" x14ac:dyDescent="0.3">
      <c r="A162" s="29"/>
      <c r="B162" s="158" t="s">
        <v>19</v>
      </c>
      <c r="C162" s="439">
        <v>656</v>
      </c>
      <c r="D162" s="398">
        <v>5</v>
      </c>
      <c r="E162" s="398">
        <v>0</v>
      </c>
      <c r="F162" s="399" t="s">
        <v>122</v>
      </c>
      <c r="G162" s="373">
        <v>0</v>
      </c>
      <c r="H162" s="264">
        <f t="shared" ref="H162:M162" si="12">H163+H178+H195</f>
        <v>30546459.710000001</v>
      </c>
      <c r="I162" s="265">
        <f t="shared" si="12"/>
        <v>0</v>
      </c>
      <c r="J162" s="264">
        <f t="shared" si="12"/>
        <v>3785310</v>
      </c>
      <c r="K162" s="265">
        <f t="shared" si="12"/>
        <v>0</v>
      </c>
      <c r="L162" s="264">
        <f t="shared" si="12"/>
        <v>3943720</v>
      </c>
      <c r="M162" s="265">
        <f t="shared" si="12"/>
        <v>0</v>
      </c>
    </row>
    <row r="163" spans="1:13" s="36" customFormat="1" ht="13.8" thickBot="1" x14ac:dyDescent="0.3">
      <c r="A163" s="34"/>
      <c r="B163" s="163" t="s">
        <v>50</v>
      </c>
      <c r="C163" s="439">
        <v>656</v>
      </c>
      <c r="D163" s="422">
        <v>5</v>
      </c>
      <c r="E163" s="422">
        <v>1</v>
      </c>
      <c r="F163" s="399" t="s">
        <v>122</v>
      </c>
      <c r="G163" s="423">
        <v>0</v>
      </c>
      <c r="H163" s="266">
        <f>H166+H168+H175</f>
        <v>17773681.68</v>
      </c>
      <c r="I163" s="267">
        <v>0</v>
      </c>
      <c r="J163" s="266">
        <f>J166+J168+J175</f>
        <v>3785310</v>
      </c>
      <c r="K163" s="267">
        <v>0</v>
      </c>
      <c r="L163" s="266">
        <f>L166+L168+L175</f>
        <v>3943720</v>
      </c>
      <c r="M163" s="267">
        <v>0</v>
      </c>
    </row>
    <row r="164" spans="1:13" s="36" customFormat="1" ht="36" x14ac:dyDescent="0.25">
      <c r="A164" s="34"/>
      <c r="B164" s="156" t="s">
        <v>433</v>
      </c>
      <c r="C164" s="444">
        <v>656</v>
      </c>
      <c r="D164" s="416">
        <v>5</v>
      </c>
      <c r="E164" s="416">
        <v>1</v>
      </c>
      <c r="F164" s="353" t="s">
        <v>117</v>
      </c>
      <c r="G164" s="361">
        <v>0</v>
      </c>
      <c r="H164" s="278">
        <f>H165</f>
        <v>3633270</v>
      </c>
      <c r="I164" s="279">
        <v>0</v>
      </c>
      <c r="J164" s="278">
        <f>J165</f>
        <v>3785310</v>
      </c>
      <c r="K164" s="279">
        <v>0</v>
      </c>
      <c r="L164" s="278">
        <f>L165</f>
        <v>3943720</v>
      </c>
      <c r="M164" s="279">
        <v>0</v>
      </c>
    </row>
    <row r="165" spans="1:13" s="36" customFormat="1" ht="72" x14ac:dyDescent="0.25">
      <c r="A165" s="34"/>
      <c r="B165" s="164" t="s">
        <v>503</v>
      </c>
      <c r="C165" s="444">
        <v>656</v>
      </c>
      <c r="D165" s="416">
        <v>5</v>
      </c>
      <c r="E165" s="416">
        <v>1</v>
      </c>
      <c r="F165" s="353" t="s">
        <v>129</v>
      </c>
      <c r="G165" s="361">
        <v>0</v>
      </c>
      <c r="H165" s="278">
        <f>H166</f>
        <v>3633270</v>
      </c>
      <c r="I165" s="279"/>
      <c r="J165" s="278">
        <f>J166</f>
        <v>3785310</v>
      </c>
      <c r="K165" s="279"/>
      <c r="L165" s="278">
        <f>L166</f>
        <v>3943720</v>
      </c>
      <c r="M165" s="279"/>
    </row>
    <row r="166" spans="1:13" s="10" customFormat="1" x14ac:dyDescent="0.25">
      <c r="A166" s="29"/>
      <c r="B166" s="151" t="s">
        <v>78</v>
      </c>
      <c r="C166" s="444">
        <v>656</v>
      </c>
      <c r="D166" s="416">
        <v>5</v>
      </c>
      <c r="E166" s="416">
        <v>1</v>
      </c>
      <c r="F166" s="353" t="s">
        <v>129</v>
      </c>
      <c r="G166" s="354">
        <v>800</v>
      </c>
      <c r="H166" s="268">
        <f>H167</f>
        <v>3633270</v>
      </c>
      <c r="I166" s="269">
        <v>0</v>
      </c>
      <c r="J166" s="268">
        <f>J167</f>
        <v>3785310</v>
      </c>
      <c r="K166" s="269">
        <v>0</v>
      </c>
      <c r="L166" s="268">
        <f>L167</f>
        <v>3943720</v>
      </c>
      <c r="M166" s="269">
        <v>0</v>
      </c>
    </row>
    <row r="167" spans="1:13" s="10" customFormat="1" ht="36" x14ac:dyDescent="0.25">
      <c r="A167" s="29"/>
      <c r="B167" s="239" t="s">
        <v>408</v>
      </c>
      <c r="C167" s="444">
        <v>656</v>
      </c>
      <c r="D167" s="416">
        <v>5</v>
      </c>
      <c r="E167" s="416">
        <v>1</v>
      </c>
      <c r="F167" s="353" t="s">
        <v>129</v>
      </c>
      <c r="G167" s="354">
        <v>810</v>
      </c>
      <c r="H167" s="268">
        <f>'по нов.7'!R182</f>
        <v>3633270</v>
      </c>
      <c r="I167" s="269">
        <v>0</v>
      </c>
      <c r="J167" s="268">
        <f>'по нов.7'!W182</f>
        <v>3785310</v>
      </c>
      <c r="K167" s="269">
        <v>0</v>
      </c>
      <c r="L167" s="268">
        <f>'по нов.7'!X182</f>
        <v>3943720</v>
      </c>
      <c r="M167" s="269">
        <v>0</v>
      </c>
    </row>
    <row r="168" spans="1:13" s="10" customFormat="1" ht="60" x14ac:dyDescent="0.25">
      <c r="A168" s="29"/>
      <c r="B168" s="162" t="s">
        <v>432</v>
      </c>
      <c r="C168" s="444">
        <v>656</v>
      </c>
      <c r="D168" s="416">
        <v>5</v>
      </c>
      <c r="E168" s="416">
        <v>1</v>
      </c>
      <c r="F168" s="353" t="s">
        <v>125</v>
      </c>
      <c r="G168" s="354">
        <v>0</v>
      </c>
      <c r="H168" s="268">
        <f>H171</f>
        <v>397000</v>
      </c>
      <c r="I168" s="269">
        <v>0</v>
      </c>
      <c r="J168" s="268">
        <f>J171</f>
        <v>0</v>
      </c>
      <c r="K168" s="269">
        <v>0</v>
      </c>
      <c r="L168" s="268">
        <f>L171</f>
        <v>0</v>
      </c>
      <c r="M168" s="269">
        <v>0</v>
      </c>
    </row>
    <row r="169" spans="1:13" s="10" customFormat="1" ht="60" x14ac:dyDescent="0.25">
      <c r="A169" s="29"/>
      <c r="B169" s="239" t="s">
        <v>505</v>
      </c>
      <c r="C169" s="444">
        <v>656</v>
      </c>
      <c r="D169" s="416">
        <v>5</v>
      </c>
      <c r="E169" s="416">
        <v>1</v>
      </c>
      <c r="F169" s="353" t="s">
        <v>120</v>
      </c>
      <c r="G169" s="354">
        <v>0</v>
      </c>
      <c r="H169" s="268">
        <f>H170</f>
        <v>397000</v>
      </c>
      <c r="I169" s="269">
        <v>0</v>
      </c>
      <c r="J169" s="268">
        <f>J170</f>
        <v>0</v>
      </c>
      <c r="K169" s="269">
        <v>0</v>
      </c>
      <c r="L169" s="268">
        <f>L170</f>
        <v>0</v>
      </c>
      <c r="M169" s="269">
        <v>0</v>
      </c>
    </row>
    <row r="170" spans="1:13" s="10" customFormat="1" ht="24" x14ac:dyDescent="0.25">
      <c r="A170" s="29"/>
      <c r="B170" s="151" t="s">
        <v>128</v>
      </c>
      <c r="C170" s="444">
        <v>656</v>
      </c>
      <c r="D170" s="416">
        <v>5</v>
      </c>
      <c r="E170" s="416">
        <v>1</v>
      </c>
      <c r="F170" s="353" t="s">
        <v>120</v>
      </c>
      <c r="G170" s="354">
        <v>200</v>
      </c>
      <c r="H170" s="268">
        <f>H171</f>
        <v>397000</v>
      </c>
      <c r="I170" s="269">
        <v>0</v>
      </c>
      <c r="J170" s="268">
        <f>J171</f>
        <v>0</v>
      </c>
      <c r="K170" s="269">
        <v>0</v>
      </c>
      <c r="L170" s="268">
        <f>L171</f>
        <v>0</v>
      </c>
      <c r="M170" s="269">
        <v>0</v>
      </c>
    </row>
    <row r="171" spans="1:13" s="10" customFormat="1" ht="36" x14ac:dyDescent="0.25">
      <c r="A171" s="29"/>
      <c r="B171" s="229" t="s">
        <v>506</v>
      </c>
      <c r="C171" s="444">
        <v>656</v>
      </c>
      <c r="D171" s="416">
        <v>5</v>
      </c>
      <c r="E171" s="416">
        <v>1</v>
      </c>
      <c r="F171" s="353" t="s">
        <v>120</v>
      </c>
      <c r="G171" s="354">
        <v>244</v>
      </c>
      <c r="H171" s="268">
        <f>'по нов.7'!R232</f>
        <v>397000</v>
      </c>
      <c r="I171" s="269">
        <v>0</v>
      </c>
      <c r="J171" s="268">
        <f>'по нов.7'!W232</f>
        <v>0</v>
      </c>
      <c r="K171" s="269">
        <v>0</v>
      </c>
      <c r="L171" s="268">
        <f>'по нов.7'!X232</f>
        <v>0</v>
      </c>
      <c r="M171" s="269">
        <v>0</v>
      </c>
    </row>
    <row r="172" spans="1:13" s="33" customFormat="1" ht="13.8" hidden="1" x14ac:dyDescent="0.3">
      <c r="A172" s="31"/>
      <c r="B172" s="239"/>
      <c r="C172" s="448"/>
      <c r="D172" s="416"/>
      <c r="E172" s="416"/>
      <c r="F172" s="353"/>
      <c r="G172" s="354"/>
      <c r="H172" s="268"/>
      <c r="I172" s="280"/>
      <c r="J172" s="268"/>
      <c r="K172" s="280"/>
      <c r="L172" s="268"/>
      <c r="M172" s="280"/>
    </row>
    <row r="173" spans="1:13" s="33" customFormat="1" ht="13.8" hidden="1" x14ac:dyDescent="0.3">
      <c r="A173" s="31"/>
      <c r="B173" s="239"/>
      <c r="C173" s="448"/>
      <c r="D173" s="416"/>
      <c r="E173" s="416"/>
      <c r="F173" s="353"/>
      <c r="G173" s="354"/>
      <c r="H173" s="268"/>
      <c r="I173" s="280"/>
      <c r="J173" s="268"/>
      <c r="K173" s="280"/>
      <c r="L173" s="268"/>
      <c r="M173" s="280"/>
    </row>
    <row r="174" spans="1:13" s="10" customFormat="1" ht="60" x14ac:dyDescent="0.25">
      <c r="A174" s="29"/>
      <c r="B174" s="162" t="s">
        <v>585</v>
      </c>
      <c r="C174" s="444">
        <v>656</v>
      </c>
      <c r="D174" s="416">
        <v>5</v>
      </c>
      <c r="E174" s="416">
        <v>1</v>
      </c>
      <c r="F174" s="353" t="s">
        <v>123</v>
      </c>
      <c r="G174" s="354">
        <v>0</v>
      </c>
      <c r="H174" s="268">
        <f>H177+H184</f>
        <v>13743411.68</v>
      </c>
      <c r="I174" s="269">
        <v>0</v>
      </c>
      <c r="J174" s="268">
        <f>J177+J184</f>
        <v>0</v>
      </c>
      <c r="K174" s="269">
        <v>0</v>
      </c>
      <c r="L174" s="268">
        <f>L177+L184</f>
        <v>0</v>
      </c>
      <c r="M174" s="269">
        <v>0</v>
      </c>
    </row>
    <row r="175" spans="1:13" s="10" customFormat="1" ht="132" x14ac:dyDescent="0.25">
      <c r="A175" s="29"/>
      <c r="B175" s="162" t="s">
        <v>578</v>
      </c>
      <c r="C175" s="444">
        <v>656</v>
      </c>
      <c r="D175" s="416">
        <v>5</v>
      </c>
      <c r="E175" s="416">
        <v>1</v>
      </c>
      <c r="F175" s="353" t="s">
        <v>351</v>
      </c>
      <c r="G175" s="354">
        <v>0</v>
      </c>
      <c r="H175" s="268">
        <f>H176</f>
        <v>13743411.68</v>
      </c>
      <c r="I175" s="269">
        <v>0</v>
      </c>
      <c r="J175" s="268">
        <f>J176</f>
        <v>0</v>
      </c>
      <c r="K175" s="269">
        <v>0</v>
      </c>
      <c r="L175" s="268">
        <f>L176</f>
        <v>0</v>
      </c>
      <c r="M175" s="269">
        <v>0</v>
      </c>
    </row>
    <row r="176" spans="1:13" s="10" customFormat="1" x14ac:dyDescent="0.25">
      <c r="A176" s="29"/>
      <c r="B176" s="239" t="s">
        <v>74</v>
      </c>
      <c r="C176" s="444">
        <v>656</v>
      </c>
      <c r="D176" s="416">
        <v>5</v>
      </c>
      <c r="E176" s="416">
        <v>1</v>
      </c>
      <c r="F176" s="353" t="s">
        <v>351</v>
      </c>
      <c r="G176" s="354">
        <v>500</v>
      </c>
      <c r="H176" s="268">
        <f>H177</f>
        <v>13743411.68</v>
      </c>
      <c r="I176" s="269">
        <v>0</v>
      </c>
      <c r="J176" s="268">
        <f>J177</f>
        <v>0</v>
      </c>
      <c r="K176" s="269">
        <v>0</v>
      </c>
      <c r="L176" s="268">
        <f>L177</f>
        <v>0</v>
      </c>
      <c r="M176" s="269">
        <v>0</v>
      </c>
    </row>
    <row r="177" spans="1:13" s="10" customFormat="1" ht="13.8" thickBot="1" x14ac:dyDescent="0.3">
      <c r="A177" s="29"/>
      <c r="B177" s="239" t="s">
        <v>63</v>
      </c>
      <c r="C177" s="444">
        <v>656</v>
      </c>
      <c r="D177" s="416">
        <v>5</v>
      </c>
      <c r="E177" s="416">
        <v>1</v>
      </c>
      <c r="F177" s="353" t="s">
        <v>351</v>
      </c>
      <c r="G177" s="354">
        <v>540</v>
      </c>
      <c r="H177" s="268">
        <f>'по нов.7'!R219</f>
        <v>13743411.68</v>
      </c>
      <c r="I177" s="269">
        <v>0</v>
      </c>
      <c r="J177" s="268">
        <f>'по нов.7'!T219</f>
        <v>0</v>
      </c>
      <c r="K177" s="269">
        <v>0</v>
      </c>
      <c r="L177" s="268">
        <f>'по нов.7'!V219</f>
        <v>0</v>
      </c>
      <c r="M177" s="269">
        <v>0</v>
      </c>
    </row>
    <row r="178" spans="1:13" s="36" customFormat="1" ht="13.8" thickBot="1" x14ac:dyDescent="0.3">
      <c r="A178" s="34"/>
      <c r="B178" s="159" t="s">
        <v>57</v>
      </c>
      <c r="C178" s="439">
        <v>656</v>
      </c>
      <c r="D178" s="417">
        <v>5</v>
      </c>
      <c r="E178" s="417">
        <v>2</v>
      </c>
      <c r="F178" s="399" t="s">
        <v>122</v>
      </c>
      <c r="G178" s="418">
        <v>0</v>
      </c>
      <c r="H178" s="271">
        <f>H179</f>
        <v>10637920</v>
      </c>
      <c r="I178" s="272">
        <v>0</v>
      </c>
      <c r="J178" s="271">
        <f>J179</f>
        <v>0</v>
      </c>
      <c r="K178" s="272">
        <v>0</v>
      </c>
      <c r="L178" s="271">
        <f>L179</f>
        <v>0</v>
      </c>
      <c r="M178" s="272">
        <v>0</v>
      </c>
    </row>
    <row r="179" spans="1:13" s="10" customFormat="1" ht="60" x14ac:dyDescent="0.25">
      <c r="A179" s="29"/>
      <c r="B179" s="162" t="s">
        <v>434</v>
      </c>
      <c r="C179" s="444">
        <v>656</v>
      </c>
      <c r="D179" s="416">
        <v>5</v>
      </c>
      <c r="E179" s="416">
        <v>2</v>
      </c>
      <c r="F179" s="353" t="s">
        <v>123</v>
      </c>
      <c r="G179" s="354">
        <v>0</v>
      </c>
      <c r="H179" s="268">
        <f>H180+H192+H189</f>
        <v>10637920</v>
      </c>
      <c r="I179" s="269">
        <v>0</v>
      </c>
      <c r="J179" s="268">
        <f>J180+J192+J189</f>
        <v>0</v>
      </c>
      <c r="K179" s="269">
        <v>0</v>
      </c>
      <c r="L179" s="268">
        <f>L180+L192+L189</f>
        <v>0</v>
      </c>
      <c r="M179" s="269">
        <v>0</v>
      </c>
    </row>
    <row r="180" spans="1:13" s="10" customFormat="1" ht="132" x14ac:dyDescent="0.25">
      <c r="A180" s="29"/>
      <c r="B180" s="86" t="s">
        <v>524</v>
      </c>
      <c r="C180" s="444">
        <v>656</v>
      </c>
      <c r="D180" s="416">
        <v>5</v>
      </c>
      <c r="E180" s="416">
        <v>2</v>
      </c>
      <c r="F180" s="353" t="s">
        <v>119</v>
      </c>
      <c r="G180" s="354">
        <v>0</v>
      </c>
      <c r="H180" s="268">
        <f>H181</f>
        <v>10637920</v>
      </c>
      <c r="I180" s="269">
        <v>0</v>
      </c>
      <c r="J180" s="268">
        <f>J181</f>
        <v>0</v>
      </c>
      <c r="K180" s="269">
        <v>0</v>
      </c>
      <c r="L180" s="268">
        <f>L181</f>
        <v>0</v>
      </c>
      <c r="M180" s="269">
        <v>0</v>
      </c>
    </row>
    <row r="181" spans="1:13" s="10" customFormat="1" x14ac:dyDescent="0.25">
      <c r="A181" s="29"/>
      <c r="B181" s="239" t="s">
        <v>74</v>
      </c>
      <c r="C181" s="444">
        <v>656</v>
      </c>
      <c r="D181" s="416">
        <v>5</v>
      </c>
      <c r="E181" s="416">
        <v>2</v>
      </c>
      <c r="F181" s="353" t="s">
        <v>119</v>
      </c>
      <c r="G181" s="354">
        <v>500</v>
      </c>
      <c r="H181" s="268">
        <f>H182</f>
        <v>10637920</v>
      </c>
      <c r="I181" s="269">
        <v>0</v>
      </c>
      <c r="J181" s="268">
        <f>J182</f>
        <v>0</v>
      </c>
      <c r="K181" s="269">
        <v>0</v>
      </c>
      <c r="L181" s="268">
        <f>L182</f>
        <v>0</v>
      </c>
      <c r="M181" s="269">
        <v>0</v>
      </c>
    </row>
    <row r="182" spans="1:13" s="10" customFormat="1" ht="13.8" thickBot="1" x14ac:dyDescent="0.3">
      <c r="A182" s="29"/>
      <c r="B182" s="239" t="s">
        <v>63</v>
      </c>
      <c r="C182" s="444">
        <v>656</v>
      </c>
      <c r="D182" s="416">
        <v>5</v>
      </c>
      <c r="E182" s="416">
        <v>2</v>
      </c>
      <c r="F182" s="353" t="s">
        <v>119</v>
      </c>
      <c r="G182" s="354">
        <v>540</v>
      </c>
      <c r="H182" s="268">
        <f>'по нов.7'!R210</f>
        <v>10637920</v>
      </c>
      <c r="I182" s="269">
        <v>0</v>
      </c>
      <c r="J182" s="268">
        <f>'по нов.7'!W210</f>
        <v>0</v>
      </c>
      <c r="K182" s="269">
        <v>0</v>
      </c>
      <c r="L182" s="268">
        <f>'по нов.7'!X210</f>
        <v>0</v>
      </c>
      <c r="M182" s="269">
        <v>0</v>
      </c>
    </row>
    <row r="183" spans="1:13" s="10" customFormat="1" hidden="1" x14ac:dyDescent="0.25">
      <c r="A183" s="29"/>
      <c r="B183" s="239"/>
      <c r="C183" s="441"/>
      <c r="D183" s="416"/>
      <c r="E183" s="416"/>
      <c r="F183" s="353"/>
      <c r="G183" s="354"/>
      <c r="H183" s="268"/>
      <c r="I183" s="269"/>
      <c r="J183" s="268"/>
      <c r="K183" s="269"/>
      <c r="L183" s="268"/>
      <c r="M183" s="269"/>
    </row>
    <row r="184" spans="1:13" s="10" customFormat="1" hidden="1" x14ac:dyDescent="0.25">
      <c r="A184" s="29"/>
      <c r="B184" s="239"/>
      <c r="C184" s="441"/>
      <c r="D184" s="416"/>
      <c r="E184" s="416"/>
      <c r="F184" s="353"/>
      <c r="G184" s="354"/>
      <c r="H184" s="268"/>
      <c r="I184" s="269"/>
      <c r="J184" s="268"/>
      <c r="K184" s="269"/>
      <c r="L184" s="268"/>
      <c r="M184" s="269"/>
    </row>
    <row r="185" spans="1:13" s="10" customFormat="1" hidden="1" x14ac:dyDescent="0.25">
      <c r="A185" s="29"/>
      <c r="B185" s="239"/>
      <c r="C185" s="441"/>
      <c r="D185" s="416"/>
      <c r="E185" s="416"/>
      <c r="F185" s="353"/>
      <c r="G185" s="354"/>
      <c r="H185" s="268"/>
      <c r="I185" s="269"/>
      <c r="J185" s="268"/>
      <c r="K185" s="269"/>
      <c r="L185" s="268"/>
      <c r="M185" s="269"/>
    </row>
    <row r="186" spans="1:13" s="10" customFormat="1" hidden="1" x14ac:dyDescent="0.25">
      <c r="A186" s="29"/>
      <c r="B186" s="239"/>
      <c r="C186" s="441"/>
      <c r="D186" s="416"/>
      <c r="E186" s="416"/>
      <c r="F186" s="353"/>
      <c r="G186" s="354"/>
      <c r="H186" s="268"/>
      <c r="I186" s="269"/>
      <c r="J186" s="268"/>
      <c r="K186" s="269"/>
      <c r="L186" s="268"/>
      <c r="M186" s="269"/>
    </row>
    <row r="187" spans="1:13" s="10" customFormat="1" hidden="1" x14ac:dyDescent="0.25">
      <c r="A187" s="29"/>
      <c r="B187" s="239"/>
      <c r="C187" s="441"/>
      <c r="D187" s="416"/>
      <c r="E187" s="416"/>
      <c r="F187" s="353"/>
      <c r="G187" s="354"/>
      <c r="H187" s="268"/>
      <c r="I187" s="269"/>
      <c r="J187" s="268"/>
      <c r="K187" s="269"/>
      <c r="L187" s="268"/>
      <c r="M187" s="269"/>
    </row>
    <row r="188" spans="1:13" s="10" customFormat="1" hidden="1" x14ac:dyDescent="0.25">
      <c r="A188" s="29"/>
      <c r="B188" s="239"/>
      <c r="C188" s="441"/>
      <c r="D188" s="416"/>
      <c r="E188" s="416"/>
      <c r="F188" s="353"/>
      <c r="G188" s="354"/>
      <c r="H188" s="268"/>
      <c r="I188" s="269"/>
      <c r="J188" s="268"/>
      <c r="K188" s="269"/>
      <c r="L188" s="268"/>
      <c r="M188" s="269"/>
    </row>
    <row r="189" spans="1:13" s="10" customFormat="1" ht="132" hidden="1" x14ac:dyDescent="0.25">
      <c r="A189" s="29"/>
      <c r="B189" s="162" t="s">
        <v>584</v>
      </c>
      <c r="C189" s="444">
        <v>656</v>
      </c>
      <c r="D189" s="416">
        <v>5</v>
      </c>
      <c r="E189" s="416">
        <v>2</v>
      </c>
      <c r="F189" s="353" t="s">
        <v>119</v>
      </c>
      <c r="G189" s="354">
        <v>0</v>
      </c>
      <c r="H189" s="268">
        <f>H190</f>
        <v>0</v>
      </c>
      <c r="I189" s="269">
        <v>0</v>
      </c>
      <c r="J189" s="268">
        <f>J190</f>
        <v>0</v>
      </c>
      <c r="K189" s="269">
        <v>0</v>
      </c>
      <c r="L189" s="268">
        <f>L190</f>
        <v>0</v>
      </c>
      <c r="M189" s="269">
        <v>0</v>
      </c>
    </row>
    <row r="190" spans="1:13" s="10" customFormat="1" hidden="1" x14ac:dyDescent="0.25">
      <c r="A190" s="29"/>
      <c r="B190" s="239" t="s">
        <v>74</v>
      </c>
      <c r="C190" s="444">
        <v>656</v>
      </c>
      <c r="D190" s="416">
        <v>5</v>
      </c>
      <c r="E190" s="416">
        <v>2</v>
      </c>
      <c r="F190" s="353" t="s">
        <v>119</v>
      </c>
      <c r="G190" s="354">
        <v>500</v>
      </c>
      <c r="H190" s="268">
        <f>H191</f>
        <v>0</v>
      </c>
      <c r="I190" s="269">
        <v>0</v>
      </c>
      <c r="J190" s="268">
        <f>J191</f>
        <v>0</v>
      </c>
      <c r="K190" s="269">
        <v>0</v>
      </c>
      <c r="L190" s="268">
        <f>L191</f>
        <v>0</v>
      </c>
      <c r="M190" s="269">
        <v>0</v>
      </c>
    </row>
    <row r="191" spans="1:13" s="10" customFormat="1" hidden="1" x14ac:dyDescent="0.25">
      <c r="A191" s="29"/>
      <c r="B191" s="239" t="s">
        <v>63</v>
      </c>
      <c r="C191" s="444">
        <v>656</v>
      </c>
      <c r="D191" s="416">
        <v>5</v>
      </c>
      <c r="E191" s="416">
        <v>2</v>
      </c>
      <c r="F191" s="353" t="s">
        <v>119</v>
      </c>
      <c r="G191" s="354">
        <v>540</v>
      </c>
      <c r="H191" s="268"/>
      <c r="I191" s="269">
        <v>0</v>
      </c>
      <c r="J191" s="268">
        <f>'по нов.7'!T222</f>
        <v>0</v>
      </c>
      <c r="K191" s="269">
        <v>0</v>
      </c>
      <c r="L191" s="268">
        <f>'по нов.7'!V222</f>
        <v>0</v>
      </c>
      <c r="M191" s="269">
        <v>0</v>
      </c>
    </row>
    <row r="192" spans="1:13" s="10" customFormat="1" ht="120" hidden="1" x14ac:dyDescent="0.25">
      <c r="A192" s="29"/>
      <c r="B192" s="162" t="s">
        <v>354</v>
      </c>
      <c r="C192" s="444">
        <v>656</v>
      </c>
      <c r="D192" s="416">
        <v>5</v>
      </c>
      <c r="E192" s="416">
        <v>2</v>
      </c>
      <c r="F192" s="353" t="s">
        <v>351</v>
      </c>
      <c r="G192" s="354">
        <v>0</v>
      </c>
      <c r="H192" s="268">
        <f>H193</f>
        <v>0</v>
      </c>
      <c r="I192" s="269">
        <v>0</v>
      </c>
      <c r="J192" s="268">
        <f>J193</f>
        <v>0</v>
      </c>
      <c r="K192" s="269">
        <v>0</v>
      </c>
      <c r="L192" s="268">
        <f>L193</f>
        <v>0</v>
      </c>
      <c r="M192" s="269">
        <v>0</v>
      </c>
    </row>
    <row r="193" spans="1:13" s="10" customFormat="1" hidden="1" x14ac:dyDescent="0.25">
      <c r="A193" s="29"/>
      <c r="B193" s="239" t="s">
        <v>74</v>
      </c>
      <c r="C193" s="444">
        <v>656</v>
      </c>
      <c r="D193" s="416">
        <v>5</v>
      </c>
      <c r="E193" s="416">
        <v>2</v>
      </c>
      <c r="F193" s="353" t="s">
        <v>351</v>
      </c>
      <c r="G193" s="354">
        <v>500</v>
      </c>
      <c r="H193" s="268">
        <f>H194</f>
        <v>0</v>
      </c>
      <c r="I193" s="269">
        <v>0</v>
      </c>
      <c r="J193" s="268">
        <f>J194</f>
        <v>0</v>
      </c>
      <c r="K193" s="269">
        <v>0</v>
      </c>
      <c r="L193" s="268">
        <f>L194</f>
        <v>0</v>
      </c>
      <c r="M193" s="269">
        <v>0</v>
      </c>
    </row>
    <row r="194" spans="1:13" s="10" customFormat="1" ht="13.8" hidden="1" thickBot="1" x14ac:dyDescent="0.3">
      <c r="A194" s="29"/>
      <c r="B194" s="239" t="s">
        <v>63</v>
      </c>
      <c r="C194" s="444">
        <v>656</v>
      </c>
      <c r="D194" s="416">
        <v>5</v>
      </c>
      <c r="E194" s="416">
        <v>2</v>
      </c>
      <c r="F194" s="353" t="s">
        <v>351</v>
      </c>
      <c r="G194" s="354">
        <v>540</v>
      </c>
      <c r="H194" s="268">
        <v>0</v>
      </c>
      <c r="I194" s="269">
        <v>0</v>
      </c>
      <c r="J194" s="268">
        <v>0</v>
      </c>
      <c r="K194" s="269">
        <v>0</v>
      </c>
      <c r="L194" s="268">
        <v>0</v>
      </c>
      <c r="M194" s="269">
        <v>0</v>
      </c>
    </row>
    <row r="195" spans="1:13" s="36" customFormat="1" ht="13.8" thickBot="1" x14ac:dyDescent="0.3">
      <c r="A195" s="34"/>
      <c r="B195" s="165" t="s">
        <v>39</v>
      </c>
      <c r="C195" s="439">
        <v>656</v>
      </c>
      <c r="D195" s="405">
        <v>5</v>
      </c>
      <c r="E195" s="405">
        <v>3</v>
      </c>
      <c r="F195" s="399" t="s">
        <v>122</v>
      </c>
      <c r="G195" s="346">
        <v>0</v>
      </c>
      <c r="H195" s="271">
        <f>H196+H204+H208+H211+H214+H218</f>
        <v>2134858.0300000003</v>
      </c>
      <c r="I195" s="271">
        <f t="shared" ref="I195:M195" si="13">I196+I204+I208+I211+I214+I218</f>
        <v>0</v>
      </c>
      <c r="J195" s="271">
        <f t="shared" si="13"/>
        <v>0</v>
      </c>
      <c r="K195" s="271">
        <f t="shared" si="13"/>
        <v>0</v>
      </c>
      <c r="L195" s="271">
        <f t="shared" si="13"/>
        <v>0</v>
      </c>
      <c r="M195" s="271">
        <f t="shared" si="13"/>
        <v>0</v>
      </c>
    </row>
    <row r="196" spans="1:13" s="10" customFormat="1" ht="36" x14ac:dyDescent="0.25">
      <c r="A196" s="29"/>
      <c r="B196" s="239" t="s">
        <v>433</v>
      </c>
      <c r="C196" s="444">
        <v>656</v>
      </c>
      <c r="D196" s="416">
        <v>5</v>
      </c>
      <c r="E196" s="416">
        <v>3</v>
      </c>
      <c r="F196" s="353" t="s">
        <v>117</v>
      </c>
      <c r="G196" s="354">
        <v>0</v>
      </c>
      <c r="H196" s="268">
        <f>H199</f>
        <v>759165</v>
      </c>
      <c r="I196" s="269">
        <v>0</v>
      </c>
      <c r="J196" s="268">
        <f>J199</f>
        <v>0</v>
      </c>
      <c r="K196" s="269">
        <v>0</v>
      </c>
      <c r="L196" s="268">
        <f>L199</f>
        <v>0</v>
      </c>
      <c r="M196" s="269">
        <v>0</v>
      </c>
    </row>
    <row r="197" spans="1:13" s="10" customFormat="1" ht="48" x14ac:dyDescent="0.25">
      <c r="A197" s="29"/>
      <c r="B197" s="239" t="s">
        <v>495</v>
      </c>
      <c r="C197" s="444">
        <v>656</v>
      </c>
      <c r="D197" s="402">
        <v>5</v>
      </c>
      <c r="E197" s="402">
        <v>3</v>
      </c>
      <c r="F197" s="353" t="s">
        <v>130</v>
      </c>
      <c r="G197" s="354">
        <v>0</v>
      </c>
      <c r="H197" s="268">
        <f>H198</f>
        <v>759165</v>
      </c>
      <c r="I197" s="269">
        <v>0</v>
      </c>
      <c r="J197" s="268">
        <f>J198</f>
        <v>0</v>
      </c>
      <c r="K197" s="269">
        <v>0</v>
      </c>
      <c r="L197" s="268">
        <f>L198</f>
        <v>0</v>
      </c>
      <c r="M197" s="269">
        <v>0</v>
      </c>
    </row>
    <row r="198" spans="1:13" s="10" customFormat="1" ht="24" x14ac:dyDescent="0.25">
      <c r="A198" s="29"/>
      <c r="B198" s="151" t="s">
        <v>128</v>
      </c>
      <c r="C198" s="444">
        <v>656</v>
      </c>
      <c r="D198" s="402">
        <v>5</v>
      </c>
      <c r="E198" s="402">
        <v>3</v>
      </c>
      <c r="F198" s="353" t="s">
        <v>130</v>
      </c>
      <c r="G198" s="354">
        <v>200</v>
      </c>
      <c r="H198" s="268">
        <f>H199</f>
        <v>759165</v>
      </c>
      <c r="I198" s="269">
        <v>0</v>
      </c>
      <c r="J198" s="268">
        <f>J199</f>
        <v>0</v>
      </c>
      <c r="K198" s="269">
        <v>0</v>
      </c>
      <c r="L198" s="268">
        <f>L199</f>
        <v>0</v>
      </c>
      <c r="M198" s="269">
        <v>0</v>
      </c>
    </row>
    <row r="199" spans="1:13" s="10" customFormat="1" ht="36" x14ac:dyDescent="0.25">
      <c r="A199" s="29"/>
      <c r="B199" s="229" t="s">
        <v>506</v>
      </c>
      <c r="C199" s="444">
        <v>656</v>
      </c>
      <c r="D199" s="416">
        <v>5</v>
      </c>
      <c r="E199" s="416">
        <v>3</v>
      </c>
      <c r="F199" s="353" t="s">
        <v>130</v>
      </c>
      <c r="G199" s="354">
        <v>244</v>
      </c>
      <c r="H199" s="268">
        <f>'по нов.7'!R185</f>
        <v>759165</v>
      </c>
      <c r="I199" s="269">
        <f>'по нов.7'!R185</f>
        <v>759165</v>
      </c>
      <c r="J199" s="268">
        <f>'по нов.7'!W185</f>
        <v>0</v>
      </c>
      <c r="K199" s="269">
        <f>'по нов.7'!T185</f>
        <v>0</v>
      </c>
      <c r="L199" s="268">
        <f>'по нов.7'!X185</f>
        <v>0</v>
      </c>
      <c r="M199" s="269">
        <f>'по нов.7'!V185</f>
        <v>0</v>
      </c>
    </row>
    <row r="200" spans="1:13" s="33" customFormat="1" ht="13.8" hidden="1" x14ac:dyDescent="0.3">
      <c r="A200" s="31"/>
      <c r="B200" s="239"/>
      <c r="C200" s="444">
        <v>656</v>
      </c>
      <c r="D200" s="416"/>
      <c r="E200" s="416"/>
      <c r="F200" s="353" t="s">
        <v>129</v>
      </c>
      <c r="G200" s="354"/>
      <c r="H200" s="268"/>
      <c r="I200" s="280"/>
      <c r="J200" s="268"/>
      <c r="K200" s="280"/>
      <c r="L200" s="268"/>
      <c r="M200" s="280"/>
    </row>
    <row r="201" spans="1:13" s="33" customFormat="1" ht="13.8" hidden="1" x14ac:dyDescent="0.3">
      <c r="A201" s="31"/>
      <c r="B201" s="239"/>
      <c r="C201" s="444">
        <v>656</v>
      </c>
      <c r="D201" s="416"/>
      <c r="E201" s="416"/>
      <c r="F201" s="353" t="s">
        <v>129</v>
      </c>
      <c r="G201" s="354"/>
      <c r="H201" s="268"/>
      <c r="I201" s="280"/>
      <c r="J201" s="268"/>
      <c r="K201" s="280"/>
      <c r="L201" s="268"/>
      <c r="M201" s="280"/>
    </row>
    <row r="202" spans="1:13" s="33" customFormat="1" ht="13.8" hidden="1" x14ac:dyDescent="0.3">
      <c r="A202" s="31"/>
      <c r="B202" s="239"/>
      <c r="C202" s="444">
        <v>656</v>
      </c>
      <c r="D202" s="416"/>
      <c r="E202" s="416"/>
      <c r="F202" s="353" t="s">
        <v>129</v>
      </c>
      <c r="G202" s="354"/>
      <c r="H202" s="268"/>
      <c r="I202" s="280"/>
      <c r="J202" s="268"/>
      <c r="K202" s="280"/>
      <c r="L202" s="268"/>
      <c r="M202" s="280"/>
    </row>
    <row r="203" spans="1:13" s="33" customFormat="1" ht="13.8" hidden="1" x14ac:dyDescent="0.3">
      <c r="A203" s="31"/>
      <c r="B203" s="239"/>
      <c r="C203" s="444">
        <v>656</v>
      </c>
      <c r="D203" s="416"/>
      <c r="E203" s="416"/>
      <c r="F203" s="353" t="s">
        <v>129</v>
      </c>
      <c r="G203" s="354"/>
      <c r="H203" s="268"/>
      <c r="I203" s="280"/>
      <c r="J203" s="268"/>
      <c r="K203" s="280"/>
      <c r="L203" s="268"/>
      <c r="M203" s="280"/>
    </row>
    <row r="204" spans="1:13" s="10" customFormat="1" ht="48" x14ac:dyDescent="0.25">
      <c r="A204" s="29"/>
      <c r="B204" s="151" t="s">
        <v>521</v>
      </c>
      <c r="C204" s="444">
        <v>656</v>
      </c>
      <c r="D204" s="402">
        <v>5</v>
      </c>
      <c r="E204" s="402">
        <v>3</v>
      </c>
      <c r="F204" s="353" t="s">
        <v>131</v>
      </c>
      <c r="G204" s="387">
        <v>0</v>
      </c>
      <c r="H204" s="268">
        <f>H205</f>
        <v>80664.36</v>
      </c>
      <c r="I204" s="274">
        <v>0</v>
      </c>
      <c r="J204" s="268">
        <f>J205</f>
        <v>0</v>
      </c>
      <c r="K204" s="274">
        <v>0</v>
      </c>
      <c r="L204" s="268">
        <f>L205</f>
        <v>0</v>
      </c>
      <c r="M204" s="274">
        <v>0</v>
      </c>
    </row>
    <row r="205" spans="1:13" s="10" customFormat="1" ht="24" x14ac:dyDescent="0.25">
      <c r="A205" s="29"/>
      <c r="B205" s="151" t="s">
        <v>128</v>
      </c>
      <c r="C205" s="444">
        <v>656</v>
      </c>
      <c r="D205" s="402">
        <v>5</v>
      </c>
      <c r="E205" s="402">
        <v>3</v>
      </c>
      <c r="F205" s="353" t="s">
        <v>131</v>
      </c>
      <c r="G205" s="354">
        <v>200</v>
      </c>
      <c r="H205" s="268">
        <f>H206</f>
        <v>80664.36</v>
      </c>
      <c r="I205" s="274">
        <v>0</v>
      </c>
      <c r="J205" s="268">
        <f>J206</f>
        <v>0</v>
      </c>
      <c r="K205" s="274">
        <v>0</v>
      </c>
      <c r="L205" s="268">
        <f>L206</f>
        <v>0</v>
      </c>
      <c r="M205" s="274">
        <v>0</v>
      </c>
    </row>
    <row r="206" spans="1:13" s="10" customFormat="1" ht="36" x14ac:dyDescent="0.25">
      <c r="A206" s="29"/>
      <c r="B206" s="229" t="s">
        <v>506</v>
      </c>
      <c r="C206" s="444">
        <v>656</v>
      </c>
      <c r="D206" s="407">
        <v>5</v>
      </c>
      <c r="E206" s="407">
        <v>3</v>
      </c>
      <c r="F206" s="353" t="s">
        <v>131</v>
      </c>
      <c r="G206" s="356">
        <v>244</v>
      </c>
      <c r="H206" s="268">
        <f>'по нов.7'!R193</f>
        <v>80664.36</v>
      </c>
      <c r="I206" s="274">
        <v>0</v>
      </c>
      <c r="J206" s="268">
        <f>'по нов.7'!W193</f>
        <v>0</v>
      </c>
      <c r="K206" s="274">
        <v>0</v>
      </c>
      <c r="L206" s="268">
        <f>'по нов.7'!X193</f>
        <v>0</v>
      </c>
      <c r="M206" s="274">
        <v>0</v>
      </c>
    </row>
    <row r="207" spans="1:13" s="10" customFormat="1" hidden="1" x14ac:dyDescent="0.25">
      <c r="A207" s="29"/>
      <c r="B207" s="151"/>
      <c r="C207" s="444">
        <v>656</v>
      </c>
      <c r="D207" s="402"/>
      <c r="E207" s="402"/>
      <c r="F207" s="353" t="s">
        <v>130</v>
      </c>
      <c r="G207" s="348"/>
      <c r="H207" s="268"/>
      <c r="I207" s="269"/>
      <c r="J207" s="268"/>
      <c r="K207" s="269"/>
      <c r="L207" s="268"/>
      <c r="M207" s="269"/>
    </row>
    <row r="208" spans="1:13" s="10" customFormat="1" ht="48" x14ac:dyDescent="0.25">
      <c r="A208" s="29"/>
      <c r="B208" s="151" t="s">
        <v>143</v>
      </c>
      <c r="C208" s="444">
        <v>656</v>
      </c>
      <c r="D208" s="402">
        <v>5</v>
      </c>
      <c r="E208" s="402">
        <v>3</v>
      </c>
      <c r="F208" s="353" t="s">
        <v>133</v>
      </c>
      <c r="G208" s="387">
        <v>0</v>
      </c>
      <c r="H208" s="268">
        <f>H209</f>
        <v>36000</v>
      </c>
      <c r="I208" s="274">
        <v>0</v>
      </c>
      <c r="J208" s="268">
        <f>J209</f>
        <v>0</v>
      </c>
      <c r="K208" s="274">
        <v>0</v>
      </c>
      <c r="L208" s="268">
        <f>L209</f>
        <v>0</v>
      </c>
      <c r="M208" s="274">
        <v>0</v>
      </c>
    </row>
    <row r="209" spans="1:14" s="10" customFormat="1" ht="24" x14ac:dyDescent="0.25">
      <c r="A209" s="29"/>
      <c r="B209" s="151" t="s">
        <v>128</v>
      </c>
      <c r="C209" s="444">
        <v>656</v>
      </c>
      <c r="D209" s="402">
        <v>5</v>
      </c>
      <c r="E209" s="402">
        <v>3</v>
      </c>
      <c r="F209" s="353" t="s">
        <v>133</v>
      </c>
      <c r="G209" s="354">
        <v>200</v>
      </c>
      <c r="H209" s="268">
        <f>H210</f>
        <v>36000</v>
      </c>
      <c r="I209" s="274">
        <v>0</v>
      </c>
      <c r="J209" s="268">
        <f>J210</f>
        <v>0</v>
      </c>
      <c r="K209" s="274">
        <v>0</v>
      </c>
      <c r="L209" s="268">
        <f>L210</f>
        <v>0</v>
      </c>
      <c r="M209" s="274">
        <v>0</v>
      </c>
    </row>
    <row r="210" spans="1:14" s="10" customFormat="1" ht="24" x14ac:dyDescent="0.25">
      <c r="A210" s="29"/>
      <c r="B210" s="239" t="s">
        <v>60</v>
      </c>
      <c r="C210" s="444">
        <v>656</v>
      </c>
      <c r="D210" s="407">
        <v>5</v>
      </c>
      <c r="E210" s="407">
        <v>3</v>
      </c>
      <c r="F210" s="353" t="s">
        <v>133</v>
      </c>
      <c r="G210" s="356">
        <v>244</v>
      </c>
      <c r="H210" s="268">
        <f>'по нов.7'!R196</f>
        <v>36000</v>
      </c>
      <c r="I210" s="274">
        <v>0</v>
      </c>
      <c r="J210" s="268">
        <f>'по нов.7'!T196</f>
        <v>0</v>
      </c>
      <c r="K210" s="274">
        <v>0</v>
      </c>
      <c r="L210" s="268">
        <f>'по нов.7'!V196</f>
        <v>0</v>
      </c>
      <c r="M210" s="274">
        <v>0</v>
      </c>
    </row>
    <row r="211" spans="1:14" s="10" customFormat="1" ht="36" x14ac:dyDescent="0.25">
      <c r="A211" s="29"/>
      <c r="B211" s="151" t="s">
        <v>497</v>
      </c>
      <c r="C211" s="444">
        <v>656</v>
      </c>
      <c r="D211" s="402">
        <v>5</v>
      </c>
      <c r="E211" s="402">
        <v>3</v>
      </c>
      <c r="F211" s="353" t="s">
        <v>349</v>
      </c>
      <c r="G211" s="387">
        <v>0</v>
      </c>
      <c r="H211" s="268">
        <f>H212</f>
        <v>429741.67000000004</v>
      </c>
      <c r="I211" s="274">
        <v>0</v>
      </c>
      <c r="J211" s="268">
        <f>J212</f>
        <v>0</v>
      </c>
      <c r="K211" s="274">
        <v>0</v>
      </c>
      <c r="L211" s="268">
        <f>L212</f>
        <v>0</v>
      </c>
      <c r="M211" s="274">
        <v>0</v>
      </c>
    </row>
    <row r="212" spans="1:14" s="10" customFormat="1" ht="24" x14ac:dyDescent="0.25">
      <c r="A212" s="29"/>
      <c r="B212" s="151" t="s">
        <v>128</v>
      </c>
      <c r="C212" s="444">
        <v>656</v>
      </c>
      <c r="D212" s="402">
        <v>5</v>
      </c>
      <c r="E212" s="402">
        <v>3</v>
      </c>
      <c r="F212" s="353" t="s">
        <v>349</v>
      </c>
      <c r="G212" s="354">
        <v>200</v>
      </c>
      <c r="H212" s="268">
        <f>H213</f>
        <v>429741.67000000004</v>
      </c>
      <c r="I212" s="274">
        <v>0</v>
      </c>
      <c r="J212" s="268">
        <f>J213</f>
        <v>0</v>
      </c>
      <c r="K212" s="274">
        <v>0</v>
      </c>
      <c r="L212" s="268">
        <f>L213</f>
        <v>0</v>
      </c>
      <c r="M212" s="274">
        <v>0</v>
      </c>
    </row>
    <row r="213" spans="1:14" s="10" customFormat="1" ht="36" x14ac:dyDescent="0.25">
      <c r="A213" s="29"/>
      <c r="B213" s="229" t="s">
        <v>506</v>
      </c>
      <c r="C213" s="444">
        <v>656</v>
      </c>
      <c r="D213" s="407">
        <v>5</v>
      </c>
      <c r="E213" s="407">
        <v>3</v>
      </c>
      <c r="F213" s="353" t="s">
        <v>349</v>
      </c>
      <c r="G213" s="356">
        <v>244</v>
      </c>
      <c r="H213" s="268">
        <f>'по нов.7'!R199</f>
        <v>429741.67000000004</v>
      </c>
      <c r="I213" s="274">
        <v>0</v>
      </c>
      <c r="J213" s="268">
        <f>'по нов.7'!T199</f>
        <v>0</v>
      </c>
      <c r="K213" s="274">
        <v>0</v>
      </c>
      <c r="L213" s="268">
        <f>'по нов.7'!V199</f>
        <v>0</v>
      </c>
      <c r="M213" s="274">
        <v>0</v>
      </c>
    </row>
    <row r="214" spans="1:14" s="10" customFormat="1" ht="36" x14ac:dyDescent="0.25">
      <c r="A214" s="29"/>
      <c r="B214" s="239" t="s">
        <v>146</v>
      </c>
      <c r="C214" s="444">
        <v>656</v>
      </c>
      <c r="D214" s="416">
        <v>5</v>
      </c>
      <c r="E214" s="416">
        <v>3</v>
      </c>
      <c r="F214" s="353" t="s">
        <v>147</v>
      </c>
      <c r="G214" s="354">
        <v>0</v>
      </c>
      <c r="H214" s="268">
        <f>H217</f>
        <v>178200</v>
      </c>
      <c r="I214" s="269">
        <v>0</v>
      </c>
      <c r="J214" s="268">
        <f>J217</f>
        <v>0</v>
      </c>
      <c r="K214" s="269">
        <v>0</v>
      </c>
      <c r="L214" s="268">
        <f>L217</f>
        <v>0</v>
      </c>
      <c r="M214" s="269">
        <v>0</v>
      </c>
    </row>
    <row r="215" spans="1:14" s="10" customFormat="1" ht="60" x14ac:dyDescent="0.25">
      <c r="A215" s="29"/>
      <c r="B215" s="239" t="s">
        <v>357</v>
      </c>
      <c r="C215" s="444">
        <v>656</v>
      </c>
      <c r="D215" s="402">
        <v>5</v>
      </c>
      <c r="E215" s="402">
        <v>3</v>
      </c>
      <c r="F215" s="353" t="s">
        <v>147</v>
      </c>
      <c r="G215" s="354">
        <v>0</v>
      </c>
      <c r="H215" s="268">
        <f>H216</f>
        <v>178200</v>
      </c>
      <c r="I215" s="269">
        <v>0</v>
      </c>
      <c r="J215" s="268">
        <f>J216</f>
        <v>0</v>
      </c>
      <c r="K215" s="269">
        <v>0</v>
      </c>
      <c r="L215" s="268">
        <f>L216</f>
        <v>0</v>
      </c>
      <c r="M215" s="269">
        <v>0</v>
      </c>
    </row>
    <row r="216" spans="1:14" s="10" customFormat="1" ht="24" x14ac:dyDescent="0.25">
      <c r="A216" s="29"/>
      <c r="B216" s="151" t="s">
        <v>128</v>
      </c>
      <c r="C216" s="444">
        <v>656</v>
      </c>
      <c r="D216" s="402">
        <v>5</v>
      </c>
      <c r="E216" s="402">
        <v>3</v>
      </c>
      <c r="F216" s="353" t="s">
        <v>147</v>
      </c>
      <c r="G216" s="354">
        <v>200</v>
      </c>
      <c r="H216" s="268">
        <f>H217</f>
        <v>178200</v>
      </c>
      <c r="I216" s="269">
        <v>0</v>
      </c>
      <c r="J216" s="268">
        <f>J217</f>
        <v>0</v>
      </c>
      <c r="K216" s="269">
        <v>0</v>
      </c>
      <c r="L216" s="268">
        <f>L217</f>
        <v>0</v>
      </c>
      <c r="M216" s="269">
        <v>0</v>
      </c>
    </row>
    <row r="217" spans="1:14" s="10" customFormat="1" ht="24.6" thickBot="1" x14ac:dyDescent="0.3">
      <c r="A217" s="29"/>
      <c r="B217" s="239" t="s">
        <v>60</v>
      </c>
      <c r="C217" s="444">
        <v>656</v>
      </c>
      <c r="D217" s="416">
        <v>5</v>
      </c>
      <c r="E217" s="416">
        <v>3</v>
      </c>
      <c r="F217" s="353" t="s">
        <v>147</v>
      </c>
      <c r="G217" s="354">
        <v>244</v>
      </c>
      <c r="H217" s="268">
        <f>'по нов.7'!R236</f>
        <v>178200</v>
      </c>
      <c r="I217" s="269">
        <v>0</v>
      </c>
      <c r="J217" s="268">
        <f>'по нов.7'!T236</f>
        <v>0</v>
      </c>
      <c r="K217" s="269">
        <v>0</v>
      </c>
      <c r="L217" s="268">
        <f>'по нов.7'!V236</f>
        <v>0</v>
      </c>
      <c r="M217" s="269">
        <v>0</v>
      </c>
    </row>
    <row r="218" spans="1:14" s="10" customFormat="1" ht="23.4" thickBot="1" x14ac:dyDescent="0.3">
      <c r="A218" s="29"/>
      <c r="B218" s="249" t="s">
        <v>528</v>
      </c>
      <c r="C218" s="449">
        <v>656</v>
      </c>
      <c r="D218" s="411">
        <v>5</v>
      </c>
      <c r="E218" s="412">
        <v>3</v>
      </c>
      <c r="F218" s="424" t="s">
        <v>527</v>
      </c>
      <c r="G218" s="363">
        <v>0</v>
      </c>
      <c r="H218" s="281">
        <f>H219+H222</f>
        <v>651087</v>
      </c>
      <c r="I218" s="282">
        <f>[1]прил.5!S58</f>
        <v>0</v>
      </c>
      <c r="J218" s="281">
        <f>[1]прил.5!T58</f>
        <v>0</v>
      </c>
      <c r="K218" s="282">
        <f>[1]прил.5!U58</f>
        <v>0</v>
      </c>
      <c r="L218" s="281">
        <f>[1]прил.5!V58</f>
        <v>0</v>
      </c>
      <c r="M218" s="283">
        <f>[1]прил.5!W58</f>
        <v>0</v>
      </c>
      <c r="N218" s="18"/>
    </row>
    <row r="219" spans="1:14" s="10" customFormat="1" ht="36" x14ac:dyDescent="0.25">
      <c r="A219" s="29"/>
      <c r="B219" s="242" t="s">
        <v>571</v>
      </c>
      <c r="C219" s="450">
        <v>656</v>
      </c>
      <c r="D219" s="425">
        <v>5</v>
      </c>
      <c r="E219" s="425">
        <v>3</v>
      </c>
      <c r="F219" s="368" t="s">
        <v>568</v>
      </c>
      <c r="G219" s="369">
        <v>0</v>
      </c>
      <c r="H219" s="278">
        <f>H220</f>
        <v>362887</v>
      </c>
      <c r="I219" s="278">
        <f>[1]прил.5!S59</f>
        <v>0</v>
      </c>
      <c r="J219" s="278">
        <f>[1]прил.5!T59</f>
        <v>0</v>
      </c>
      <c r="K219" s="278">
        <f>[1]прил.5!U59</f>
        <v>0</v>
      </c>
      <c r="L219" s="278">
        <f>[1]прил.5!V59</f>
        <v>0</v>
      </c>
      <c r="M219" s="278">
        <f>[1]прил.5!W59</f>
        <v>0</v>
      </c>
      <c r="N219" s="18"/>
    </row>
    <row r="220" spans="1:14" s="10" customFormat="1" ht="24" x14ac:dyDescent="0.25">
      <c r="A220" s="29"/>
      <c r="B220" s="151" t="s">
        <v>128</v>
      </c>
      <c r="C220" s="444">
        <v>656</v>
      </c>
      <c r="D220" s="402">
        <v>5</v>
      </c>
      <c r="E220" s="402">
        <v>3</v>
      </c>
      <c r="F220" s="368" t="s">
        <v>568</v>
      </c>
      <c r="G220" s="369">
        <v>200</v>
      </c>
      <c r="H220" s="268">
        <f>H221</f>
        <v>362887</v>
      </c>
      <c r="I220" s="268">
        <f>[1]прил.5!S60</f>
        <v>0</v>
      </c>
      <c r="J220" s="268">
        <f>[1]прил.5!T60</f>
        <v>0</v>
      </c>
      <c r="K220" s="268">
        <f>[1]прил.5!U60</f>
        <v>0</v>
      </c>
      <c r="L220" s="268">
        <f>[1]прил.5!V60</f>
        <v>0</v>
      </c>
      <c r="M220" s="268">
        <f>[1]прил.5!W60</f>
        <v>0</v>
      </c>
      <c r="N220" s="18"/>
    </row>
    <row r="221" spans="1:14" s="10" customFormat="1" ht="24" x14ac:dyDescent="0.25">
      <c r="A221" s="29"/>
      <c r="B221" s="247" t="s">
        <v>81</v>
      </c>
      <c r="C221" s="444">
        <v>656</v>
      </c>
      <c r="D221" s="402">
        <v>5</v>
      </c>
      <c r="E221" s="402">
        <v>3</v>
      </c>
      <c r="F221" s="368" t="s">
        <v>568</v>
      </c>
      <c r="G221" s="369">
        <v>244</v>
      </c>
      <c r="H221" s="268">
        <f>'по нов.7'!R57</f>
        <v>362887</v>
      </c>
      <c r="I221" s="268">
        <f>[1]прил.5!S61</f>
        <v>0</v>
      </c>
      <c r="J221" s="268">
        <f>[1]прил.5!T61</f>
        <v>0</v>
      </c>
      <c r="K221" s="268">
        <f>[1]прил.5!U61</f>
        <v>0</v>
      </c>
      <c r="L221" s="268">
        <f>[1]прил.5!V61</f>
        <v>0</v>
      </c>
      <c r="M221" s="268">
        <f>[1]прил.5!W61</f>
        <v>0</v>
      </c>
      <c r="N221" s="18"/>
    </row>
    <row r="222" spans="1:14" s="10" customFormat="1" ht="36" x14ac:dyDescent="0.25">
      <c r="A222" s="29"/>
      <c r="B222" s="250" t="s">
        <v>570</v>
      </c>
      <c r="C222" s="444">
        <v>656</v>
      </c>
      <c r="D222" s="402">
        <v>5</v>
      </c>
      <c r="E222" s="402">
        <v>3</v>
      </c>
      <c r="F222" s="370" t="s">
        <v>569</v>
      </c>
      <c r="G222" s="371">
        <v>0</v>
      </c>
      <c r="H222" s="268">
        <f>H223</f>
        <v>288200</v>
      </c>
      <c r="I222" s="268">
        <f>[1]прил.5!S62</f>
        <v>0</v>
      </c>
      <c r="J222" s="268">
        <f>[1]прил.5!T62</f>
        <v>0</v>
      </c>
      <c r="K222" s="268">
        <f>[1]прил.5!U62</f>
        <v>0</v>
      </c>
      <c r="L222" s="268">
        <f>[1]прил.5!V62</f>
        <v>0</v>
      </c>
      <c r="M222" s="268">
        <f>[1]прил.5!W62</f>
        <v>0</v>
      </c>
      <c r="N222" s="18"/>
    </row>
    <row r="223" spans="1:14" s="10" customFormat="1" ht="24" x14ac:dyDescent="0.25">
      <c r="A223" s="29"/>
      <c r="B223" s="151" t="s">
        <v>128</v>
      </c>
      <c r="C223" s="444">
        <v>656</v>
      </c>
      <c r="D223" s="402">
        <v>5</v>
      </c>
      <c r="E223" s="402">
        <v>3</v>
      </c>
      <c r="F223" s="368" t="s">
        <v>569</v>
      </c>
      <c r="G223" s="369">
        <v>200</v>
      </c>
      <c r="H223" s="268">
        <f>H224</f>
        <v>288200</v>
      </c>
      <c r="I223" s="268">
        <f>[1]прил.5!S63</f>
        <v>0</v>
      </c>
      <c r="J223" s="268">
        <f>[1]прил.5!T63</f>
        <v>0</v>
      </c>
      <c r="K223" s="268">
        <f>[1]прил.5!U63</f>
        <v>0</v>
      </c>
      <c r="L223" s="268">
        <f>[1]прил.5!V63</f>
        <v>0</v>
      </c>
      <c r="M223" s="268">
        <f>[1]прил.5!W63</f>
        <v>0</v>
      </c>
      <c r="N223" s="18"/>
    </row>
    <row r="224" spans="1:14" s="10" customFormat="1" ht="24.6" thickBot="1" x14ac:dyDescent="0.3">
      <c r="A224" s="29"/>
      <c r="B224" s="247" t="s">
        <v>81</v>
      </c>
      <c r="C224" s="444">
        <v>656</v>
      </c>
      <c r="D224" s="402">
        <v>5</v>
      </c>
      <c r="E224" s="402">
        <v>3</v>
      </c>
      <c r="F224" s="368" t="s">
        <v>569</v>
      </c>
      <c r="G224" s="369">
        <v>244</v>
      </c>
      <c r="H224" s="268">
        <f>'по нов.7'!R60</f>
        <v>288200</v>
      </c>
      <c r="I224" s="268">
        <f>[1]прил.5!S64</f>
        <v>0</v>
      </c>
      <c r="J224" s="268">
        <f>[1]прил.5!T64</f>
        <v>0</v>
      </c>
      <c r="K224" s="268">
        <f>[1]прил.5!U64</f>
        <v>0</v>
      </c>
      <c r="L224" s="268">
        <f>[1]прил.5!V64</f>
        <v>0</v>
      </c>
      <c r="M224" s="268">
        <f>[1]прил.5!W64</f>
        <v>6809054</v>
      </c>
      <c r="N224" s="18"/>
    </row>
    <row r="225" spans="1:14" s="36" customFormat="1" ht="57.6" thickBot="1" x14ac:dyDescent="0.3">
      <c r="A225" s="34"/>
      <c r="B225" s="249" t="s">
        <v>392</v>
      </c>
      <c r="C225" s="449">
        <v>656</v>
      </c>
      <c r="D225" s="411">
        <v>6</v>
      </c>
      <c r="E225" s="412">
        <v>5</v>
      </c>
      <c r="F225" s="424" t="s">
        <v>123</v>
      </c>
      <c r="G225" s="363">
        <v>0</v>
      </c>
      <c r="H225" s="284">
        <f>H226+H229</f>
        <v>608042.5</v>
      </c>
      <c r="I225" s="284">
        <f t="shared" ref="I225:M225" si="14">I226+I229</f>
        <v>0</v>
      </c>
      <c r="J225" s="284">
        <f t="shared" si="14"/>
        <v>2702.5</v>
      </c>
      <c r="K225" s="284">
        <f t="shared" si="14"/>
        <v>0</v>
      </c>
      <c r="L225" s="284">
        <f t="shared" si="14"/>
        <v>2702.5</v>
      </c>
      <c r="M225" s="284">
        <f t="shared" si="14"/>
        <v>0</v>
      </c>
      <c r="N225" s="35"/>
    </row>
    <row r="226" spans="1:14" s="10" customFormat="1" ht="132" x14ac:dyDescent="0.25">
      <c r="A226" s="29"/>
      <c r="B226" s="251" t="s">
        <v>586</v>
      </c>
      <c r="C226" s="450">
        <v>656</v>
      </c>
      <c r="D226" s="425">
        <v>6</v>
      </c>
      <c r="E226" s="425">
        <v>5</v>
      </c>
      <c r="F226" s="426" t="s">
        <v>573</v>
      </c>
      <c r="G226" s="369">
        <v>0</v>
      </c>
      <c r="H226" s="278">
        <f>H227</f>
        <v>605340</v>
      </c>
      <c r="I226" s="278">
        <f>[1]прил.5!S51</f>
        <v>0</v>
      </c>
      <c r="J226" s="278">
        <f>[1]прил.5!T51</f>
        <v>0</v>
      </c>
      <c r="K226" s="278">
        <f>[1]прил.5!U51</f>
        <v>0</v>
      </c>
      <c r="L226" s="278">
        <f>[1]прил.5!V51</f>
        <v>0</v>
      </c>
      <c r="M226" s="278">
        <f>[1]прил.5!W51</f>
        <v>0</v>
      </c>
      <c r="N226" s="18"/>
    </row>
    <row r="227" spans="1:14" s="10" customFormat="1" x14ac:dyDescent="0.25">
      <c r="A227" s="29"/>
      <c r="B227" s="151" t="s">
        <v>74</v>
      </c>
      <c r="C227" s="444">
        <v>656</v>
      </c>
      <c r="D227" s="402">
        <v>6</v>
      </c>
      <c r="E227" s="402">
        <v>5</v>
      </c>
      <c r="F227" s="426" t="s">
        <v>573</v>
      </c>
      <c r="G227" s="369">
        <v>500</v>
      </c>
      <c r="H227" s="268">
        <f>H228</f>
        <v>605340</v>
      </c>
      <c r="I227" s="268">
        <f>[1]прил.5!S52</f>
        <v>0</v>
      </c>
      <c r="J227" s="268">
        <f>[1]прил.5!T52</f>
        <v>0</v>
      </c>
      <c r="K227" s="268">
        <f>[1]прил.5!U52</f>
        <v>0</v>
      </c>
      <c r="L227" s="268">
        <f>[1]прил.5!V52</f>
        <v>0</v>
      </c>
      <c r="M227" s="268">
        <f>[1]прил.5!W52</f>
        <v>0</v>
      </c>
      <c r="N227" s="18"/>
    </row>
    <row r="228" spans="1:14" s="10" customFormat="1" x14ac:dyDescent="0.25">
      <c r="A228" s="29"/>
      <c r="B228" s="247" t="s">
        <v>63</v>
      </c>
      <c r="C228" s="444">
        <v>656</v>
      </c>
      <c r="D228" s="402">
        <v>6</v>
      </c>
      <c r="E228" s="402">
        <v>5</v>
      </c>
      <c r="F228" s="426" t="s">
        <v>573</v>
      </c>
      <c r="G228" s="369">
        <v>540</v>
      </c>
      <c r="H228" s="268">
        <f>'по нов.7'!R216</f>
        <v>605340</v>
      </c>
      <c r="I228" s="268">
        <f>[1]прил.5!S53</f>
        <v>0</v>
      </c>
      <c r="J228" s="268">
        <f>[1]прил.5!T53</f>
        <v>0</v>
      </c>
      <c r="K228" s="268">
        <f>[1]прил.5!U53</f>
        <v>0</v>
      </c>
      <c r="L228" s="268">
        <f>[1]прил.5!V53</f>
        <v>0</v>
      </c>
      <c r="M228" s="268">
        <f>[1]прил.5!W53</f>
        <v>0</v>
      </c>
      <c r="N228" s="18"/>
    </row>
    <row r="229" spans="1:14" s="10" customFormat="1" ht="36" x14ac:dyDescent="0.25">
      <c r="A229" s="29"/>
      <c r="B229" s="239" t="s">
        <v>433</v>
      </c>
      <c r="C229" s="444">
        <v>656</v>
      </c>
      <c r="D229" s="402">
        <v>6</v>
      </c>
      <c r="E229" s="402">
        <v>5</v>
      </c>
      <c r="F229" s="353" t="s">
        <v>117</v>
      </c>
      <c r="G229" s="354">
        <v>0</v>
      </c>
      <c r="H229" s="268">
        <f>H232</f>
        <v>2702.5</v>
      </c>
      <c r="I229" s="269">
        <v>0</v>
      </c>
      <c r="J229" s="268">
        <f>J232</f>
        <v>2702.5</v>
      </c>
      <c r="K229" s="269">
        <v>0</v>
      </c>
      <c r="L229" s="268">
        <f>L232</f>
        <v>2702.5</v>
      </c>
      <c r="M229" s="269">
        <v>0</v>
      </c>
    </row>
    <row r="230" spans="1:14" s="10" customFormat="1" ht="60" x14ac:dyDescent="0.25">
      <c r="A230" s="29"/>
      <c r="B230" s="239" t="s">
        <v>575</v>
      </c>
      <c r="C230" s="444">
        <v>656</v>
      </c>
      <c r="D230" s="402">
        <v>6</v>
      </c>
      <c r="E230" s="402">
        <v>5</v>
      </c>
      <c r="F230" s="353" t="s">
        <v>574</v>
      </c>
      <c r="G230" s="354">
        <v>0</v>
      </c>
      <c r="H230" s="268">
        <f>H231</f>
        <v>2702.5</v>
      </c>
      <c r="I230" s="269">
        <v>0</v>
      </c>
      <c r="J230" s="268">
        <f>J231</f>
        <v>2702.5</v>
      </c>
      <c r="K230" s="269">
        <v>0</v>
      </c>
      <c r="L230" s="268">
        <f>L231</f>
        <v>2702.5</v>
      </c>
      <c r="M230" s="269">
        <v>0</v>
      </c>
    </row>
    <row r="231" spans="1:14" s="10" customFormat="1" ht="24" x14ac:dyDescent="0.25">
      <c r="A231" s="29"/>
      <c r="B231" s="151" t="s">
        <v>128</v>
      </c>
      <c r="C231" s="444">
        <v>656</v>
      </c>
      <c r="D231" s="402">
        <v>6</v>
      </c>
      <c r="E231" s="402">
        <v>5</v>
      </c>
      <c r="F231" s="353" t="s">
        <v>574</v>
      </c>
      <c r="G231" s="354">
        <v>200</v>
      </c>
      <c r="H231" s="268">
        <f>H232</f>
        <v>2702.5</v>
      </c>
      <c r="I231" s="269">
        <v>0</v>
      </c>
      <c r="J231" s="268">
        <f>J232</f>
        <v>2702.5</v>
      </c>
      <c r="K231" s="269">
        <v>0</v>
      </c>
      <c r="L231" s="268">
        <f>L232</f>
        <v>2702.5</v>
      </c>
      <c r="M231" s="269">
        <v>0</v>
      </c>
    </row>
    <row r="232" spans="1:14" s="10" customFormat="1" ht="36.6" thickBot="1" x14ac:dyDescent="0.3">
      <c r="A232" s="29"/>
      <c r="B232" s="229" t="s">
        <v>506</v>
      </c>
      <c r="C232" s="444">
        <v>656</v>
      </c>
      <c r="D232" s="402">
        <v>6</v>
      </c>
      <c r="E232" s="402">
        <v>5</v>
      </c>
      <c r="F232" s="353" t="s">
        <v>574</v>
      </c>
      <c r="G232" s="354">
        <v>244</v>
      </c>
      <c r="H232" s="268">
        <f>'по нов.7'!R201</f>
        <v>2702.5</v>
      </c>
      <c r="I232" s="269">
        <f>'по нов.7'!R222</f>
        <v>0</v>
      </c>
      <c r="J232" s="268">
        <f>'по нов.7'!W201</f>
        <v>2702.5</v>
      </c>
      <c r="K232" s="269">
        <f>'по нов.7'!T222</f>
        <v>0</v>
      </c>
      <c r="L232" s="268">
        <f>'по нов.7'!X201</f>
        <v>2702.5</v>
      </c>
      <c r="M232" s="269">
        <f>'по нов.7'!V222</f>
        <v>0</v>
      </c>
    </row>
    <row r="233" spans="1:14" s="10" customFormat="1" ht="13.8" thickBot="1" x14ac:dyDescent="0.3">
      <c r="A233" s="29"/>
      <c r="B233" s="241" t="s">
        <v>88</v>
      </c>
      <c r="C233" s="439">
        <v>656</v>
      </c>
      <c r="D233" s="427">
        <v>8</v>
      </c>
      <c r="E233" s="427">
        <v>0</v>
      </c>
      <c r="F233" s="399" t="s">
        <v>122</v>
      </c>
      <c r="G233" s="352">
        <v>0</v>
      </c>
      <c r="H233" s="264">
        <f>H234+H257</f>
        <v>4652958.46</v>
      </c>
      <c r="I233" s="265">
        <v>0</v>
      </c>
      <c r="J233" s="264">
        <f>J234+J257</f>
        <v>3361463</v>
      </c>
      <c r="K233" s="265">
        <v>0</v>
      </c>
      <c r="L233" s="264">
        <f>L234+L257</f>
        <v>4683453.0999999996</v>
      </c>
      <c r="M233" s="265">
        <v>0</v>
      </c>
    </row>
    <row r="234" spans="1:14" s="36" customFormat="1" ht="13.8" thickBot="1" x14ac:dyDescent="0.3">
      <c r="A234" s="34"/>
      <c r="B234" s="163" t="s">
        <v>79</v>
      </c>
      <c r="C234" s="444">
        <v>656</v>
      </c>
      <c r="D234" s="422">
        <v>8</v>
      </c>
      <c r="E234" s="422">
        <v>1</v>
      </c>
      <c r="F234" s="399" t="s">
        <v>122</v>
      </c>
      <c r="G234" s="423">
        <v>0</v>
      </c>
      <c r="H234" s="285">
        <f>H236</f>
        <v>4297747.46</v>
      </c>
      <c r="I234" s="286">
        <v>0</v>
      </c>
      <c r="J234" s="285">
        <f>J236</f>
        <v>2931803</v>
      </c>
      <c r="K234" s="286">
        <v>0</v>
      </c>
      <c r="L234" s="285">
        <f>L236</f>
        <v>4253793.0999999996</v>
      </c>
      <c r="M234" s="286">
        <v>0</v>
      </c>
    </row>
    <row r="235" spans="1:14" s="10" customFormat="1" x14ac:dyDescent="0.25">
      <c r="A235" s="29"/>
      <c r="B235" s="239"/>
      <c r="C235" s="444">
        <v>656</v>
      </c>
      <c r="D235" s="416"/>
      <c r="E235" s="416"/>
      <c r="F235" s="353"/>
      <c r="G235" s="354"/>
      <c r="H235" s="275"/>
      <c r="I235" s="276"/>
      <c r="J235" s="275"/>
      <c r="K235" s="276"/>
      <c r="L235" s="275"/>
      <c r="M235" s="276"/>
    </row>
    <row r="236" spans="1:14" s="10" customFormat="1" ht="23.4" x14ac:dyDescent="0.25">
      <c r="A236" s="29"/>
      <c r="B236" s="165" t="s">
        <v>435</v>
      </c>
      <c r="C236" s="444">
        <v>656</v>
      </c>
      <c r="D236" s="416">
        <v>8</v>
      </c>
      <c r="E236" s="416">
        <v>1</v>
      </c>
      <c r="F236" s="389" t="s">
        <v>112</v>
      </c>
      <c r="G236" s="410">
        <v>0</v>
      </c>
      <c r="H236" s="275">
        <f>H238+H244+H247</f>
        <v>4297747.46</v>
      </c>
      <c r="I236" s="276">
        <v>0</v>
      </c>
      <c r="J236" s="275">
        <f>J238+J244+J247</f>
        <v>2931803</v>
      </c>
      <c r="K236" s="276">
        <v>0</v>
      </c>
      <c r="L236" s="275">
        <f>L238+L244+L247+L250</f>
        <v>4253793.0999999996</v>
      </c>
      <c r="M236" s="276">
        <v>0</v>
      </c>
    </row>
    <row r="237" spans="1:14" s="10" customFormat="1" ht="48" x14ac:dyDescent="0.25">
      <c r="A237" s="29"/>
      <c r="B237" s="156" t="s">
        <v>436</v>
      </c>
      <c r="C237" s="444">
        <v>656</v>
      </c>
      <c r="D237" s="416">
        <v>8</v>
      </c>
      <c r="E237" s="416">
        <v>1</v>
      </c>
      <c r="F237" s="389" t="s">
        <v>111</v>
      </c>
      <c r="G237" s="410">
        <v>0</v>
      </c>
      <c r="H237" s="275">
        <f t="shared" ref="H237:M237" si="15">H236</f>
        <v>4297747.46</v>
      </c>
      <c r="I237" s="276">
        <f t="shared" si="15"/>
        <v>0</v>
      </c>
      <c r="J237" s="275">
        <f t="shared" si="15"/>
        <v>2931803</v>
      </c>
      <c r="K237" s="276">
        <f t="shared" si="15"/>
        <v>0</v>
      </c>
      <c r="L237" s="275">
        <f t="shared" si="15"/>
        <v>4253793.0999999996</v>
      </c>
      <c r="M237" s="276">
        <f t="shared" si="15"/>
        <v>0</v>
      </c>
    </row>
    <row r="238" spans="1:14" s="10" customFormat="1" ht="48" x14ac:dyDescent="0.25">
      <c r="A238" s="29"/>
      <c r="B238" s="151" t="s">
        <v>75</v>
      </c>
      <c r="C238" s="444">
        <v>656</v>
      </c>
      <c r="D238" s="416">
        <v>8</v>
      </c>
      <c r="E238" s="416">
        <v>1</v>
      </c>
      <c r="F238" s="389" t="s">
        <v>111</v>
      </c>
      <c r="G238" s="410">
        <v>100</v>
      </c>
      <c r="H238" s="275">
        <f>H239+H240+H241+H242+H243</f>
        <v>3223979</v>
      </c>
      <c r="I238" s="276">
        <v>0</v>
      </c>
      <c r="J238" s="275">
        <f>J239+J241+J243+J240</f>
        <v>2864314</v>
      </c>
      <c r="K238" s="276">
        <v>0</v>
      </c>
      <c r="L238" s="275">
        <f>L239+L241+L243+L240</f>
        <v>2864314</v>
      </c>
      <c r="M238" s="276">
        <v>0</v>
      </c>
    </row>
    <row r="239" spans="1:14" s="167" customFormat="1" x14ac:dyDescent="0.25">
      <c r="A239" s="166"/>
      <c r="B239" s="239" t="s">
        <v>136</v>
      </c>
      <c r="C239" s="444">
        <v>656</v>
      </c>
      <c r="D239" s="428">
        <v>8</v>
      </c>
      <c r="E239" s="428">
        <v>1</v>
      </c>
      <c r="F239" s="389" t="s">
        <v>111</v>
      </c>
      <c r="G239" s="410">
        <v>111</v>
      </c>
      <c r="H239" s="275">
        <f>'по нов.7'!R135</f>
        <v>2522000</v>
      </c>
      <c r="I239" s="276">
        <v>0</v>
      </c>
      <c r="J239" s="275">
        <f>'по нов.7'!W135</f>
        <v>2522000</v>
      </c>
      <c r="K239" s="276">
        <v>0</v>
      </c>
      <c r="L239" s="275">
        <f>'по нов.7'!X135</f>
        <v>2522000</v>
      </c>
      <c r="M239" s="276">
        <v>0</v>
      </c>
    </row>
    <row r="240" spans="1:14" s="167" customFormat="1" hidden="1" x14ac:dyDescent="0.25">
      <c r="A240" s="166"/>
      <c r="B240" s="239" t="s">
        <v>136</v>
      </c>
      <c r="C240" s="444">
        <v>656</v>
      </c>
      <c r="D240" s="428">
        <v>8</v>
      </c>
      <c r="E240" s="428">
        <v>1</v>
      </c>
      <c r="F240" s="389" t="s">
        <v>397</v>
      </c>
      <c r="G240" s="410">
        <v>111</v>
      </c>
      <c r="H240" s="275">
        <f>'по нов.7'!R137</f>
        <v>0</v>
      </c>
      <c r="I240" s="276">
        <v>0</v>
      </c>
      <c r="J240" s="275">
        <f>'по нов.7'!W137</f>
        <v>0</v>
      </c>
      <c r="K240" s="276">
        <v>0</v>
      </c>
      <c r="L240" s="275">
        <f>'по нов.7'!X137</f>
        <v>0</v>
      </c>
      <c r="M240" s="276">
        <v>0</v>
      </c>
    </row>
    <row r="241" spans="1:13" s="10" customFormat="1" hidden="1" x14ac:dyDescent="0.25">
      <c r="A241" s="29"/>
      <c r="B241" s="239" t="s">
        <v>136</v>
      </c>
      <c r="C241" s="444">
        <v>656</v>
      </c>
      <c r="D241" s="416">
        <v>8</v>
      </c>
      <c r="E241" s="416">
        <v>1</v>
      </c>
      <c r="F241" s="389" t="s">
        <v>400</v>
      </c>
      <c r="G241" s="429">
        <v>111</v>
      </c>
      <c r="H241" s="268">
        <f>'по нов.7'!R139</f>
        <v>0</v>
      </c>
      <c r="I241" s="269">
        <v>0</v>
      </c>
      <c r="J241" s="268">
        <f>'по нов.7'!W139</f>
        <v>0</v>
      </c>
      <c r="K241" s="269">
        <v>0</v>
      </c>
      <c r="L241" s="268">
        <f>'по нов.7'!X139</f>
        <v>0</v>
      </c>
      <c r="M241" s="269">
        <v>0</v>
      </c>
    </row>
    <row r="242" spans="1:13" s="10" customFormat="1" ht="24" x14ac:dyDescent="0.25">
      <c r="A242" s="29"/>
      <c r="B242" s="151" t="s">
        <v>487</v>
      </c>
      <c r="C242" s="444">
        <v>656</v>
      </c>
      <c r="D242" s="416">
        <v>8</v>
      </c>
      <c r="E242" s="416">
        <v>1</v>
      </c>
      <c r="F242" s="389" t="s">
        <v>111</v>
      </c>
      <c r="G242" s="429">
        <v>112</v>
      </c>
      <c r="H242" s="268">
        <f>'по нов.7'!R140</f>
        <v>150000</v>
      </c>
      <c r="I242" s="269">
        <v>0</v>
      </c>
      <c r="J242" s="268">
        <f>'по нов.7'!W140</f>
        <v>0</v>
      </c>
      <c r="K242" s="269">
        <v>0</v>
      </c>
      <c r="L242" s="268">
        <f>'по нов.7'!X140</f>
        <v>0</v>
      </c>
      <c r="M242" s="269">
        <v>0</v>
      </c>
    </row>
    <row r="243" spans="1:13" s="10" customFormat="1" ht="36" x14ac:dyDescent="0.25">
      <c r="A243" s="29"/>
      <c r="B243" s="239" t="s">
        <v>491</v>
      </c>
      <c r="C243" s="441">
        <v>656</v>
      </c>
      <c r="D243" s="416">
        <v>8</v>
      </c>
      <c r="E243" s="416">
        <v>1</v>
      </c>
      <c r="F243" s="389" t="s">
        <v>111</v>
      </c>
      <c r="G243" s="348">
        <v>119</v>
      </c>
      <c r="H243" s="268">
        <f>'по нов.7'!R141</f>
        <v>551979</v>
      </c>
      <c r="I243" s="269">
        <v>0</v>
      </c>
      <c r="J243" s="268">
        <f>'по нов.7'!W141</f>
        <v>342314</v>
      </c>
      <c r="K243" s="269">
        <v>0</v>
      </c>
      <c r="L243" s="268">
        <f>'по нов.7'!X141</f>
        <v>342314</v>
      </c>
      <c r="M243" s="269">
        <v>0</v>
      </c>
    </row>
    <row r="244" spans="1:13" s="10" customFormat="1" ht="24" x14ac:dyDescent="0.25">
      <c r="A244" s="29"/>
      <c r="B244" s="151" t="s">
        <v>128</v>
      </c>
      <c r="C244" s="444">
        <v>656</v>
      </c>
      <c r="D244" s="416">
        <v>8</v>
      </c>
      <c r="E244" s="416">
        <v>1</v>
      </c>
      <c r="F244" s="389" t="s">
        <v>111</v>
      </c>
      <c r="G244" s="429">
        <v>200</v>
      </c>
      <c r="H244" s="268">
        <f t="shared" ref="H244:M244" si="16">H245+H246</f>
        <v>1058768.46</v>
      </c>
      <c r="I244" s="269">
        <f t="shared" si="16"/>
        <v>0</v>
      </c>
      <c r="J244" s="268">
        <f t="shared" si="16"/>
        <v>67489</v>
      </c>
      <c r="K244" s="269">
        <f t="shared" si="16"/>
        <v>0</v>
      </c>
      <c r="L244" s="268">
        <f t="shared" si="16"/>
        <v>1288469</v>
      </c>
      <c r="M244" s="269">
        <f t="shared" si="16"/>
        <v>0</v>
      </c>
    </row>
    <row r="245" spans="1:13" s="10" customFormat="1" ht="24" x14ac:dyDescent="0.25">
      <c r="A245" s="29"/>
      <c r="B245" s="239" t="s">
        <v>59</v>
      </c>
      <c r="C245" s="444">
        <v>656</v>
      </c>
      <c r="D245" s="416">
        <v>8</v>
      </c>
      <c r="E245" s="416">
        <v>1</v>
      </c>
      <c r="F245" s="389" t="s">
        <v>111</v>
      </c>
      <c r="G245" s="410">
        <v>242</v>
      </c>
      <c r="H245" s="275">
        <f>'по нов.7'!R143</f>
        <v>42700</v>
      </c>
      <c r="I245" s="276">
        <v>0</v>
      </c>
      <c r="J245" s="275">
        <f>'по нов.7'!W143</f>
        <v>42700</v>
      </c>
      <c r="K245" s="276">
        <v>0</v>
      </c>
      <c r="L245" s="275">
        <f>'по нов.7'!X143</f>
        <v>42700</v>
      </c>
      <c r="M245" s="276">
        <v>0</v>
      </c>
    </row>
    <row r="246" spans="1:13" s="10" customFormat="1" ht="36" x14ac:dyDescent="0.25">
      <c r="A246" s="29"/>
      <c r="B246" s="229" t="s">
        <v>506</v>
      </c>
      <c r="C246" s="444">
        <v>656</v>
      </c>
      <c r="D246" s="416">
        <v>8</v>
      </c>
      <c r="E246" s="416">
        <v>1</v>
      </c>
      <c r="F246" s="389" t="s">
        <v>111</v>
      </c>
      <c r="G246" s="410">
        <v>244</v>
      </c>
      <c r="H246" s="275">
        <f>'по нов.7'!R144</f>
        <v>1016068.46</v>
      </c>
      <c r="I246" s="276">
        <v>0</v>
      </c>
      <c r="J246" s="275">
        <v>24789.000000000007</v>
      </c>
      <c r="K246" s="276">
        <v>0</v>
      </c>
      <c r="L246" s="275">
        <v>1245769</v>
      </c>
      <c r="M246" s="276">
        <v>0</v>
      </c>
    </row>
    <row r="247" spans="1:13" s="10" customFormat="1" x14ac:dyDescent="0.25">
      <c r="A247" s="29"/>
      <c r="B247" s="239" t="s">
        <v>78</v>
      </c>
      <c r="C247" s="444">
        <v>656</v>
      </c>
      <c r="D247" s="416">
        <v>8</v>
      </c>
      <c r="E247" s="416">
        <v>1</v>
      </c>
      <c r="F247" s="389" t="s">
        <v>111</v>
      </c>
      <c r="G247" s="410">
        <v>800</v>
      </c>
      <c r="H247" s="275">
        <f>H248+H249</f>
        <v>15000</v>
      </c>
      <c r="I247" s="276"/>
      <c r="J247" s="275">
        <f>J248+J249</f>
        <v>0</v>
      </c>
      <c r="K247" s="276"/>
      <c r="L247" s="275">
        <f>L248+L249</f>
        <v>0</v>
      </c>
      <c r="M247" s="275"/>
    </row>
    <row r="248" spans="1:13" s="10" customFormat="1" x14ac:dyDescent="0.25">
      <c r="A248" s="29"/>
      <c r="B248" s="151" t="s">
        <v>488</v>
      </c>
      <c r="C248" s="444">
        <v>656</v>
      </c>
      <c r="D248" s="416">
        <v>8</v>
      </c>
      <c r="E248" s="416">
        <v>1</v>
      </c>
      <c r="F248" s="389" t="s">
        <v>111</v>
      </c>
      <c r="G248" s="410">
        <v>851</v>
      </c>
      <c r="H248" s="275">
        <f>'по нов.7'!R146</f>
        <v>12000</v>
      </c>
      <c r="I248" s="276">
        <v>0</v>
      </c>
      <c r="J248" s="275">
        <f>'по нов.7'!W146</f>
        <v>0</v>
      </c>
      <c r="K248" s="276">
        <v>0</v>
      </c>
      <c r="L248" s="275">
        <f>'по нов.7'!X146</f>
        <v>0</v>
      </c>
      <c r="M248" s="275">
        <v>0</v>
      </c>
    </row>
    <row r="249" spans="1:13" s="10" customFormat="1" x14ac:dyDescent="0.25">
      <c r="A249" s="29"/>
      <c r="B249" s="151" t="s">
        <v>348</v>
      </c>
      <c r="C249" s="444">
        <v>656</v>
      </c>
      <c r="D249" s="416">
        <v>8</v>
      </c>
      <c r="E249" s="416">
        <v>1</v>
      </c>
      <c r="F249" s="389" t="s">
        <v>111</v>
      </c>
      <c r="G249" s="410">
        <v>853</v>
      </c>
      <c r="H249" s="275">
        <f>'по нов.7'!R148</f>
        <v>3000</v>
      </c>
      <c r="I249" s="276">
        <v>0</v>
      </c>
      <c r="J249" s="275">
        <f>'по нов.7'!W148</f>
        <v>0</v>
      </c>
      <c r="K249" s="276">
        <v>0</v>
      </c>
      <c r="L249" s="275">
        <f>'по нов.7'!X148</f>
        <v>0</v>
      </c>
      <c r="M249" s="275">
        <v>0</v>
      </c>
    </row>
    <row r="250" spans="1:13" s="10" customFormat="1" ht="30.6" x14ac:dyDescent="0.25">
      <c r="A250" s="29"/>
      <c r="B250" s="224" t="s">
        <v>471</v>
      </c>
      <c r="C250" s="444">
        <v>656</v>
      </c>
      <c r="D250" s="416">
        <v>8</v>
      </c>
      <c r="E250" s="416">
        <v>1</v>
      </c>
      <c r="F250" s="347" t="s">
        <v>473</v>
      </c>
      <c r="G250" s="384">
        <v>0</v>
      </c>
      <c r="H250" s="275">
        <v>0</v>
      </c>
      <c r="I250" s="276">
        <v>0</v>
      </c>
      <c r="J250" s="275">
        <v>0</v>
      </c>
      <c r="K250" s="276">
        <v>0</v>
      </c>
      <c r="L250" s="275">
        <f>L251+L254</f>
        <v>101010.1</v>
      </c>
      <c r="M250" s="275">
        <v>0</v>
      </c>
    </row>
    <row r="251" spans="1:13" s="10" customFormat="1" ht="51" x14ac:dyDescent="0.25">
      <c r="A251" s="29"/>
      <c r="B251" s="224" t="s">
        <v>485</v>
      </c>
      <c r="C251" s="444">
        <v>656</v>
      </c>
      <c r="D251" s="416">
        <v>8</v>
      </c>
      <c r="E251" s="416">
        <v>1</v>
      </c>
      <c r="F251" s="347" t="s">
        <v>474</v>
      </c>
      <c r="G251" s="384">
        <v>0</v>
      </c>
      <c r="H251" s="268">
        <v>0</v>
      </c>
      <c r="I251" s="269">
        <v>0</v>
      </c>
      <c r="J251" s="268">
        <v>0</v>
      </c>
      <c r="K251" s="269">
        <v>0</v>
      </c>
      <c r="L251" s="268">
        <f>L252</f>
        <v>100000</v>
      </c>
      <c r="M251" s="268">
        <v>0</v>
      </c>
    </row>
    <row r="252" spans="1:13" s="10" customFormat="1" ht="24" x14ac:dyDescent="0.25">
      <c r="A252" s="29"/>
      <c r="B252" s="151" t="s">
        <v>128</v>
      </c>
      <c r="C252" s="444">
        <v>656</v>
      </c>
      <c r="D252" s="416">
        <v>8</v>
      </c>
      <c r="E252" s="416">
        <v>1</v>
      </c>
      <c r="F252" s="347" t="s">
        <v>474</v>
      </c>
      <c r="G252" s="429">
        <v>200</v>
      </c>
      <c r="H252" s="268">
        <f t="shared" ref="H252:K252" si="17">H253+H254</f>
        <v>0</v>
      </c>
      <c r="I252" s="269">
        <f t="shared" si="17"/>
        <v>0</v>
      </c>
      <c r="J252" s="268">
        <f t="shared" si="17"/>
        <v>0</v>
      </c>
      <c r="K252" s="269">
        <f t="shared" si="17"/>
        <v>0</v>
      </c>
      <c r="L252" s="268">
        <f>L253</f>
        <v>100000</v>
      </c>
      <c r="M252" s="268">
        <v>0</v>
      </c>
    </row>
    <row r="253" spans="1:13" s="10" customFormat="1" ht="20.399999999999999" x14ac:dyDescent="0.25">
      <c r="A253" s="29"/>
      <c r="B253" s="224" t="s">
        <v>472</v>
      </c>
      <c r="C253" s="444">
        <v>656</v>
      </c>
      <c r="D253" s="416">
        <v>8</v>
      </c>
      <c r="E253" s="416">
        <v>1</v>
      </c>
      <c r="F253" s="347" t="s">
        <v>474</v>
      </c>
      <c r="G253" s="430">
        <v>244</v>
      </c>
      <c r="H253" s="275">
        <v>0</v>
      </c>
      <c r="I253" s="276">
        <v>0</v>
      </c>
      <c r="J253" s="275">
        <v>0</v>
      </c>
      <c r="K253" s="276">
        <v>0</v>
      </c>
      <c r="L253" s="275">
        <f>'по нов.7'!X155</f>
        <v>100000</v>
      </c>
      <c r="M253" s="275">
        <v>0</v>
      </c>
    </row>
    <row r="254" spans="1:13" s="10" customFormat="1" ht="51" x14ac:dyDescent="0.25">
      <c r="A254" s="29"/>
      <c r="B254" s="224" t="s">
        <v>511</v>
      </c>
      <c r="C254" s="444">
        <v>656</v>
      </c>
      <c r="D254" s="416">
        <v>8</v>
      </c>
      <c r="E254" s="416">
        <v>1</v>
      </c>
      <c r="F254" s="347" t="s">
        <v>475</v>
      </c>
      <c r="G254" s="384">
        <v>0</v>
      </c>
      <c r="H254" s="268">
        <v>0</v>
      </c>
      <c r="I254" s="269">
        <v>0</v>
      </c>
      <c r="J254" s="268">
        <v>0</v>
      </c>
      <c r="K254" s="269">
        <v>0</v>
      </c>
      <c r="L254" s="268">
        <f>L255</f>
        <v>1010.1</v>
      </c>
      <c r="M254" s="268">
        <v>0</v>
      </c>
    </row>
    <row r="255" spans="1:13" s="10" customFormat="1" ht="24" x14ac:dyDescent="0.25">
      <c r="A255" s="29"/>
      <c r="B255" s="151" t="s">
        <v>128</v>
      </c>
      <c r="C255" s="444">
        <v>656</v>
      </c>
      <c r="D255" s="416">
        <v>8</v>
      </c>
      <c r="E255" s="416">
        <v>1</v>
      </c>
      <c r="F255" s="347" t="s">
        <v>475</v>
      </c>
      <c r="G255" s="429">
        <v>200</v>
      </c>
      <c r="H255" s="268">
        <v>0</v>
      </c>
      <c r="I255" s="269">
        <f t="shared" ref="I255:M255" si="18">I256+I257</f>
        <v>0</v>
      </c>
      <c r="J255" s="268">
        <v>0</v>
      </c>
      <c r="K255" s="269">
        <f t="shared" si="18"/>
        <v>0</v>
      </c>
      <c r="L255" s="268">
        <f>L256</f>
        <v>1010.1</v>
      </c>
      <c r="M255" s="268">
        <f t="shared" si="18"/>
        <v>0</v>
      </c>
    </row>
    <row r="256" spans="1:13" s="10" customFormat="1" ht="36.6" thickBot="1" x14ac:dyDescent="0.3">
      <c r="A256" s="29"/>
      <c r="B256" s="229" t="s">
        <v>506</v>
      </c>
      <c r="C256" s="444">
        <v>656</v>
      </c>
      <c r="D256" s="416">
        <v>8</v>
      </c>
      <c r="E256" s="416">
        <v>1</v>
      </c>
      <c r="F256" s="382" t="s">
        <v>475</v>
      </c>
      <c r="G256" s="431">
        <v>244</v>
      </c>
      <c r="H256" s="275">
        <f>'по нов.7'!R153</f>
        <v>0</v>
      </c>
      <c r="I256" s="276">
        <v>0</v>
      </c>
      <c r="J256" s="275">
        <f>'по нов.7'!W153</f>
        <v>0</v>
      </c>
      <c r="K256" s="276">
        <v>0</v>
      </c>
      <c r="L256" s="275">
        <f>'по нов.7'!X158</f>
        <v>1010.1</v>
      </c>
      <c r="M256" s="275">
        <v>0</v>
      </c>
    </row>
    <row r="257" spans="1:13" s="36" customFormat="1" ht="13.8" thickBot="1" x14ac:dyDescent="0.3">
      <c r="A257" s="34"/>
      <c r="B257" s="165" t="s">
        <v>34</v>
      </c>
      <c r="C257" s="447">
        <v>656</v>
      </c>
      <c r="D257" s="405">
        <v>8</v>
      </c>
      <c r="E257" s="405">
        <v>2</v>
      </c>
      <c r="F257" s="399" t="s">
        <v>122</v>
      </c>
      <c r="G257" s="432">
        <v>0</v>
      </c>
      <c r="H257" s="287">
        <f>H258</f>
        <v>355211</v>
      </c>
      <c r="I257" s="288">
        <v>0</v>
      </c>
      <c r="J257" s="287">
        <f>J258</f>
        <v>429660</v>
      </c>
      <c r="K257" s="288">
        <v>0</v>
      </c>
      <c r="L257" s="287">
        <f>L258</f>
        <v>429660</v>
      </c>
      <c r="M257" s="288">
        <v>0</v>
      </c>
    </row>
    <row r="258" spans="1:13" s="36" customFormat="1" ht="24" x14ac:dyDescent="0.25">
      <c r="A258" s="34"/>
      <c r="B258" s="156" t="s">
        <v>437</v>
      </c>
      <c r="C258" s="444">
        <v>656</v>
      </c>
      <c r="D258" s="402">
        <v>8</v>
      </c>
      <c r="E258" s="402">
        <v>2</v>
      </c>
      <c r="F258" s="389" t="s">
        <v>112</v>
      </c>
      <c r="G258" s="348">
        <v>0</v>
      </c>
      <c r="H258" s="287">
        <f>H260</f>
        <v>355211</v>
      </c>
      <c r="I258" s="288">
        <v>0</v>
      </c>
      <c r="J258" s="287">
        <f>J260</f>
        <v>429660</v>
      </c>
      <c r="K258" s="288">
        <v>0</v>
      </c>
      <c r="L258" s="287">
        <f>L260</f>
        <v>429660</v>
      </c>
      <c r="M258" s="288">
        <v>0</v>
      </c>
    </row>
    <row r="259" spans="1:13" s="36" customFormat="1" ht="48" x14ac:dyDescent="0.25">
      <c r="A259" s="34"/>
      <c r="B259" s="156" t="s">
        <v>438</v>
      </c>
      <c r="C259" s="444">
        <v>656</v>
      </c>
      <c r="D259" s="416">
        <v>8</v>
      </c>
      <c r="E259" s="416">
        <v>2</v>
      </c>
      <c r="F259" s="389" t="s">
        <v>111</v>
      </c>
      <c r="G259" s="429">
        <v>0</v>
      </c>
      <c r="H259" s="275">
        <f>H258</f>
        <v>355211</v>
      </c>
      <c r="I259" s="276">
        <v>0</v>
      </c>
      <c r="J259" s="275">
        <f>J258</f>
        <v>429660</v>
      </c>
      <c r="K259" s="276">
        <v>0</v>
      </c>
      <c r="L259" s="275">
        <f>L258</f>
        <v>429660</v>
      </c>
      <c r="M259" s="276">
        <v>0</v>
      </c>
    </row>
    <row r="260" spans="1:13" s="10" customFormat="1" ht="48" x14ac:dyDescent="0.25">
      <c r="A260" s="29"/>
      <c r="B260" s="151" t="s">
        <v>75</v>
      </c>
      <c r="C260" s="444">
        <v>656</v>
      </c>
      <c r="D260" s="416">
        <v>8</v>
      </c>
      <c r="E260" s="416">
        <v>2</v>
      </c>
      <c r="F260" s="389" t="s">
        <v>111</v>
      </c>
      <c r="G260" s="384">
        <v>100</v>
      </c>
      <c r="H260" s="275">
        <f>H261+H263</f>
        <v>355211</v>
      </c>
      <c r="I260" s="276">
        <f>I261</f>
        <v>0</v>
      </c>
      <c r="J260" s="275">
        <f>J261+J263</f>
        <v>429660</v>
      </c>
      <c r="K260" s="276">
        <f>K261</f>
        <v>0</v>
      </c>
      <c r="L260" s="275">
        <f>L261+L263</f>
        <v>429660</v>
      </c>
      <c r="M260" s="276">
        <f>M261</f>
        <v>0</v>
      </c>
    </row>
    <row r="261" spans="1:13" s="10" customFormat="1" x14ac:dyDescent="0.25">
      <c r="A261" s="29"/>
      <c r="B261" s="239" t="s">
        <v>136</v>
      </c>
      <c r="C261" s="444">
        <v>656</v>
      </c>
      <c r="D261" s="416">
        <v>8</v>
      </c>
      <c r="E261" s="416">
        <v>2</v>
      </c>
      <c r="F261" s="389" t="s">
        <v>111</v>
      </c>
      <c r="G261" s="384">
        <v>111</v>
      </c>
      <c r="H261" s="275">
        <f>'по нов.7'!R150</f>
        <v>280500</v>
      </c>
      <c r="I261" s="276">
        <v>0</v>
      </c>
      <c r="J261" s="275">
        <f>'по нов.7'!W150</f>
        <v>330000</v>
      </c>
      <c r="K261" s="276">
        <v>0</v>
      </c>
      <c r="L261" s="275">
        <f>'по нов.7'!X150</f>
        <v>330000</v>
      </c>
      <c r="M261" s="276">
        <v>0</v>
      </c>
    </row>
    <row r="262" spans="1:13" s="10" customFormat="1" ht="24" x14ac:dyDescent="0.25">
      <c r="A262" s="29"/>
      <c r="B262" s="239" t="s">
        <v>59</v>
      </c>
      <c r="C262" s="441"/>
      <c r="D262" s="416">
        <v>8</v>
      </c>
      <c r="E262" s="416">
        <v>2</v>
      </c>
      <c r="F262" s="389" t="s">
        <v>73</v>
      </c>
      <c r="G262" s="384">
        <v>242</v>
      </c>
      <c r="H262" s="275"/>
      <c r="I262" s="276"/>
      <c r="J262" s="275"/>
      <c r="K262" s="276"/>
      <c r="L262" s="275"/>
      <c r="M262" s="276"/>
    </row>
    <row r="263" spans="1:13" s="10" customFormat="1" ht="36.6" thickBot="1" x14ac:dyDescent="0.3">
      <c r="A263" s="29"/>
      <c r="B263" s="239" t="s">
        <v>491</v>
      </c>
      <c r="C263" s="441">
        <v>656</v>
      </c>
      <c r="D263" s="416">
        <v>8</v>
      </c>
      <c r="E263" s="416">
        <v>2</v>
      </c>
      <c r="F263" s="389" t="s">
        <v>111</v>
      </c>
      <c r="G263" s="348">
        <v>119</v>
      </c>
      <c r="H263" s="268">
        <f>'по нов.7'!R151</f>
        <v>74711</v>
      </c>
      <c r="I263" s="269">
        <v>0</v>
      </c>
      <c r="J263" s="268">
        <f>'по нов.7'!W151</f>
        <v>99660</v>
      </c>
      <c r="K263" s="269">
        <v>0</v>
      </c>
      <c r="L263" s="268">
        <f>'по нов.7'!X151</f>
        <v>99660</v>
      </c>
      <c r="M263" s="269">
        <v>0</v>
      </c>
    </row>
    <row r="264" spans="1:13" s="36" customFormat="1" ht="13.8" thickBot="1" x14ac:dyDescent="0.3">
      <c r="A264" s="34"/>
      <c r="B264" s="168" t="s">
        <v>46</v>
      </c>
      <c r="C264" s="439">
        <v>656</v>
      </c>
      <c r="D264" s="427">
        <v>10</v>
      </c>
      <c r="E264" s="427">
        <v>0</v>
      </c>
      <c r="F264" s="399" t="s">
        <v>122</v>
      </c>
      <c r="G264" s="433">
        <v>0</v>
      </c>
      <c r="H264" s="289">
        <f>H269</f>
        <v>147500</v>
      </c>
      <c r="I264" s="290">
        <v>0</v>
      </c>
      <c r="J264" s="289">
        <f>J269</f>
        <v>0</v>
      </c>
      <c r="K264" s="290">
        <v>0</v>
      </c>
      <c r="L264" s="289">
        <f>L269</f>
        <v>106989.9</v>
      </c>
      <c r="M264" s="290">
        <v>0</v>
      </c>
    </row>
    <row r="265" spans="1:13" s="36" customFormat="1" ht="13.8" thickBot="1" x14ac:dyDescent="0.3">
      <c r="A265" s="34"/>
      <c r="B265" s="163" t="s">
        <v>48</v>
      </c>
      <c r="C265" s="444">
        <v>656</v>
      </c>
      <c r="D265" s="422">
        <v>10</v>
      </c>
      <c r="E265" s="422">
        <v>1</v>
      </c>
      <c r="F265" s="399" t="s">
        <v>122</v>
      </c>
      <c r="G265" s="414">
        <v>0</v>
      </c>
      <c r="H265" s="287">
        <f>H266</f>
        <v>147500</v>
      </c>
      <c r="I265" s="288">
        <v>0</v>
      </c>
      <c r="J265" s="287">
        <f>J266</f>
        <v>0</v>
      </c>
      <c r="K265" s="288">
        <v>0</v>
      </c>
      <c r="L265" s="287">
        <f>L266</f>
        <v>106989.9</v>
      </c>
      <c r="M265" s="288">
        <v>0</v>
      </c>
    </row>
    <row r="266" spans="1:13" s="36" customFormat="1" ht="34.799999999999997" x14ac:dyDescent="0.25">
      <c r="A266" s="34"/>
      <c r="B266" s="240" t="s">
        <v>426</v>
      </c>
      <c r="C266" s="444">
        <v>656</v>
      </c>
      <c r="D266" s="422">
        <v>10</v>
      </c>
      <c r="E266" s="422">
        <v>1</v>
      </c>
      <c r="F266" s="434" t="s">
        <v>72</v>
      </c>
      <c r="G266" s="423">
        <v>0</v>
      </c>
      <c r="H266" s="285">
        <f>H267</f>
        <v>147500</v>
      </c>
      <c r="I266" s="286">
        <v>0</v>
      </c>
      <c r="J266" s="285">
        <f>J267</f>
        <v>0</v>
      </c>
      <c r="K266" s="286">
        <v>0</v>
      </c>
      <c r="L266" s="285">
        <f>L267</f>
        <v>106989.9</v>
      </c>
      <c r="M266" s="286">
        <v>0</v>
      </c>
    </row>
    <row r="267" spans="1:13" s="10" customFormat="1" ht="48" x14ac:dyDescent="0.25">
      <c r="A267" s="29"/>
      <c r="B267" s="239" t="s">
        <v>483</v>
      </c>
      <c r="C267" s="444">
        <v>656</v>
      </c>
      <c r="D267" s="416">
        <v>10</v>
      </c>
      <c r="E267" s="416">
        <v>1</v>
      </c>
      <c r="F267" s="360" t="s">
        <v>104</v>
      </c>
      <c r="G267" s="354">
        <v>0</v>
      </c>
      <c r="H267" s="275">
        <f>H269</f>
        <v>147500</v>
      </c>
      <c r="I267" s="276">
        <v>0</v>
      </c>
      <c r="J267" s="275">
        <f>J269</f>
        <v>0</v>
      </c>
      <c r="K267" s="276">
        <v>0</v>
      </c>
      <c r="L267" s="275">
        <f>L269</f>
        <v>106989.9</v>
      </c>
      <c r="M267" s="276">
        <v>0</v>
      </c>
    </row>
    <row r="268" spans="1:13" s="10" customFormat="1" x14ac:dyDescent="0.25">
      <c r="A268" s="29"/>
      <c r="B268" s="239" t="s">
        <v>80</v>
      </c>
      <c r="C268" s="444">
        <v>656</v>
      </c>
      <c r="D268" s="416">
        <v>10</v>
      </c>
      <c r="E268" s="416">
        <v>1</v>
      </c>
      <c r="F268" s="360" t="s">
        <v>104</v>
      </c>
      <c r="G268" s="354">
        <v>300</v>
      </c>
      <c r="H268" s="275">
        <f>H269</f>
        <v>147500</v>
      </c>
      <c r="I268" s="276">
        <v>0</v>
      </c>
      <c r="J268" s="275">
        <f>J269</f>
        <v>0</v>
      </c>
      <c r="K268" s="276">
        <v>0</v>
      </c>
      <c r="L268" s="275">
        <f>L269</f>
        <v>106989.9</v>
      </c>
      <c r="M268" s="276">
        <v>0</v>
      </c>
    </row>
    <row r="269" spans="1:13" s="10" customFormat="1" ht="24.6" thickBot="1" x14ac:dyDescent="0.3">
      <c r="A269" s="29"/>
      <c r="B269" s="156" t="s">
        <v>64</v>
      </c>
      <c r="C269" s="444">
        <v>656</v>
      </c>
      <c r="D269" s="416">
        <v>10</v>
      </c>
      <c r="E269" s="416">
        <v>1</v>
      </c>
      <c r="F269" s="360" t="s">
        <v>104</v>
      </c>
      <c r="G269" s="354">
        <v>321</v>
      </c>
      <c r="H269" s="275">
        <f>'по нов.7'!R106</f>
        <v>147500</v>
      </c>
      <c r="I269" s="276">
        <v>0</v>
      </c>
      <c r="J269" s="275">
        <f>'по нов.7'!W106</f>
        <v>0</v>
      </c>
      <c r="K269" s="276">
        <v>0</v>
      </c>
      <c r="L269" s="275">
        <f>'по нов.7'!X106</f>
        <v>106989.9</v>
      </c>
      <c r="M269" s="276">
        <v>0</v>
      </c>
    </row>
    <row r="270" spans="1:13" s="36" customFormat="1" ht="13.8" thickBot="1" x14ac:dyDescent="0.3">
      <c r="A270" s="34"/>
      <c r="B270" s="169" t="s">
        <v>35</v>
      </c>
      <c r="C270" s="439">
        <v>656</v>
      </c>
      <c r="D270" s="398">
        <v>11</v>
      </c>
      <c r="E270" s="398">
        <v>0</v>
      </c>
      <c r="F270" s="399" t="s">
        <v>122</v>
      </c>
      <c r="G270" s="373">
        <v>0</v>
      </c>
      <c r="H270" s="264">
        <f>H272</f>
        <v>1778080</v>
      </c>
      <c r="I270" s="265">
        <v>0</v>
      </c>
      <c r="J270" s="264">
        <f>J272</f>
        <v>1951000</v>
      </c>
      <c r="K270" s="265">
        <v>0</v>
      </c>
      <c r="L270" s="264">
        <f>L272</f>
        <v>1951000</v>
      </c>
      <c r="M270" s="265">
        <v>0</v>
      </c>
    </row>
    <row r="271" spans="1:13" s="36" customFormat="1" ht="13.8" thickBot="1" x14ac:dyDescent="0.3">
      <c r="A271" s="34"/>
      <c r="B271" s="169" t="s">
        <v>140</v>
      </c>
      <c r="C271" s="444">
        <v>656</v>
      </c>
      <c r="D271" s="422">
        <v>11</v>
      </c>
      <c r="E271" s="422">
        <v>1</v>
      </c>
      <c r="F271" s="399" t="s">
        <v>122</v>
      </c>
      <c r="G271" s="414">
        <v>0</v>
      </c>
      <c r="H271" s="287">
        <f>H272</f>
        <v>1778080</v>
      </c>
      <c r="I271" s="288">
        <v>0</v>
      </c>
      <c r="J271" s="287">
        <f>J272</f>
        <v>1951000</v>
      </c>
      <c r="K271" s="288">
        <v>0</v>
      </c>
      <c r="L271" s="287">
        <f>L272</f>
        <v>1951000</v>
      </c>
      <c r="M271" s="288">
        <v>0</v>
      </c>
    </row>
    <row r="272" spans="1:13" s="36" customFormat="1" ht="46.2" x14ac:dyDescent="0.25">
      <c r="A272" s="34"/>
      <c r="B272" s="163" t="s">
        <v>439</v>
      </c>
      <c r="C272" s="444">
        <v>656</v>
      </c>
      <c r="D272" s="400">
        <v>11</v>
      </c>
      <c r="E272" s="400">
        <v>1</v>
      </c>
      <c r="F272" s="420" t="s">
        <v>113</v>
      </c>
      <c r="G272" s="401">
        <v>0</v>
      </c>
      <c r="H272" s="266">
        <f>H273+H278+H281</f>
        <v>1778080</v>
      </c>
      <c r="I272" s="267">
        <v>0</v>
      </c>
      <c r="J272" s="266">
        <f>J273+J278</f>
        <v>1951000</v>
      </c>
      <c r="K272" s="267">
        <v>0</v>
      </c>
      <c r="L272" s="266">
        <f>L273+L278</f>
        <v>1951000</v>
      </c>
      <c r="M272" s="267">
        <v>0</v>
      </c>
    </row>
    <row r="273" spans="1:13" s="10" customFormat="1" ht="60" x14ac:dyDescent="0.25">
      <c r="A273" s="29"/>
      <c r="B273" s="239" t="s">
        <v>440</v>
      </c>
      <c r="C273" s="444">
        <v>656</v>
      </c>
      <c r="D273" s="402">
        <v>11</v>
      </c>
      <c r="E273" s="402">
        <v>1</v>
      </c>
      <c r="F273" s="378" t="s">
        <v>114</v>
      </c>
      <c r="G273" s="348">
        <v>0</v>
      </c>
      <c r="H273" s="268">
        <f>H274</f>
        <v>485000</v>
      </c>
      <c r="I273" s="269">
        <v>0</v>
      </c>
      <c r="J273" s="268">
        <f>J274</f>
        <v>651000</v>
      </c>
      <c r="K273" s="269">
        <v>0</v>
      </c>
      <c r="L273" s="268">
        <f>L274</f>
        <v>651000</v>
      </c>
      <c r="M273" s="269">
        <v>0</v>
      </c>
    </row>
    <row r="274" spans="1:13" s="10" customFormat="1" ht="48" x14ac:dyDescent="0.25">
      <c r="A274" s="29"/>
      <c r="B274" s="151" t="s">
        <v>75</v>
      </c>
      <c r="C274" s="444">
        <v>656</v>
      </c>
      <c r="D274" s="425">
        <v>11</v>
      </c>
      <c r="E274" s="425">
        <v>1</v>
      </c>
      <c r="F274" s="378" t="s">
        <v>114</v>
      </c>
      <c r="G274" s="348">
        <v>100</v>
      </c>
      <c r="H274" s="268">
        <f>H275+H277+H276</f>
        <v>485000</v>
      </c>
      <c r="I274" s="269">
        <v>0</v>
      </c>
      <c r="J274" s="268">
        <f>J275+J277+J276</f>
        <v>651000</v>
      </c>
      <c r="K274" s="269">
        <v>0</v>
      </c>
      <c r="L274" s="268">
        <f>L275+L277+L276</f>
        <v>651000</v>
      </c>
      <c r="M274" s="269">
        <v>0</v>
      </c>
    </row>
    <row r="275" spans="1:13" s="10" customFormat="1" x14ac:dyDescent="0.25">
      <c r="A275" s="29"/>
      <c r="B275" s="239" t="s">
        <v>490</v>
      </c>
      <c r="C275" s="444">
        <v>656</v>
      </c>
      <c r="D275" s="402">
        <v>11</v>
      </c>
      <c r="E275" s="402">
        <v>1</v>
      </c>
      <c r="F275" s="378" t="s">
        <v>114</v>
      </c>
      <c r="G275" s="348">
        <v>111</v>
      </c>
      <c r="H275" s="268">
        <f>'по нов.7'!R162</f>
        <v>360340.66000000003</v>
      </c>
      <c r="I275" s="269">
        <v>0</v>
      </c>
      <c r="J275" s="268">
        <f>'по нов.7'!W162</f>
        <v>500000</v>
      </c>
      <c r="K275" s="269">
        <v>0</v>
      </c>
      <c r="L275" s="268">
        <f>'по нов.7'!X162</f>
        <v>500000</v>
      </c>
      <c r="M275" s="269">
        <v>0</v>
      </c>
    </row>
    <row r="276" spans="1:13" s="10" customFormat="1" ht="24" x14ac:dyDescent="0.25">
      <c r="A276" s="29"/>
      <c r="B276" s="239" t="s">
        <v>487</v>
      </c>
      <c r="C276" s="444">
        <v>656</v>
      </c>
      <c r="D276" s="402">
        <v>11</v>
      </c>
      <c r="E276" s="402">
        <v>1</v>
      </c>
      <c r="F276" s="378" t="s">
        <v>114</v>
      </c>
      <c r="G276" s="348">
        <v>112</v>
      </c>
      <c r="H276" s="268">
        <f>'по нов.7'!R163</f>
        <v>2000</v>
      </c>
      <c r="I276" s="269"/>
      <c r="J276" s="268">
        <f>'по нов.7'!W163</f>
        <v>0</v>
      </c>
      <c r="K276" s="269"/>
      <c r="L276" s="268">
        <f>'по нов.7'!X163</f>
        <v>0</v>
      </c>
      <c r="M276" s="269"/>
    </row>
    <row r="277" spans="1:13" s="10" customFormat="1" ht="36" x14ac:dyDescent="0.25">
      <c r="A277" s="29"/>
      <c r="B277" s="239" t="s">
        <v>491</v>
      </c>
      <c r="C277" s="441">
        <v>656</v>
      </c>
      <c r="D277" s="402">
        <v>11</v>
      </c>
      <c r="E277" s="402">
        <v>1</v>
      </c>
      <c r="F277" s="378" t="s">
        <v>114</v>
      </c>
      <c r="G277" s="348">
        <v>119</v>
      </c>
      <c r="H277" s="268">
        <f>'по нов.7'!R164</f>
        <v>122659.34</v>
      </c>
      <c r="I277" s="269">
        <v>0</v>
      </c>
      <c r="J277" s="268">
        <f>'по нов.7'!W164</f>
        <v>151000</v>
      </c>
      <c r="K277" s="269">
        <v>0</v>
      </c>
      <c r="L277" s="268">
        <f>'по нов.7'!X164</f>
        <v>151000</v>
      </c>
      <c r="M277" s="269">
        <v>0</v>
      </c>
    </row>
    <row r="278" spans="1:13" s="10" customFormat="1" ht="72" x14ac:dyDescent="0.25">
      <c r="A278" s="29"/>
      <c r="B278" s="164" t="s">
        <v>470</v>
      </c>
      <c r="C278" s="444">
        <v>656</v>
      </c>
      <c r="D278" s="425">
        <v>11</v>
      </c>
      <c r="E278" s="425">
        <v>1</v>
      </c>
      <c r="F278" s="378" t="s">
        <v>114</v>
      </c>
      <c r="G278" s="374">
        <v>0</v>
      </c>
      <c r="H278" s="278">
        <f>H280</f>
        <v>1185080</v>
      </c>
      <c r="I278" s="279">
        <v>0</v>
      </c>
      <c r="J278" s="278">
        <f>J280</f>
        <v>1300000</v>
      </c>
      <c r="K278" s="279">
        <v>0</v>
      </c>
      <c r="L278" s="278">
        <f>L280</f>
        <v>1300000</v>
      </c>
      <c r="M278" s="279">
        <v>0</v>
      </c>
    </row>
    <row r="279" spans="1:13" s="10" customFormat="1" ht="24" x14ac:dyDescent="0.25">
      <c r="A279" s="29"/>
      <c r="B279" s="151" t="s">
        <v>128</v>
      </c>
      <c r="C279" s="444">
        <v>656</v>
      </c>
      <c r="D279" s="425">
        <v>11</v>
      </c>
      <c r="E279" s="425">
        <v>1</v>
      </c>
      <c r="F279" s="378" t="s">
        <v>114</v>
      </c>
      <c r="G279" s="374">
        <v>200</v>
      </c>
      <c r="H279" s="268">
        <f>H280</f>
        <v>1185080</v>
      </c>
      <c r="I279" s="269">
        <v>0</v>
      </c>
      <c r="J279" s="268">
        <f>J280</f>
        <v>1300000</v>
      </c>
      <c r="K279" s="269">
        <v>0</v>
      </c>
      <c r="L279" s="268">
        <f>L280</f>
        <v>1300000</v>
      </c>
      <c r="M279" s="269">
        <v>0</v>
      </c>
    </row>
    <row r="280" spans="1:13" s="10" customFormat="1" ht="36" x14ac:dyDescent="0.25">
      <c r="A280" s="29"/>
      <c r="B280" s="229" t="s">
        <v>506</v>
      </c>
      <c r="C280" s="444">
        <v>656</v>
      </c>
      <c r="D280" s="402">
        <v>11</v>
      </c>
      <c r="E280" s="402">
        <v>1</v>
      </c>
      <c r="F280" s="378" t="s">
        <v>114</v>
      </c>
      <c r="G280" s="348">
        <v>244</v>
      </c>
      <c r="H280" s="268">
        <f>'по нов.7'!R167</f>
        <v>1185080</v>
      </c>
      <c r="I280" s="269">
        <v>0</v>
      </c>
      <c r="J280" s="268">
        <f>'по нов.7'!W167</f>
        <v>1300000</v>
      </c>
      <c r="K280" s="269">
        <v>0</v>
      </c>
      <c r="L280" s="268">
        <f>'по нов.7'!X167</f>
        <v>1300000</v>
      </c>
      <c r="M280" s="269">
        <v>0</v>
      </c>
    </row>
    <row r="281" spans="1:13" s="10" customFormat="1" ht="48" x14ac:dyDescent="0.25">
      <c r="A281" s="29"/>
      <c r="B281" s="151" t="s">
        <v>75</v>
      </c>
      <c r="C281" s="444">
        <v>656</v>
      </c>
      <c r="D281" s="425">
        <v>11</v>
      </c>
      <c r="E281" s="425">
        <v>1</v>
      </c>
      <c r="F281" s="378" t="s">
        <v>114</v>
      </c>
      <c r="G281" s="348">
        <v>100</v>
      </c>
      <c r="H281" s="268">
        <f>H282+H283</f>
        <v>108000</v>
      </c>
      <c r="I281" s="269">
        <v>0</v>
      </c>
      <c r="J281" s="268">
        <f>J282+J283</f>
        <v>0</v>
      </c>
      <c r="K281" s="269">
        <v>0</v>
      </c>
      <c r="L281" s="268">
        <f>L282+L283</f>
        <v>0</v>
      </c>
      <c r="M281" s="269">
        <v>0</v>
      </c>
    </row>
    <row r="282" spans="1:13" s="10" customFormat="1" x14ac:dyDescent="0.25">
      <c r="A282" s="29"/>
      <c r="B282" s="239" t="s">
        <v>490</v>
      </c>
      <c r="C282" s="444">
        <v>656</v>
      </c>
      <c r="D282" s="402">
        <v>11</v>
      </c>
      <c r="E282" s="402">
        <v>1</v>
      </c>
      <c r="F282" s="378" t="s">
        <v>114</v>
      </c>
      <c r="G282" s="348">
        <v>111</v>
      </c>
      <c r="H282" s="268">
        <f>'по нов.7'!R169</f>
        <v>72340.66</v>
      </c>
      <c r="I282" s="269">
        <v>0</v>
      </c>
      <c r="J282" s="268">
        <f>'по нов.7'!W169</f>
        <v>0</v>
      </c>
      <c r="K282" s="269">
        <v>0</v>
      </c>
      <c r="L282" s="268">
        <f>'по нов.7'!X169</f>
        <v>0</v>
      </c>
      <c r="M282" s="269">
        <v>0</v>
      </c>
    </row>
    <row r="283" spans="1:13" s="10" customFormat="1" ht="36.6" thickBot="1" x14ac:dyDescent="0.3">
      <c r="A283" s="29"/>
      <c r="B283" s="239" t="s">
        <v>491</v>
      </c>
      <c r="C283" s="441">
        <v>656</v>
      </c>
      <c r="D283" s="402">
        <v>11</v>
      </c>
      <c r="E283" s="402">
        <v>1</v>
      </c>
      <c r="F283" s="378" t="s">
        <v>114</v>
      </c>
      <c r="G283" s="348">
        <v>119</v>
      </c>
      <c r="H283" s="268">
        <f>'по нов.7'!R170</f>
        <v>35659.339999999997</v>
      </c>
      <c r="I283" s="269">
        <v>0</v>
      </c>
      <c r="J283" s="268">
        <f>'по нов.7'!W171</f>
        <v>0</v>
      </c>
      <c r="K283" s="269">
        <v>0</v>
      </c>
      <c r="L283" s="268">
        <f>'по нов.7'!X171</f>
        <v>0</v>
      </c>
      <c r="M283" s="269">
        <v>0</v>
      </c>
    </row>
    <row r="284" spans="1:13" s="36" customFormat="1" ht="13.8" thickBot="1" x14ac:dyDescent="0.3">
      <c r="A284" s="170"/>
      <c r="B284" s="489" t="s">
        <v>22</v>
      </c>
      <c r="C284" s="490"/>
      <c r="D284" s="490"/>
      <c r="E284" s="490"/>
      <c r="F284" s="490"/>
      <c r="G284" s="491"/>
      <c r="H284" s="291">
        <f>H270+H264+H233+H162+H129+H102+H91+H19+H225</f>
        <v>60644464.370000005</v>
      </c>
      <c r="I284" s="291">
        <f>I270+I264+I233+I162+I129+I102+I91+I19+I43+I225</f>
        <v>222140</v>
      </c>
      <c r="J284" s="291">
        <f>J270+J264+J233+J162+J129+J102+J91+J19+J43+J225</f>
        <v>28097254.5</v>
      </c>
      <c r="K284" s="291">
        <f>K270+K264+K233+K162+K129+K102+K91+K19+K43+K225</f>
        <v>226040</v>
      </c>
      <c r="L284" s="291">
        <f>L270+L264+L233+L162+L129+L102+L91+L19+L43+L225</f>
        <v>28644374.5</v>
      </c>
      <c r="M284" s="291">
        <f>M270+M264+M233+M162+M129+M102+M91+M19+M43+M225</f>
        <v>239340</v>
      </c>
    </row>
    <row r="285" spans="1:13" x14ac:dyDescent="0.25">
      <c r="C285" s="451"/>
    </row>
    <row r="286" spans="1:13" x14ac:dyDescent="0.25">
      <c r="C286" s="451"/>
    </row>
    <row r="287" spans="1:13" x14ac:dyDescent="0.25">
      <c r="C287" s="451"/>
    </row>
    <row r="288" spans="1:13" x14ac:dyDescent="0.25">
      <c r="C288" s="451"/>
    </row>
    <row r="289" spans="2:7" x14ac:dyDescent="0.25">
      <c r="C289" s="451"/>
    </row>
    <row r="290" spans="2:7" x14ac:dyDescent="0.25">
      <c r="B290" s="27"/>
      <c r="C290" s="451"/>
      <c r="D290" s="27"/>
      <c r="E290" s="27"/>
      <c r="F290" s="27"/>
      <c r="G290" s="27"/>
    </row>
    <row r="291" spans="2:7" x14ac:dyDescent="0.25">
      <c r="B291" s="27"/>
      <c r="C291" s="451"/>
      <c r="D291" s="27"/>
      <c r="E291" s="27"/>
      <c r="F291" s="27"/>
      <c r="G291" s="27"/>
    </row>
    <row r="292" spans="2:7" x14ac:dyDescent="0.25">
      <c r="B292" s="27"/>
      <c r="C292" s="451"/>
      <c r="D292" s="27"/>
      <c r="E292" s="27"/>
      <c r="F292" s="27"/>
      <c r="G292" s="27"/>
    </row>
    <row r="293" spans="2:7" x14ac:dyDescent="0.25">
      <c r="B293" s="27"/>
      <c r="C293" s="451"/>
      <c r="D293" s="27"/>
      <c r="E293" s="27"/>
      <c r="F293" s="27"/>
      <c r="G293" s="27"/>
    </row>
    <row r="294" spans="2:7" x14ac:dyDescent="0.25">
      <c r="B294" s="27"/>
      <c r="C294" s="451"/>
      <c r="D294" s="27"/>
      <c r="E294" s="27"/>
      <c r="F294" s="27"/>
      <c r="G294" s="27"/>
    </row>
    <row r="295" spans="2:7" x14ac:dyDescent="0.25">
      <c r="B295" s="27"/>
      <c r="C295" s="451"/>
      <c r="D295" s="27"/>
      <c r="E295" s="27"/>
      <c r="F295" s="27"/>
      <c r="G295" s="27"/>
    </row>
    <row r="296" spans="2:7" x14ac:dyDescent="0.25">
      <c r="B296" s="27"/>
      <c r="C296" s="451"/>
      <c r="D296" s="27"/>
      <c r="E296" s="27"/>
      <c r="F296" s="27"/>
      <c r="G296" s="27"/>
    </row>
    <row r="297" spans="2:7" x14ac:dyDescent="0.25">
      <c r="B297" s="27"/>
      <c r="C297" s="451"/>
      <c r="D297" s="27"/>
      <c r="E297" s="27"/>
      <c r="F297" s="27"/>
      <c r="G297" s="27"/>
    </row>
    <row r="298" spans="2:7" x14ac:dyDescent="0.25">
      <c r="B298" s="27"/>
      <c r="C298" s="451"/>
      <c r="D298" s="27"/>
      <c r="E298" s="27"/>
      <c r="F298" s="27"/>
      <c r="G298" s="27"/>
    </row>
    <row r="299" spans="2:7" x14ac:dyDescent="0.25">
      <c r="B299" s="27"/>
      <c r="C299" s="451"/>
      <c r="D299" s="27"/>
      <c r="E299" s="27"/>
      <c r="F299" s="27"/>
      <c r="G299" s="27"/>
    </row>
    <row r="300" spans="2:7" x14ac:dyDescent="0.25">
      <c r="B300" s="27"/>
      <c r="C300" s="451"/>
      <c r="D300" s="27"/>
      <c r="E300" s="27"/>
      <c r="F300" s="27"/>
      <c r="G300" s="27"/>
    </row>
    <row r="301" spans="2:7" x14ac:dyDescent="0.25">
      <c r="B301" s="27"/>
      <c r="C301" s="451"/>
      <c r="D301" s="27"/>
      <c r="E301" s="27"/>
      <c r="F301" s="27"/>
      <c r="G301" s="27"/>
    </row>
    <row r="302" spans="2:7" x14ac:dyDescent="0.25">
      <c r="B302" s="27"/>
      <c r="C302" s="451"/>
      <c r="D302" s="27"/>
      <c r="E302" s="27"/>
      <c r="F302" s="27"/>
      <c r="G302" s="27"/>
    </row>
    <row r="303" spans="2:7" x14ac:dyDescent="0.25">
      <c r="B303" s="27"/>
      <c r="C303" s="451"/>
      <c r="D303" s="27"/>
      <c r="E303" s="27"/>
      <c r="F303" s="27"/>
      <c r="G303" s="27"/>
    </row>
    <row r="318" spans="2:7" x14ac:dyDescent="0.25">
      <c r="B318" s="27"/>
      <c r="C318" s="27"/>
      <c r="D318" s="27"/>
      <c r="E318" s="27"/>
      <c r="F318" s="27"/>
      <c r="G318" s="27"/>
    </row>
    <row r="319" spans="2:7" x14ac:dyDescent="0.25">
      <c r="B319" s="27"/>
      <c r="C319" s="27"/>
      <c r="D319" s="27"/>
      <c r="E319" s="27"/>
      <c r="F319" s="27"/>
      <c r="G319" s="27"/>
    </row>
    <row r="320" spans="2:7" x14ac:dyDescent="0.25">
      <c r="B320" s="27"/>
      <c r="C320" s="27"/>
      <c r="D320" s="27"/>
      <c r="E320" s="27"/>
      <c r="F320" s="27"/>
      <c r="G320" s="27"/>
    </row>
    <row r="321" spans="2:7" x14ac:dyDescent="0.25">
      <c r="B321" s="27"/>
      <c r="C321" s="27"/>
      <c r="D321" s="27"/>
      <c r="E321" s="27"/>
      <c r="F321" s="27"/>
      <c r="G321" s="27"/>
    </row>
    <row r="322" spans="2:7" x14ac:dyDescent="0.25">
      <c r="B322" s="27"/>
      <c r="C322" s="27"/>
      <c r="D322" s="27"/>
      <c r="E322" s="27"/>
      <c r="F322" s="27"/>
      <c r="G322" s="27"/>
    </row>
    <row r="323" spans="2:7" x14ac:dyDescent="0.25">
      <c r="B323" s="27"/>
      <c r="C323" s="27"/>
      <c r="D323" s="27"/>
      <c r="E323" s="27"/>
      <c r="F323" s="27"/>
      <c r="G323" s="27"/>
    </row>
    <row r="324" spans="2:7" x14ac:dyDescent="0.25">
      <c r="B324" s="27"/>
      <c r="C324" s="27"/>
      <c r="D324" s="27"/>
      <c r="E324" s="27"/>
      <c r="F324" s="27"/>
      <c r="G324" s="27"/>
    </row>
    <row r="325" spans="2:7" x14ac:dyDescent="0.25">
      <c r="B325" s="27"/>
      <c r="C325" s="27"/>
      <c r="D325" s="27"/>
      <c r="E325" s="27"/>
      <c r="F325" s="27"/>
      <c r="G325" s="27"/>
    </row>
    <row r="326" spans="2:7" x14ac:dyDescent="0.25">
      <c r="B326" s="27"/>
      <c r="C326" s="27"/>
      <c r="D326" s="27"/>
      <c r="E326" s="27"/>
      <c r="F326" s="27"/>
      <c r="G326" s="27"/>
    </row>
    <row r="327" spans="2:7" x14ac:dyDescent="0.25">
      <c r="B327" s="27"/>
      <c r="C327" s="27"/>
      <c r="D327" s="27"/>
      <c r="E327" s="27"/>
      <c r="F327" s="27"/>
      <c r="G327" s="27"/>
    </row>
    <row r="328" spans="2:7" x14ac:dyDescent="0.25">
      <c r="B328" s="27"/>
      <c r="C328" s="27"/>
      <c r="D328" s="27"/>
      <c r="E328" s="27"/>
      <c r="F328" s="27"/>
      <c r="G328" s="27"/>
    </row>
    <row r="329" spans="2:7" x14ac:dyDescent="0.25">
      <c r="B329" s="27"/>
      <c r="C329" s="27"/>
      <c r="D329" s="27"/>
      <c r="E329" s="27"/>
      <c r="F329" s="27"/>
      <c r="G329" s="27"/>
    </row>
    <row r="330" spans="2:7" x14ac:dyDescent="0.25">
      <c r="B330" s="27"/>
      <c r="C330" s="27"/>
      <c r="D330" s="27"/>
      <c r="E330" s="27"/>
      <c r="F330" s="27"/>
      <c r="G330" s="27"/>
    </row>
    <row r="331" spans="2:7" x14ac:dyDescent="0.25">
      <c r="B331" s="27"/>
      <c r="C331" s="27"/>
      <c r="D331" s="27"/>
      <c r="E331" s="27"/>
      <c r="F331" s="27"/>
      <c r="G331" s="27"/>
    </row>
    <row r="332" spans="2:7" x14ac:dyDescent="0.25">
      <c r="B332" s="27"/>
      <c r="C332" s="27"/>
      <c r="D332" s="27"/>
      <c r="E332" s="27"/>
      <c r="F332" s="27"/>
      <c r="G332" s="27"/>
    </row>
    <row r="333" spans="2:7" x14ac:dyDescent="0.25">
      <c r="B333" s="27"/>
      <c r="C333" s="27"/>
      <c r="D333" s="27"/>
      <c r="E333" s="27"/>
      <c r="F333" s="27"/>
      <c r="G333" s="27"/>
    </row>
    <row r="334" spans="2:7" x14ac:dyDescent="0.25">
      <c r="B334" s="27"/>
      <c r="C334" s="27"/>
      <c r="D334" s="27"/>
      <c r="E334" s="27"/>
      <c r="F334" s="27"/>
      <c r="G334" s="27"/>
    </row>
    <row r="335" spans="2:7" x14ac:dyDescent="0.25">
      <c r="B335" s="27"/>
      <c r="C335" s="27"/>
      <c r="D335" s="27"/>
      <c r="E335" s="27"/>
      <c r="F335" s="27"/>
      <c r="G335" s="27"/>
    </row>
    <row r="336" spans="2:7" x14ac:dyDescent="0.25">
      <c r="B336" s="27"/>
      <c r="C336" s="27"/>
      <c r="D336" s="27"/>
      <c r="E336" s="27"/>
      <c r="F336" s="27"/>
      <c r="G336" s="27"/>
    </row>
    <row r="337" spans="2:7" x14ac:dyDescent="0.25">
      <c r="B337" s="27"/>
      <c r="C337" s="27"/>
      <c r="D337" s="27"/>
      <c r="E337" s="27"/>
      <c r="F337" s="27"/>
      <c r="G337" s="27"/>
    </row>
    <row r="338" spans="2:7" x14ac:dyDescent="0.25">
      <c r="B338" s="27"/>
      <c r="C338" s="27"/>
      <c r="D338" s="27"/>
      <c r="E338" s="27"/>
      <c r="F338" s="27"/>
      <c r="G338" s="27"/>
    </row>
    <row r="339" spans="2:7" x14ac:dyDescent="0.25">
      <c r="B339" s="27"/>
      <c r="C339" s="27"/>
      <c r="D339" s="27"/>
      <c r="E339" s="27"/>
      <c r="F339" s="27"/>
      <c r="G339" s="27"/>
    </row>
    <row r="340" spans="2:7" x14ac:dyDescent="0.25">
      <c r="B340" s="27"/>
      <c r="C340" s="27"/>
      <c r="D340" s="27"/>
      <c r="E340" s="27"/>
      <c r="F340" s="27"/>
      <c r="G340" s="27"/>
    </row>
    <row r="341" spans="2:7" x14ac:dyDescent="0.25">
      <c r="B341" s="27"/>
      <c r="C341" s="27"/>
      <c r="D341" s="27"/>
      <c r="E341" s="27"/>
      <c r="F341" s="27"/>
      <c r="G341" s="27"/>
    </row>
    <row r="342" spans="2:7" x14ac:dyDescent="0.25">
      <c r="B342" s="27"/>
      <c r="C342" s="27"/>
      <c r="D342" s="27"/>
      <c r="E342" s="27"/>
      <c r="F342" s="27"/>
      <c r="G342" s="27"/>
    </row>
    <row r="343" spans="2:7" x14ac:dyDescent="0.25">
      <c r="B343" s="27"/>
      <c r="C343" s="27"/>
      <c r="D343" s="27"/>
      <c r="E343" s="27"/>
      <c r="F343" s="27"/>
      <c r="G343" s="27"/>
    </row>
    <row r="344" spans="2:7" x14ac:dyDescent="0.25">
      <c r="B344" s="27"/>
      <c r="C344" s="27"/>
      <c r="D344" s="27"/>
      <c r="E344" s="27"/>
      <c r="F344" s="27"/>
      <c r="G344" s="27"/>
    </row>
    <row r="345" spans="2:7" x14ac:dyDescent="0.25">
      <c r="B345" s="27"/>
      <c r="C345" s="27"/>
      <c r="D345" s="27"/>
      <c r="E345" s="27"/>
      <c r="F345" s="27"/>
      <c r="G345" s="27"/>
    </row>
    <row r="346" spans="2:7" x14ac:dyDescent="0.25">
      <c r="B346" s="27"/>
      <c r="C346" s="27"/>
      <c r="D346" s="27"/>
      <c r="E346" s="27"/>
      <c r="F346" s="27"/>
      <c r="G346" s="27"/>
    </row>
    <row r="347" spans="2:7" x14ac:dyDescent="0.25">
      <c r="B347" s="27"/>
      <c r="C347" s="27"/>
      <c r="D347" s="27"/>
      <c r="E347" s="27"/>
      <c r="F347" s="27"/>
      <c r="G347" s="27"/>
    </row>
    <row r="348" spans="2:7" x14ac:dyDescent="0.25">
      <c r="B348" s="27"/>
      <c r="C348" s="27"/>
      <c r="D348" s="27"/>
      <c r="E348" s="27"/>
      <c r="F348" s="27"/>
      <c r="G348" s="27"/>
    </row>
    <row r="349" spans="2:7" x14ac:dyDescent="0.25">
      <c r="B349" s="27"/>
      <c r="C349" s="27"/>
      <c r="D349" s="27"/>
      <c r="E349" s="27"/>
      <c r="F349" s="27"/>
      <c r="G349" s="27"/>
    </row>
    <row r="350" spans="2:7" x14ac:dyDescent="0.25">
      <c r="B350" s="27"/>
      <c r="C350" s="27"/>
      <c r="D350" s="27"/>
      <c r="E350" s="27"/>
      <c r="F350" s="27"/>
      <c r="G350" s="27"/>
    </row>
    <row r="351" spans="2:7" x14ac:dyDescent="0.25">
      <c r="B351" s="27"/>
      <c r="C351" s="27"/>
      <c r="D351" s="27"/>
      <c r="E351" s="27"/>
      <c r="F351" s="27"/>
      <c r="G351" s="27"/>
    </row>
    <row r="352" spans="2:7" x14ac:dyDescent="0.25">
      <c r="B352" s="27"/>
      <c r="C352" s="27"/>
      <c r="D352" s="27"/>
      <c r="E352" s="27"/>
      <c r="F352" s="27"/>
      <c r="G352" s="27"/>
    </row>
    <row r="353" spans="2:7" x14ac:dyDescent="0.25">
      <c r="B353" s="27"/>
      <c r="C353" s="27"/>
      <c r="D353" s="27"/>
      <c r="E353" s="27"/>
      <c r="F353" s="27"/>
      <c r="G353" s="27"/>
    </row>
    <row r="354" spans="2:7" x14ac:dyDescent="0.25">
      <c r="B354" s="27"/>
      <c r="C354" s="27"/>
      <c r="D354" s="27"/>
      <c r="E354" s="27"/>
      <c r="F354" s="27"/>
      <c r="G354" s="27"/>
    </row>
    <row r="355" spans="2:7" x14ac:dyDescent="0.25">
      <c r="B355" s="27"/>
      <c r="C355" s="27"/>
      <c r="D355" s="27"/>
      <c r="E355" s="27"/>
      <c r="F355" s="27"/>
      <c r="G355" s="27"/>
    </row>
    <row r="356" spans="2:7" x14ac:dyDescent="0.25">
      <c r="B356" s="27"/>
      <c r="C356" s="27"/>
      <c r="D356" s="27"/>
      <c r="E356" s="27"/>
      <c r="F356" s="27"/>
      <c r="G356" s="27"/>
    </row>
    <row r="357" spans="2:7" x14ac:dyDescent="0.25">
      <c r="B357" s="27"/>
      <c r="C357" s="27"/>
      <c r="D357" s="27"/>
      <c r="E357" s="27"/>
      <c r="F357" s="27"/>
      <c r="G357" s="27"/>
    </row>
    <row r="358" spans="2:7" x14ac:dyDescent="0.25">
      <c r="B358" s="27"/>
      <c r="C358" s="27"/>
      <c r="D358" s="27"/>
      <c r="E358" s="27"/>
      <c r="F358" s="27"/>
      <c r="G358" s="27"/>
    </row>
    <row r="359" spans="2:7" x14ac:dyDescent="0.25">
      <c r="B359" s="27"/>
      <c r="C359" s="27"/>
      <c r="D359" s="27"/>
      <c r="E359" s="27"/>
      <c r="F359" s="27"/>
      <c r="G359" s="27"/>
    </row>
    <row r="360" spans="2:7" x14ac:dyDescent="0.25">
      <c r="B360" s="27"/>
      <c r="C360" s="27"/>
      <c r="D360" s="27"/>
      <c r="E360" s="27"/>
      <c r="F360" s="27"/>
      <c r="G360" s="27"/>
    </row>
    <row r="361" spans="2:7" x14ac:dyDescent="0.25">
      <c r="B361" s="27"/>
      <c r="C361" s="27"/>
      <c r="D361" s="27"/>
      <c r="E361" s="27"/>
      <c r="F361" s="27"/>
      <c r="G361" s="27"/>
    </row>
    <row r="362" spans="2:7" x14ac:dyDescent="0.25">
      <c r="B362" s="27"/>
      <c r="C362" s="27"/>
      <c r="D362" s="27"/>
      <c r="E362" s="27"/>
      <c r="F362" s="27"/>
      <c r="G362" s="27"/>
    </row>
    <row r="363" spans="2:7" x14ac:dyDescent="0.25">
      <c r="B363" s="27"/>
      <c r="C363" s="27"/>
      <c r="D363" s="27"/>
      <c r="E363" s="27"/>
      <c r="F363" s="27"/>
      <c r="G363" s="27"/>
    </row>
    <row r="364" spans="2:7" x14ac:dyDescent="0.25">
      <c r="B364" s="27"/>
      <c r="C364" s="27"/>
      <c r="D364" s="27"/>
      <c r="E364" s="27"/>
      <c r="F364" s="27"/>
      <c r="G364" s="27"/>
    </row>
    <row r="365" spans="2:7" x14ac:dyDescent="0.25">
      <c r="B365" s="27"/>
      <c r="C365" s="27"/>
      <c r="D365" s="27"/>
      <c r="E365" s="27"/>
      <c r="F365" s="27"/>
      <c r="G365" s="27"/>
    </row>
    <row r="366" spans="2:7" x14ac:dyDescent="0.25">
      <c r="B366" s="27"/>
      <c r="C366" s="27"/>
      <c r="D366" s="27"/>
      <c r="E366" s="27"/>
      <c r="F366" s="27"/>
      <c r="G366" s="27"/>
    </row>
    <row r="367" spans="2:7" x14ac:dyDescent="0.25">
      <c r="B367" s="27"/>
      <c r="C367" s="27"/>
      <c r="D367" s="27"/>
      <c r="E367" s="27"/>
      <c r="F367" s="27"/>
      <c r="G367" s="27"/>
    </row>
    <row r="368" spans="2:7" x14ac:dyDescent="0.25">
      <c r="B368" s="27"/>
      <c r="C368" s="27"/>
      <c r="D368" s="27"/>
      <c r="E368" s="27"/>
      <c r="F368" s="27"/>
      <c r="G368" s="27"/>
    </row>
    <row r="369" spans="2:7" x14ac:dyDescent="0.25">
      <c r="B369" s="27"/>
      <c r="C369" s="27"/>
      <c r="D369" s="27"/>
      <c r="E369" s="27"/>
      <c r="F369" s="27"/>
      <c r="G369" s="27"/>
    </row>
    <row r="370" spans="2:7" x14ac:dyDescent="0.25">
      <c r="B370" s="27"/>
      <c r="C370" s="27"/>
      <c r="D370" s="27"/>
      <c r="E370" s="27"/>
      <c r="F370" s="27"/>
      <c r="G370" s="27"/>
    </row>
    <row r="371" spans="2:7" x14ac:dyDescent="0.25">
      <c r="B371" s="27"/>
      <c r="C371" s="27"/>
      <c r="D371" s="27"/>
      <c r="E371" s="27"/>
      <c r="F371" s="27"/>
      <c r="G371" s="27"/>
    </row>
    <row r="372" spans="2:7" x14ac:dyDescent="0.25">
      <c r="B372" s="27"/>
      <c r="C372" s="27"/>
      <c r="D372" s="27"/>
      <c r="E372" s="27"/>
      <c r="F372" s="27"/>
      <c r="G372" s="27"/>
    </row>
    <row r="373" spans="2:7" x14ac:dyDescent="0.25">
      <c r="B373" s="27"/>
      <c r="C373" s="27"/>
      <c r="D373" s="27"/>
      <c r="E373" s="27"/>
      <c r="F373" s="27"/>
      <c r="G373" s="27"/>
    </row>
    <row r="374" spans="2:7" x14ac:dyDescent="0.25">
      <c r="B374" s="27"/>
      <c r="C374" s="27"/>
      <c r="D374" s="27"/>
      <c r="E374" s="27"/>
      <c r="F374" s="27"/>
      <c r="G374" s="27"/>
    </row>
    <row r="375" spans="2:7" x14ac:dyDescent="0.25">
      <c r="B375" s="27"/>
      <c r="C375" s="27"/>
      <c r="D375" s="27"/>
      <c r="E375" s="27"/>
      <c r="F375" s="27"/>
      <c r="G375" s="27"/>
    </row>
    <row r="376" spans="2:7" x14ac:dyDescent="0.25">
      <c r="B376" s="27"/>
      <c r="C376" s="27"/>
      <c r="D376" s="27"/>
      <c r="E376" s="27"/>
      <c r="F376" s="27"/>
      <c r="G376" s="27"/>
    </row>
    <row r="377" spans="2:7" x14ac:dyDescent="0.25">
      <c r="B377" s="27"/>
      <c r="C377" s="27"/>
      <c r="D377" s="27"/>
      <c r="E377" s="27"/>
      <c r="F377" s="27"/>
      <c r="G377" s="27"/>
    </row>
    <row r="378" spans="2:7" x14ac:dyDescent="0.25">
      <c r="B378" s="27"/>
      <c r="C378" s="27"/>
      <c r="D378" s="27"/>
      <c r="E378" s="27"/>
      <c r="F378" s="27"/>
      <c r="G378" s="27"/>
    </row>
    <row r="379" spans="2:7" x14ac:dyDescent="0.25">
      <c r="B379" s="27"/>
      <c r="C379" s="27"/>
      <c r="D379" s="27"/>
      <c r="E379" s="27"/>
      <c r="F379" s="27"/>
      <c r="G379" s="27"/>
    </row>
    <row r="380" spans="2:7" x14ac:dyDescent="0.25">
      <c r="B380" s="27"/>
      <c r="C380" s="27"/>
      <c r="D380" s="27"/>
      <c r="E380" s="27"/>
      <c r="F380" s="27"/>
      <c r="G380" s="27"/>
    </row>
    <row r="381" spans="2:7" x14ac:dyDescent="0.25">
      <c r="B381" s="27"/>
      <c r="C381" s="27"/>
      <c r="D381" s="27"/>
      <c r="E381" s="27"/>
      <c r="F381" s="27"/>
      <c r="G381" s="27"/>
    </row>
    <row r="382" spans="2:7" x14ac:dyDescent="0.25">
      <c r="B382" s="27"/>
      <c r="C382" s="27"/>
      <c r="D382" s="27"/>
      <c r="E382" s="27"/>
      <c r="F382" s="27"/>
      <c r="G382" s="27"/>
    </row>
    <row r="383" spans="2:7" x14ac:dyDescent="0.25">
      <c r="B383" s="27"/>
      <c r="C383" s="27"/>
      <c r="D383" s="27"/>
      <c r="E383" s="27"/>
      <c r="F383" s="27"/>
      <c r="G383" s="27"/>
    </row>
    <row r="384" spans="2:7" x14ac:dyDescent="0.25">
      <c r="B384" s="27"/>
      <c r="C384" s="27"/>
      <c r="D384" s="27"/>
      <c r="E384" s="27"/>
      <c r="F384" s="27"/>
      <c r="G384" s="27"/>
    </row>
    <row r="385" spans="2:7" x14ac:dyDescent="0.25">
      <c r="B385" s="27"/>
      <c r="C385" s="27"/>
      <c r="D385" s="27"/>
      <c r="E385" s="27"/>
      <c r="F385" s="27"/>
      <c r="G385" s="27"/>
    </row>
    <row r="386" spans="2:7" x14ac:dyDescent="0.25">
      <c r="B386" s="27"/>
      <c r="C386" s="27"/>
      <c r="D386" s="27"/>
      <c r="E386" s="27"/>
      <c r="F386" s="27"/>
      <c r="G386" s="27"/>
    </row>
    <row r="387" spans="2:7" x14ac:dyDescent="0.25">
      <c r="B387" s="27"/>
      <c r="C387" s="27"/>
      <c r="D387" s="27"/>
      <c r="E387" s="27"/>
      <c r="F387" s="27"/>
      <c r="G387" s="27"/>
    </row>
    <row r="388" spans="2:7" x14ac:dyDescent="0.25">
      <c r="B388" s="27"/>
      <c r="C388" s="27"/>
      <c r="D388" s="27"/>
      <c r="E388" s="27"/>
      <c r="F388" s="27"/>
      <c r="G388" s="27"/>
    </row>
    <row r="389" spans="2:7" x14ac:dyDescent="0.25">
      <c r="B389" s="27"/>
      <c r="C389" s="27"/>
      <c r="D389" s="27"/>
      <c r="E389" s="27"/>
      <c r="F389" s="27"/>
      <c r="G389" s="27"/>
    </row>
    <row r="390" spans="2:7" x14ac:dyDescent="0.25">
      <c r="B390" s="27"/>
      <c r="C390" s="27"/>
      <c r="D390" s="27"/>
      <c r="E390" s="27"/>
      <c r="F390" s="27"/>
      <c r="G390" s="27"/>
    </row>
    <row r="391" spans="2:7" x14ac:dyDescent="0.25">
      <c r="B391" s="27"/>
      <c r="C391" s="27"/>
      <c r="D391" s="27"/>
      <c r="E391" s="27"/>
      <c r="F391" s="27"/>
      <c r="G391" s="27"/>
    </row>
    <row r="392" spans="2:7" x14ac:dyDescent="0.25">
      <c r="B392" s="27"/>
      <c r="C392" s="27"/>
      <c r="D392" s="27"/>
      <c r="E392" s="27"/>
      <c r="F392" s="27"/>
      <c r="G392" s="27"/>
    </row>
    <row r="393" spans="2:7" x14ac:dyDescent="0.25">
      <c r="B393" s="27"/>
      <c r="C393" s="27"/>
      <c r="D393" s="27"/>
      <c r="E393" s="27"/>
      <c r="F393" s="27"/>
      <c r="G393" s="27"/>
    </row>
    <row r="394" spans="2:7" x14ac:dyDescent="0.25">
      <c r="B394" s="27"/>
      <c r="C394" s="27"/>
      <c r="D394" s="27"/>
      <c r="E394" s="27"/>
      <c r="F394" s="27"/>
      <c r="G394" s="27"/>
    </row>
    <row r="395" spans="2:7" x14ac:dyDescent="0.25">
      <c r="B395" s="27"/>
      <c r="C395" s="27"/>
      <c r="D395" s="27"/>
      <c r="E395" s="27"/>
      <c r="F395" s="27"/>
      <c r="G395" s="27"/>
    </row>
    <row r="396" spans="2:7" x14ac:dyDescent="0.25">
      <c r="B396" s="27"/>
      <c r="C396" s="27"/>
      <c r="D396" s="27"/>
      <c r="E396" s="27"/>
      <c r="F396" s="27"/>
      <c r="G396" s="27"/>
    </row>
    <row r="397" spans="2:7" x14ac:dyDescent="0.25">
      <c r="B397" s="27"/>
      <c r="C397" s="27"/>
      <c r="D397" s="27"/>
      <c r="E397" s="27"/>
      <c r="F397" s="27"/>
      <c r="G397" s="27"/>
    </row>
    <row r="398" spans="2:7" x14ac:dyDescent="0.25">
      <c r="B398" s="27"/>
      <c r="C398" s="27"/>
      <c r="D398" s="27"/>
      <c r="E398" s="27"/>
      <c r="F398" s="27"/>
      <c r="G398" s="27"/>
    </row>
    <row r="399" spans="2:7" x14ac:dyDescent="0.25">
      <c r="B399" s="27"/>
      <c r="C399" s="27"/>
      <c r="D399" s="27"/>
      <c r="E399" s="27"/>
      <c r="F399" s="27"/>
      <c r="G399" s="27"/>
    </row>
    <row r="400" spans="2:7" x14ac:dyDescent="0.25">
      <c r="B400" s="27"/>
      <c r="C400" s="27"/>
      <c r="D400" s="27"/>
      <c r="E400" s="27"/>
      <c r="F400" s="27"/>
      <c r="G400" s="27"/>
    </row>
    <row r="401" spans="2:7" x14ac:dyDescent="0.25">
      <c r="B401" s="27"/>
      <c r="C401" s="27"/>
      <c r="D401" s="27"/>
      <c r="E401" s="27"/>
      <c r="F401" s="27"/>
      <c r="G401" s="27"/>
    </row>
    <row r="402" spans="2:7" x14ac:dyDescent="0.25">
      <c r="B402" s="27"/>
      <c r="C402" s="27"/>
      <c r="D402" s="27"/>
      <c r="E402" s="27"/>
      <c r="F402" s="27"/>
      <c r="G402" s="27"/>
    </row>
    <row r="403" spans="2:7" x14ac:dyDescent="0.25">
      <c r="B403" s="27"/>
      <c r="C403" s="27"/>
      <c r="D403" s="27"/>
      <c r="E403" s="27"/>
      <c r="F403" s="27"/>
      <c r="G403" s="27"/>
    </row>
    <row r="404" spans="2:7" x14ac:dyDescent="0.25">
      <c r="B404" s="27"/>
      <c r="C404" s="27"/>
      <c r="D404" s="27"/>
      <c r="E404" s="27"/>
      <c r="F404" s="27"/>
      <c r="G404" s="27"/>
    </row>
    <row r="405" spans="2:7" x14ac:dyDescent="0.25">
      <c r="B405" s="27"/>
      <c r="C405" s="27"/>
      <c r="D405" s="27"/>
      <c r="E405" s="27"/>
      <c r="F405" s="27"/>
      <c r="G405" s="27"/>
    </row>
    <row r="406" spans="2:7" x14ac:dyDescent="0.25">
      <c r="B406" s="27"/>
      <c r="C406" s="27"/>
      <c r="D406" s="27"/>
      <c r="E406" s="27"/>
      <c r="F406" s="27"/>
      <c r="G406" s="27"/>
    </row>
    <row r="407" spans="2:7" x14ac:dyDescent="0.25">
      <c r="B407" s="27"/>
      <c r="C407" s="27"/>
      <c r="D407" s="27"/>
      <c r="E407" s="27"/>
      <c r="F407" s="27"/>
      <c r="G407" s="27"/>
    </row>
    <row r="408" spans="2:7" x14ac:dyDescent="0.25">
      <c r="B408" s="27"/>
      <c r="C408" s="27"/>
      <c r="D408" s="27"/>
      <c r="E408" s="27"/>
      <c r="F408" s="27"/>
      <c r="G408" s="27"/>
    </row>
    <row r="409" spans="2:7" x14ac:dyDescent="0.25">
      <c r="B409" s="27"/>
      <c r="C409" s="27"/>
      <c r="D409" s="27"/>
      <c r="E409" s="27"/>
      <c r="F409" s="27"/>
      <c r="G409" s="27"/>
    </row>
    <row r="410" spans="2:7" x14ac:dyDescent="0.25">
      <c r="B410" s="27"/>
      <c r="C410" s="27"/>
      <c r="D410" s="27"/>
      <c r="E410" s="27"/>
      <c r="F410" s="27"/>
      <c r="G410" s="27"/>
    </row>
    <row r="411" spans="2:7" x14ac:dyDescent="0.25">
      <c r="B411" s="27"/>
      <c r="C411" s="27"/>
      <c r="D411" s="27"/>
      <c r="E411" s="27"/>
      <c r="F411" s="27"/>
      <c r="G411" s="27"/>
    </row>
    <row r="412" spans="2:7" x14ac:dyDescent="0.25">
      <c r="B412" s="27"/>
      <c r="C412" s="27"/>
      <c r="D412" s="27"/>
      <c r="E412" s="27"/>
      <c r="F412" s="27"/>
      <c r="G412" s="27"/>
    </row>
    <row r="413" spans="2:7" x14ac:dyDescent="0.25">
      <c r="B413" s="27"/>
      <c r="C413" s="27"/>
      <c r="D413" s="27"/>
      <c r="E413" s="27"/>
      <c r="F413" s="27"/>
      <c r="G413" s="27"/>
    </row>
    <row r="414" spans="2:7" x14ac:dyDescent="0.25">
      <c r="B414" s="27"/>
      <c r="C414" s="27"/>
      <c r="D414" s="27"/>
      <c r="E414" s="27"/>
      <c r="F414" s="27"/>
      <c r="G414" s="27"/>
    </row>
    <row r="415" spans="2:7" x14ac:dyDescent="0.25">
      <c r="B415" s="27"/>
      <c r="C415" s="27"/>
      <c r="D415" s="27"/>
      <c r="E415" s="27"/>
      <c r="F415" s="27"/>
      <c r="G415" s="27"/>
    </row>
    <row r="416" spans="2:7" x14ac:dyDescent="0.25">
      <c r="B416" s="27"/>
      <c r="C416" s="27"/>
      <c r="D416" s="27"/>
      <c r="E416" s="27"/>
      <c r="F416" s="27"/>
      <c r="G416" s="27"/>
    </row>
    <row r="417" spans="2:7" x14ac:dyDescent="0.25">
      <c r="B417" s="27"/>
      <c r="C417" s="27"/>
      <c r="D417" s="27"/>
      <c r="E417" s="27"/>
      <c r="F417" s="27"/>
      <c r="G417" s="27"/>
    </row>
    <row r="418" spans="2:7" x14ac:dyDescent="0.25">
      <c r="B418" s="27"/>
      <c r="C418" s="27"/>
      <c r="D418" s="27"/>
      <c r="E418" s="27"/>
      <c r="F418" s="27"/>
      <c r="G418" s="27"/>
    </row>
    <row r="419" spans="2:7" x14ac:dyDescent="0.25">
      <c r="B419" s="27"/>
      <c r="C419" s="27"/>
      <c r="D419" s="27"/>
      <c r="E419" s="27"/>
      <c r="F419" s="27"/>
      <c r="G419" s="27"/>
    </row>
    <row r="420" spans="2:7" x14ac:dyDescent="0.25">
      <c r="B420" s="27"/>
      <c r="C420" s="27"/>
      <c r="D420" s="27"/>
      <c r="E420" s="27"/>
      <c r="F420" s="27"/>
      <c r="G420" s="27"/>
    </row>
    <row r="421" spans="2:7" x14ac:dyDescent="0.25">
      <c r="B421" s="27"/>
      <c r="C421" s="27"/>
      <c r="D421" s="27"/>
      <c r="E421" s="27"/>
      <c r="F421" s="27"/>
      <c r="G421" s="27"/>
    </row>
    <row r="422" spans="2:7" x14ac:dyDescent="0.25">
      <c r="B422" s="27"/>
      <c r="C422" s="27"/>
      <c r="D422" s="27"/>
      <c r="E422" s="27"/>
      <c r="F422" s="27"/>
      <c r="G422" s="27"/>
    </row>
    <row r="423" spans="2:7" x14ac:dyDescent="0.25">
      <c r="B423" s="27"/>
      <c r="C423" s="27"/>
      <c r="D423" s="27"/>
      <c r="E423" s="27"/>
      <c r="F423" s="27"/>
      <c r="G423" s="27"/>
    </row>
    <row r="424" spans="2:7" x14ac:dyDescent="0.25">
      <c r="B424" s="27"/>
      <c r="C424" s="27"/>
      <c r="D424" s="27"/>
      <c r="E424" s="27"/>
      <c r="F424" s="27"/>
      <c r="G424" s="27"/>
    </row>
    <row r="425" spans="2:7" x14ac:dyDescent="0.25">
      <c r="B425" s="27"/>
      <c r="C425" s="27"/>
      <c r="D425" s="27"/>
      <c r="E425" s="27"/>
      <c r="F425" s="27"/>
      <c r="G425" s="27"/>
    </row>
    <row r="426" spans="2:7" x14ac:dyDescent="0.25">
      <c r="B426" s="27"/>
      <c r="C426" s="27"/>
      <c r="D426" s="27"/>
      <c r="E426" s="27"/>
      <c r="F426" s="27"/>
      <c r="G426" s="27"/>
    </row>
    <row r="427" spans="2:7" x14ac:dyDescent="0.25">
      <c r="B427" s="27"/>
      <c r="C427" s="27"/>
      <c r="D427" s="27"/>
      <c r="E427" s="27"/>
      <c r="F427" s="27"/>
      <c r="G427" s="27"/>
    </row>
    <row r="428" spans="2:7" x14ac:dyDescent="0.25">
      <c r="B428" s="27"/>
      <c r="C428" s="27"/>
      <c r="D428" s="27"/>
      <c r="E428" s="27"/>
      <c r="F428" s="27"/>
      <c r="G428" s="27"/>
    </row>
    <row r="429" spans="2:7" x14ac:dyDescent="0.25">
      <c r="B429" s="27"/>
      <c r="C429" s="27"/>
      <c r="D429" s="27"/>
      <c r="E429" s="27"/>
      <c r="F429" s="27"/>
      <c r="G429" s="27"/>
    </row>
    <row r="430" spans="2:7" x14ac:dyDescent="0.25">
      <c r="B430" s="27"/>
      <c r="C430" s="27"/>
      <c r="D430" s="27"/>
      <c r="E430" s="27"/>
      <c r="F430" s="27"/>
      <c r="G430" s="27"/>
    </row>
    <row r="431" spans="2:7" x14ac:dyDescent="0.25">
      <c r="B431" s="27"/>
      <c r="C431" s="27"/>
      <c r="D431" s="27"/>
      <c r="E431" s="27"/>
      <c r="F431" s="27"/>
      <c r="G431" s="27"/>
    </row>
    <row r="432" spans="2:7" x14ac:dyDescent="0.25">
      <c r="B432" s="27"/>
      <c r="C432" s="27"/>
      <c r="D432" s="27"/>
      <c r="E432" s="27"/>
      <c r="F432" s="27"/>
      <c r="G432" s="27"/>
    </row>
    <row r="433" spans="2:7" x14ac:dyDescent="0.25">
      <c r="B433" s="27"/>
      <c r="C433" s="27"/>
      <c r="D433" s="27"/>
      <c r="E433" s="27"/>
      <c r="F433" s="27"/>
      <c r="G433" s="27"/>
    </row>
    <row r="434" spans="2:7" x14ac:dyDescent="0.25">
      <c r="B434" s="27"/>
      <c r="C434" s="27"/>
      <c r="D434" s="27"/>
      <c r="E434" s="27"/>
      <c r="F434" s="27"/>
      <c r="G434" s="27"/>
    </row>
    <row r="435" spans="2:7" x14ac:dyDescent="0.25">
      <c r="B435" s="27"/>
      <c r="C435" s="27"/>
      <c r="D435" s="27"/>
      <c r="E435" s="27"/>
      <c r="F435" s="27"/>
      <c r="G435" s="27"/>
    </row>
    <row r="436" spans="2:7" x14ac:dyDescent="0.25">
      <c r="B436" s="27"/>
      <c r="C436" s="27"/>
      <c r="D436" s="27"/>
      <c r="E436" s="27"/>
      <c r="F436" s="27"/>
      <c r="G436" s="27"/>
    </row>
    <row r="437" spans="2:7" x14ac:dyDescent="0.25">
      <c r="B437" s="27"/>
      <c r="C437" s="27"/>
      <c r="D437" s="27"/>
      <c r="E437" s="27"/>
      <c r="F437" s="27"/>
      <c r="G437" s="27"/>
    </row>
    <row r="438" spans="2:7" x14ac:dyDescent="0.25">
      <c r="B438" s="27"/>
      <c r="C438" s="27"/>
      <c r="D438" s="27"/>
      <c r="E438" s="27"/>
      <c r="F438" s="27"/>
      <c r="G438" s="27"/>
    </row>
    <row r="439" spans="2:7" x14ac:dyDescent="0.25">
      <c r="B439" s="27"/>
      <c r="C439" s="27"/>
      <c r="D439" s="27"/>
      <c r="E439" s="27"/>
      <c r="F439" s="27"/>
      <c r="G439" s="27"/>
    </row>
    <row r="440" spans="2:7" x14ac:dyDescent="0.25">
      <c r="B440" s="27"/>
      <c r="C440" s="27"/>
      <c r="D440" s="27"/>
      <c r="E440" s="27"/>
      <c r="F440" s="27"/>
      <c r="G440" s="27"/>
    </row>
    <row r="441" spans="2:7" x14ac:dyDescent="0.25">
      <c r="B441" s="27"/>
      <c r="C441" s="27"/>
      <c r="D441" s="27"/>
      <c r="E441" s="27"/>
      <c r="F441" s="27"/>
      <c r="G441" s="27"/>
    </row>
    <row r="442" spans="2:7" x14ac:dyDescent="0.25">
      <c r="B442" s="27"/>
      <c r="C442" s="27"/>
      <c r="D442" s="27"/>
      <c r="E442" s="27"/>
      <c r="F442" s="27"/>
      <c r="G442" s="27"/>
    </row>
    <row r="443" spans="2:7" x14ac:dyDescent="0.25">
      <c r="B443" s="27"/>
      <c r="C443" s="27"/>
      <c r="D443" s="27"/>
      <c r="E443" s="27"/>
      <c r="F443" s="27"/>
      <c r="G443" s="27"/>
    </row>
    <row r="444" spans="2:7" x14ac:dyDescent="0.25">
      <c r="B444" s="27"/>
      <c r="C444" s="27"/>
      <c r="D444" s="27"/>
      <c r="E444" s="27"/>
      <c r="F444" s="27"/>
      <c r="G444" s="27"/>
    </row>
    <row r="445" spans="2:7" x14ac:dyDescent="0.25">
      <c r="B445" s="27"/>
      <c r="C445" s="27"/>
      <c r="D445" s="27"/>
      <c r="E445" s="27"/>
      <c r="F445" s="27"/>
      <c r="G445" s="27"/>
    </row>
    <row r="446" spans="2:7" x14ac:dyDescent="0.25">
      <c r="B446" s="27"/>
      <c r="C446" s="27"/>
      <c r="D446" s="27"/>
      <c r="E446" s="27"/>
      <c r="F446" s="27"/>
      <c r="G446" s="27"/>
    </row>
    <row r="447" spans="2:7" x14ac:dyDescent="0.25">
      <c r="B447" s="27"/>
      <c r="C447" s="27"/>
      <c r="D447" s="27"/>
      <c r="E447" s="27"/>
      <c r="F447" s="27"/>
      <c r="G447" s="27"/>
    </row>
    <row r="448" spans="2:7" x14ac:dyDescent="0.25">
      <c r="B448" s="27"/>
      <c r="C448" s="27"/>
      <c r="D448" s="27"/>
      <c r="E448" s="27"/>
      <c r="F448" s="27"/>
      <c r="G448" s="27"/>
    </row>
    <row r="449" spans="2:7" x14ac:dyDescent="0.25">
      <c r="B449" s="27"/>
      <c r="C449" s="27"/>
      <c r="D449" s="27"/>
      <c r="E449" s="27"/>
      <c r="F449" s="27"/>
      <c r="G449" s="27"/>
    </row>
    <row r="450" spans="2:7" x14ac:dyDescent="0.25">
      <c r="B450" s="27"/>
      <c r="C450" s="27"/>
      <c r="D450" s="27"/>
      <c r="E450" s="27"/>
      <c r="F450" s="27"/>
      <c r="G450" s="27"/>
    </row>
    <row r="451" spans="2:7" x14ac:dyDescent="0.25">
      <c r="B451" s="27"/>
      <c r="C451" s="27"/>
      <c r="D451" s="27"/>
      <c r="E451" s="27"/>
      <c r="F451" s="27"/>
      <c r="G451" s="27"/>
    </row>
    <row r="452" spans="2:7" x14ac:dyDescent="0.25">
      <c r="B452" s="27"/>
      <c r="C452" s="27"/>
      <c r="D452" s="27"/>
      <c r="E452" s="27"/>
      <c r="F452" s="27"/>
      <c r="G452" s="27"/>
    </row>
    <row r="453" spans="2:7" x14ac:dyDescent="0.25">
      <c r="B453" s="27"/>
      <c r="C453" s="27"/>
      <c r="D453" s="27"/>
      <c r="E453" s="27"/>
      <c r="F453" s="27"/>
      <c r="G453" s="27"/>
    </row>
    <row r="454" spans="2:7" x14ac:dyDescent="0.25">
      <c r="B454" s="27"/>
      <c r="C454" s="27"/>
      <c r="D454" s="27"/>
      <c r="E454" s="27"/>
      <c r="F454" s="27"/>
      <c r="G454" s="27"/>
    </row>
    <row r="455" spans="2:7" x14ac:dyDescent="0.25">
      <c r="B455" s="27"/>
      <c r="C455" s="27"/>
      <c r="D455" s="27"/>
      <c r="E455" s="27"/>
      <c r="F455" s="27"/>
      <c r="G455" s="27"/>
    </row>
    <row r="456" spans="2:7" x14ac:dyDescent="0.25">
      <c r="B456" s="27"/>
      <c r="C456" s="27"/>
      <c r="D456" s="27"/>
      <c r="E456" s="27"/>
      <c r="F456" s="27"/>
      <c r="G456" s="27"/>
    </row>
    <row r="457" spans="2:7" x14ac:dyDescent="0.25">
      <c r="B457" s="27"/>
      <c r="C457" s="27"/>
      <c r="D457" s="27"/>
      <c r="E457" s="27"/>
      <c r="F457" s="27"/>
      <c r="G457" s="27"/>
    </row>
    <row r="458" spans="2:7" x14ac:dyDescent="0.25">
      <c r="B458" s="27"/>
      <c r="C458" s="27"/>
      <c r="D458" s="27"/>
      <c r="E458" s="27"/>
      <c r="F458" s="27"/>
      <c r="G458" s="27"/>
    </row>
    <row r="459" spans="2:7" x14ac:dyDescent="0.25">
      <c r="B459" s="27"/>
      <c r="C459" s="27"/>
      <c r="D459" s="27"/>
      <c r="E459" s="27"/>
      <c r="F459" s="27"/>
      <c r="G459" s="27"/>
    </row>
    <row r="460" spans="2:7" x14ac:dyDescent="0.25">
      <c r="B460" s="27"/>
      <c r="C460" s="27"/>
      <c r="D460" s="27"/>
      <c r="E460" s="27"/>
      <c r="F460" s="27"/>
      <c r="G460" s="27"/>
    </row>
    <row r="461" spans="2:7" x14ac:dyDescent="0.25">
      <c r="B461" s="27"/>
      <c r="C461" s="27"/>
      <c r="D461" s="27"/>
      <c r="E461" s="27"/>
      <c r="F461" s="27"/>
      <c r="G461" s="27"/>
    </row>
    <row r="462" spans="2:7" x14ac:dyDescent="0.25">
      <c r="B462" s="27"/>
      <c r="C462" s="27"/>
      <c r="D462" s="27"/>
      <c r="E462" s="27"/>
      <c r="F462" s="27"/>
      <c r="G462" s="27"/>
    </row>
    <row r="463" spans="2:7" x14ac:dyDescent="0.25">
      <c r="B463" s="27"/>
      <c r="C463" s="27"/>
      <c r="D463" s="27"/>
      <c r="E463" s="27"/>
      <c r="F463" s="27"/>
      <c r="G463" s="27"/>
    </row>
    <row r="464" spans="2:7" x14ac:dyDescent="0.25">
      <c r="B464" s="27"/>
      <c r="C464" s="27"/>
      <c r="D464" s="27"/>
      <c r="E464" s="27"/>
      <c r="F464" s="27"/>
      <c r="G464" s="27"/>
    </row>
    <row r="465" spans="2:7" x14ac:dyDescent="0.25">
      <c r="B465" s="27"/>
      <c r="C465" s="27"/>
      <c r="D465" s="27"/>
      <c r="E465" s="27"/>
      <c r="F465" s="27"/>
      <c r="G465" s="27"/>
    </row>
    <row r="466" spans="2:7" x14ac:dyDescent="0.25">
      <c r="B466" s="27"/>
      <c r="C466" s="27"/>
      <c r="D466" s="27"/>
      <c r="E466" s="27"/>
      <c r="F466" s="27"/>
      <c r="G466" s="27"/>
    </row>
    <row r="467" spans="2:7" x14ac:dyDescent="0.25">
      <c r="B467" s="27"/>
      <c r="C467" s="27"/>
      <c r="D467" s="27"/>
      <c r="E467" s="27"/>
      <c r="F467" s="27"/>
      <c r="G467" s="27"/>
    </row>
    <row r="468" spans="2:7" x14ac:dyDescent="0.25">
      <c r="B468" s="27"/>
      <c r="C468" s="27"/>
      <c r="D468" s="27"/>
      <c r="E468" s="27"/>
      <c r="F468" s="27"/>
      <c r="G468" s="27"/>
    </row>
    <row r="469" spans="2:7" x14ac:dyDescent="0.25">
      <c r="B469" s="27"/>
      <c r="C469" s="27"/>
      <c r="D469" s="27"/>
      <c r="E469" s="27"/>
      <c r="F469" s="27"/>
      <c r="G469" s="27"/>
    </row>
    <row r="470" spans="2:7" x14ac:dyDescent="0.25">
      <c r="B470" s="27"/>
      <c r="C470" s="27"/>
      <c r="D470" s="27"/>
      <c r="E470" s="27"/>
      <c r="F470" s="27"/>
      <c r="G470" s="27"/>
    </row>
    <row r="471" spans="2:7" x14ac:dyDescent="0.25">
      <c r="B471" s="27"/>
      <c r="C471" s="27"/>
      <c r="D471" s="27"/>
      <c r="E471" s="27"/>
      <c r="F471" s="27"/>
      <c r="G471" s="27"/>
    </row>
    <row r="472" spans="2:7" x14ac:dyDescent="0.25">
      <c r="B472" s="27"/>
      <c r="C472" s="27"/>
      <c r="D472" s="27"/>
      <c r="E472" s="27"/>
      <c r="F472" s="27"/>
      <c r="G472" s="27"/>
    </row>
    <row r="473" spans="2:7" x14ac:dyDescent="0.25">
      <c r="B473" s="27"/>
      <c r="C473" s="27"/>
      <c r="D473" s="27"/>
      <c r="E473" s="27"/>
      <c r="F473" s="27"/>
      <c r="G473" s="27"/>
    </row>
    <row r="474" spans="2:7" x14ac:dyDescent="0.25">
      <c r="B474" s="27"/>
      <c r="C474" s="27"/>
      <c r="D474" s="27"/>
      <c r="E474" s="27"/>
      <c r="F474" s="27"/>
      <c r="G474" s="27"/>
    </row>
    <row r="475" spans="2:7" x14ac:dyDescent="0.25">
      <c r="B475" s="27"/>
      <c r="C475" s="27"/>
      <c r="D475" s="27"/>
      <c r="E475" s="27"/>
      <c r="F475" s="27"/>
      <c r="G475" s="27"/>
    </row>
    <row r="476" spans="2:7" x14ac:dyDescent="0.25">
      <c r="B476" s="27"/>
      <c r="C476" s="27"/>
      <c r="D476" s="27"/>
      <c r="E476" s="27"/>
      <c r="F476" s="27"/>
      <c r="G476" s="27"/>
    </row>
    <row r="477" spans="2:7" x14ac:dyDescent="0.25">
      <c r="B477" s="27"/>
      <c r="C477" s="27"/>
      <c r="D477" s="27"/>
      <c r="E477" s="27"/>
      <c r="F477" s="27"/>
      <c r="G477" s="27"/>
    </row>
    <row r="478" spans="2:7" x14ac:dyDescent="0.25">
      <c r="B478" s="27"/>
      <c r="C478" s="27"/>
      <c r="D478" s="27"/>
      <c r="E478" s="27"/>
      <c r="F478" s="27"/>
      <c r="G478" s="27"/>
    </row>
    <row r="479" spans="2:7" x14ac:dyDescent="0.25">
      <c r="B479" s="27"/>
      <c r="C479" s="27"/>
      <c r="D479" s="27"/>
      <c r="E479" s="27"/>
      <c r="F479" s="27"/>
      <c r="G479" s="27"/>
    </row>
    <row r="480" spans="2:7" x14ac:dyDescent="0.25">
      <c r="B480" s="27"/>
      <c r="C480" s="27"/>
      <c r="D480" s="27"/>
      <c r="E480" s="27"/>
      <c r="F480" s="27"/>
      <c r="G480" s="27"/>
    </row>
    <row r="481" spans="2:7" x14ac:dyDescent="0.25">
      <c r="B481" s="27"/>
      <c r="C481" s="27"/>
      <c r="D481" s="27"/>
      <c r="E481" s="27"/>
      <c r="F481" s="27"/>
      <c r="G481" s="27"/>
    </row>
    <row r="482" spans="2:7" x14ac:dyDescent="0.25">
      <c r="B482" s="27"/>
      <c r="C482" s="27"/>
      <c r="D482" s="27"/>
      <c r="E482" s="27"/>
      <c r="F482" s="27"/>
      <c r="G482" s="27"/>
    </row>
    <row r="483" spans="2:7" x14ac:dyDescent="0.25">
      <c r="B483" s="27"/>
      <c r="C483" s="27"/>
      <c r="D483" s="27"/>
      <c r="E483" s="27"/>
      <c r="F483" s="27"/>
      <c r="G483" s="27"/>
    </row>
    <row r="484" spans="2:7" x14ac:dyDescent="0.25">
      <c r="B484" s="27"/>
      <c r="C484" s="27"/>
      <c r="D484" s="27"/>
      <c r="E484" s="27"/>
      <c r="F484" s="27"/>
      <c r="G484" s="27"/>
    </row>
    <row r="485" spans="2:7" x14ac:dyDescent="0.25">
      <c r="B485" s="27"/>
      <c r="C485" s="27"/>
      <c r="D485" s="27"/>
      <c r="E485" s="27"/>
      <c r="F485" s="27"/>
      <c r="G485" s="27"/>
    </row>
    <row r="486" spans="2:7" x14ac:dyDescent="0.25">
      <c r="B486" s="27"/>
      <c r="C486" s="27"/>
      <c r="D486" s="27"/>
      <c r="E486" s="27"/>
      <c r="F486" s="27"/>
      <c r="G486" s="27"/>
    </row>
    <row r="487" spans="2:7" x14ac:dyDescent="0.25">
      <c r="B487" s="27"/>
      <c r="C487" s="27"/>
      <c r="D487" s="27"/>
      <c r="E487" s="27"/>
      <c r="F487" s="27"/>
      <c r="G487" s="27"/>
    </row>
    <row r="488" spans="2:7" x14ac:dyDescent="0.25">
      <c r="B488" s="27"/>
      <c r="C488" s="27"/>
      <c r="D488" s="27"/>
      <c r="E488" s="27"/>
      <c r="F488" s="27"/>
      <c r="G488" s="27"/>
    </row>
    <row r="489" spans="2:7" x14ac:dyDescent="0.25">
      <c r="B489" s="27"/>
      <c r="C489" s="27"/>
      <c r="D489" s="27"/>
      <c r="E489" s="27"/>
      <c r="F489" s="27"/>
      <c r="G489" s="27"/>
    </row>
    <row r="490" spans="2:7" x14ac:dyDescent="0.25">
      <c r="B490" s="27"/>
      <c r="C490" s="27"/>
      <c r="D490" s="27"/>
      <c r="E490" s="27"/>
      <c r="F490" s="27"/>
      <c r="G490" s="27"/>
    </row>
    <row r="491" spans="2:7" x14ac:dyDescent="0.25">
      <c r="B491" s="27"/>
      <c r="C491" s="27"/>
      <c r="D491" s="27"/>
      <c r="E491" s="27"/>
      <c r="F491" s="27"/>
      <c r="G491" s="27"/>
    </row>
    <row r="492" spans="2:7" x14ac:dyDescent="0.25">
      <c r="B492" s="27"/>
      <c r="C492" s="27"/>
      <c r="D492" s="27"/>
      <c r="E492" s="27"/>
      <c r="F492" s="27"/>
      <c r="G492" s="27"/>
    </row>
    <row r="493" spans="2:7" x14ac:dyDescent="0.25">
      <c r="B493" s="27"/>
      <c r="C493" s="27"/>
      <c r="D493" s="27"/>
      <c r="E493" s="27"/>
      <c r="F493" s="27"/>
      <c r="G493" s="27"/>
    </row>
    <row r="494" spans="2:7" x14ac:dyDescent="0.25">
      <c r="B494" s="27"/>
      <c r="C494" s="27"/>
      <c r="D494" s="27"/>
      <c r="E494" s="27"/>
      <c r="F494" s="27"/>
      <c r="G494" s="27"/>
    </row>
    <row r="495" spans="2:7" x14ac:dyDescent="0.25">
      <c r="B495" s="27"/>
      <c r="C495" s="27"/>
      <c r="D495" s="27"/>
      <c r="E495" s="27"/>
      <c r="F495" s="27"/>
      <c r="G495" s="27"/>
    </row>
    <row r="496" spans="2:7" x14ac:dyDescent="0.25">
      <c r="B496" s="27"/>
      <c r="C496" s="27"/>
      <c r="D496" s="27"/>
      <c r="E496" s="27"/>
      <c r="F496" s="27"/>
      <c r="G496" s="27"/>
    </row>
    <row r="497" spans="2:7" x14ac:dyDescent="0.25">
      <c r="B497" s="27"/>
      <c r="C497" s="27"/>
      <c r="D497" s="27"/>
      <c r="E497" s="27"/>
      <c r="F497" s="27"/>
      <c r="G497" s="27"/>
    </row>
    <row r="498" spans="2:7" x14ac:dyDescent="0.25">
      <c r="B498" s="27"/>
      <c r="C498" s="27"/>
      <c r="D498" s="27"/>
      <c r="E498" s="27"/>
      <c r="F498" s="27"/>
      <c r="G498" s="27"/>
    </row>
    <row r="499" spans="2:7" x14ac:dyDescent="0.25">
      <c r="B499" s="27"/>
      <c r="C499" s="27"/>
      <c r="D499" s="27"/>
      <c r="E499" s="27"/>
      <c r="F499" s="27"/>
      <c r="G499" s="27"/>
    </row>
    <row r="500" spans="2:7" x14ac:dyDescent="0.25">
      <c r="B500" s="27"/>
      <c r="C500" s="27"/>
      <c r="D500" s="27"/>
      <c r="E500" s="27"/>
      <c r="F500" s="27"/>
      <c r="G500" s="27"/>
    </row>
    <row r="501" spans="2:7" x14ac:dyDescent="0.25">
      <c r="B501" s="27"/>
      <c r="C501" s="27"/>
      <c r="D501" s="27"/>
      <c r="E501" s="27"/>
      <c r="F501" s="27"/>
      <c r="G501" s="27"/>
    </row>
    <row r="502" spans="2:7" x14ac:dyDescent="0.25">
      <c r="B502" s="27"/>
      <c r="C502" s="27"/>
      <c r="D502" s="27"/>
      <c r="E502" s="27"/>
      <c r="F502" s="27"/>
      <c r="G502" s="27"/>
    </row>
    <row r="503" spans="2:7" x14ac:dyDescent="0.25">
      <c r="B503" s="27"/>
      <c r="C503" s="27"/>
      <c r="D503" s="27"/>
      <c r="E503" s="27"/>
      <c r="F503" s="27"/>
      <c r="G503" s="27"/>
    </row>
    <row r="504" spans="2:7" x14ac:dyDescent="0.25">
      <c r="B504" s="27"/>
      <c r="C504" s="27"/>
      <c r="D504" s="27"/>
      <c r="E504" s="27"/>
      <c r="F504" s="27"/>
      <c r="G504" s="27"/>
    </row>
    <row r="505" spans="2:7" x14ac:dyDescent="0.25">
      <c r="B505" s="27"/>
      <c r="C505" s="27"/>
      <c r="D505" s="27"/>
      <c r="E505" s="27"/>
      <c r="F505" s="27"/>
      <c r="G505" s="27"/>
    </row>
    <row r="506" spans="2:7" x14ac:dyDescent="0.25">
      <c r="B506" s="27"/>
      <c r="C506" s="27"/>
      <c r="D506" s="27"/>
      <c r="E506" s="27"/>
      <c r="F506" s="27"/>
      <c r="G506" s="27"/>
    </row>
    <row r="507" spans="2:7" x14ac:dyDescent="0.25">
      <c r="B507" s="27"/>
      <c r="C507" s="27"/>
      <c r="D507" s="27"/>
      <c r="E507" s="27"/>
      <c r="F507" s="27"/>
      <c r="G507" s="27"/>
    </row>
    <row r="508" spans="2:7" x14ac:dyDescent="0.25">
      <c r="B508" s="27"/>
      <c r="C508" s="27"/>
      <c r="D508" s="27"/>
      <c r="E508" s="27"/>
      <c r="F508" s="27"/>
      <c r="G508" s="27"/>
    </row>
    <row r="509" spans="2:7" x14ac:dyDescent="0.25">
      <c r="B509" s="27"/>
      <c r="C509" s="27"/>
      <c r="D509" s="27"/>
      <c r="E509" s="27"/>
      <c r="F509" s="27"/>
      <c r="G509" s="27"/>
    </row>
    <row r="510" spans="2:7" x14ac:dyDescent="0.25">
      <c r="B510" s="27"/>
      <c r="C510" s="27"/>
      <c r="D510" s="27"/>
      <c r="E510" s="27"/>
      <c r="F510" s="27"/>
      <c r="G510" s="27"/>
    </row>
    <row r="511" spans="2:7" x14ac:dyDescent="0.25">
      <c r="B511" s="27"/>
      <c r="C511" s="27"/>
      <c r="D511" s="27"/>
      <c r="E511" s="27"/>
      <c r="F511" s="27"/>
      <c r="G511" s="27"/>
    </row>
    <row r="512" spans="2:7" x14ac:dyDescent="0.25">
      <c r="B512" s="27"/>
      <c r="C512" s="27"/>
      <c r="D512" s="27"/>
      <c r="E512" s="27"/>
      <c r="F512" s="27"/>
      <c r="G512" s="27"/>
    </row>
    <row r="513" spans="2:7" x14ac:dyDescent="0.25">
      <c r="B513" s="27"/>
      <c r="C513" s="27"/>
      <c r="D513" s="27"/>
      <c r="E513" s="27"/>
      <c r="F513" s="27"/>
      <c r="G513" s="27"/>
    </row>
    <row r="514" spans="2:7" x14ac:dyDescent="0.25">
      <c r="B514" s="27"/>
      <c r="C514" s="27"/>
      <c r="D514" s="27"/>
      <c r="E514" s="27"/>
      <c r="F514" s="27"/>
      <c r="G514" s="27"/>
    </row>
    <row r="515" spans="2:7" x14ac:dyDescent="0.25">
      <c r="B515" s="27"/>
      <c r="C515" s="27"/>
      <c r="D515" s="27"/>
      <c r="E515" s="27"/>
      <c r="F515" s="27"/>
      <c r="G515" s="27"/>
    </row>
    <row r="516" spans="2:7" x14ac:dyDescent="0.25">
      <c r="B516" s="27"/>
      <c r="C516" s="27"/>
      <c r="D516" s="27"/>
      <c r="E516" s="27"/>
      <c r="F516" s="27"/>
      <c r="G516" s="27"/>
    </row>
    <row r="517" spans="2:7" x14ac:dyDescent="0.25">
      <c r="B517" s="27"/>
      <c r="C517" s="27"/>
      <c r="D517" s="27"/>
      <c r="E517" s="27"/>
      <c r="F517" s="27"/>
      <c r="G517" s="27"/>
    </row>
    <row r="518" spans="2:7" x14ac:dyDescent="0.25">
      <c r="B518" s="27"/>
      <c r="C518" s="27"/>
      <c r="D518" s="27"/>
      <c r="E518" s="27"/>
      <c r="F518" s="27"/>
      <c r="G518" s="27"/>
    </row>
    <row r="519" spans="2:7" x14ac:dyDescent="0.25">
      <c r="B519" s="27"/>
      <c r="C519" s="27"/>
      <c r="D519" s="27"/>
      <c r="E519" s="27"/>
      <c r="F519" s="27"/>
      <c r="G519" s="27"/>
    </row>
    <row r="520" spans="2:7" x14ac:dyDescent="0.25">
      <c r="B520" s="27"/>
      <c r="C520" s="27"/>
      <c r="D520" s="27"/>
      <c r="E520" s="27"/>
      <c r="F520" s="27"/>
      <c r="G520" s="27"/>
    </row>
    <row r="521" spans="2:7" x14ac:dyDescent="0.25">
      <c r="B521" s="27"/>
      <c r="C521" s="27"/>
      <c r="D521" s="27"/>
      <c r="E521" s="27"/>
      <c r="F521" s="27"/>
      <c r="G521" s="27"/>
    </row>
    <row r="522" spans="2:7" x14ac:dyDescent="0.25">
      <c r="B522" s="27"/>
      <c r="C522" s="27"/>
      <c r="D522" s="27"/>
      <c r="E522" s="27"/>
      <c r="F522" s="27"/>
      <c r="G522" s="27"/>
    </row>
    <row r="523" spans="2:7" x14ac:dyDescent="0.25">
      <c r="B523" s="27"/>
      <c r="C523" s="27"/>
      <c r="D523" s="27"/>
      <c r="E523" s="27"/>
      <c r="F523" s="27"/>
      <c r="G523" s="27"/>
    </row>
    <row r="524" spans="2:7" x14ac:dyDescent="0.25">
      <c r="B524" s="27"/>
      <c r="C524" s="27"/>
      <c r="D524" s="27"/>
      <c r="E524" s="27"/>
      <c r="F524" s="27"/>
      <c r="G524" s="27"/>
    </row>
    <row r="525" spans="2:7" x14ac:dyDescent="0.25">
      <c r="B525" s="27"/>
      <c r="C525" s="27"/>
      <c r="D525" s="27"/>
      <c r="E525" s="27"/>
      <c r="F525" s="27"/>
      <c r="G525" s="27"/>
    </row>
    <row r="526" spans="2:7" x14ac:dyDescent="0.25">
      <c r="B526" s="27"/>
      <c r="C526" s="27"/>
      <c r="D526" s="27"/>
      <c r="E526" s="27"/>
      <c r="F526" s="27"/>
      <c r="G526" s="27"/>
    </row>
    <row r="527" spans="2:7" x14ac:dyDescent="0.25">
      <c r="B527" s="27"/>
      <c r="C527" s="27"/>
      <c r="D527" s="27"/>
      <c r="E527" s="27"/>
      <c r="F527" s="27"/>
      <c r="G527" s="27"/>
    </row>
    <row r="528" spans="2:7" x14ac:dyDescent="0.25">
      <c r="B528" s="27"/>
      <c r="C528" s="27"/>
      <c r="D528" s="27"/>
      <c r="E528" s="27"/>
      <c r="F528" s="27"/>
      <c r="G528" s="27"/>
    </row>
    <row r="529" spans="2:7" x14ac:dyDescent="0.25">
      <c r="B529" s="27"/>
      <c r="C529" s="27"/>
      <c r="D529" s="27"/>
      <c r="E529" s="27"/>
      <c r="F529" s="27"/>
      <c r="G529" s="27"/>
    </row>
    <row r="530" spans="2:7" x14ac:dyDescent="0.25">
      <c r="B530" s="27"/>
      <c r="C530" s="27"/>
      <c r="D530" s="27"/>
      <c r="E530" s="27"/>
      <c r="F530" s="27"/>
      <c r="G530" s="27"/>
    </row>
    <row r="531" spans="2:7" x14ac:dyDescent="0.25">
      <c r="B531" s="27"/>
      <c r="C531" s="27"/>
      <c r="D531" s="27"/>
      <c r="E531" s="27"/>
      <c r="F531" s="27"/>
      <c r="G531" s="27"/>
    </row>
    <row r="532" spans="2:7" x14ac:dyDescent="0.25">
      <c r="B532" s="27"/>
      <c r="C532" s="27"/>
      <c r="D532" s="27"/>
      <c r="E532" s="27"/>
      <c r="F532" s="27"/>
      <c r="G532" s="27"/>
    </row>
    <row r="533" spans="2:7" x14ac:dyDescent="0.25">
      <c r="B533" s="27"/>
      <c r="C533" s="27"/>
      <c r="D533" s="27"/>
      <c r="E533" s="27"/>
      <c r="F533" s="27"/>
      <c r="G533" s="27"/>
    </row>
    <row r="534" spans="2:7" x14ac:dyDescent="0.25">
      <c r="B534" s="27"/>
      <c r="C534" s="27"/>
      <c r="D534" s="27"/>
      <c r="E534" s="27"/>
      <c r="F534" s="27"/>
      <c r="G534" s="27"/>
    </row>
    <row r="535" spans="2:7" x14ac:dyDescent="0.25">
      <c r="B535" s="27"/>
      <c r="C535" s="27"/>
      <c r="D535" s="27"/>
      <c r="E535" s="27"/>
      <c r="F535" s="27"/>
      <c r="G535" s="27"/>
    </row>
    <row r="536" spans="2:7" x14ac:dyDescent="0.25">
      <c r="B536" s="27"/>
      <c r="C536" s="27"/>
      <c r="D536" s="27"/>
      <c r="E536" s="27"/>
      <c r="F536" s="27"/>
      <c r="G536" s="27"/>
    </row>
    <row r="537" spans="2:7" x14ac:dyDescent="0.25">
      <c r="B537" s="27"/>
      <c r="C537" s="27"/>
      <c r="D537" s="27"/>
      <c r="E537" s="27"/>
      <c r="F537" s="27"/>
      <c r="G537" s="27"/>
    </row>
    <row r="538" spans="2:7" x14ac:dyDescent="0.25">
      <c r="B538" s="27"/>
      <c r="C538" s="27"/>
      <c r="D538" s="27"/>
      <c r="E538" s="27"/>
      <c r="F538" s="27"/>
      <c r="G538" s="27"/>
    </row>
    <row r="539" spans="2:7" x14ac:dyDescent="0.25">
      <c r="B539" s="27"/>
      <c r="C539" s="27"/>
      <c r="D539" s="27"/>
      <c r="E539" s="27"/>
      <c r="F539" s="27"/>
      <c r="G539" s="27"/>
    </row>
    <row r="540" spans="2:7" x14ac:dyDescent="0.25">
      <c r="B540" s="27"/>
      <c r="C540" s="27"/>
      <c r="D540" s="27"/>
      <c r="E540" s="27"/>
      <c r="F540" s="27"/>
      <c r="G540" s="27"/>
    </row>
    <row r="541" spans="2:7" x14ac:dyDescent="0.25">
      <c r="B541" s="27"/>
      <c r="C541" s="27"/>
      <c r="D541" s="27"/>
      <c r="E541" s="27"/>
      <c r="F541" s="27"/>
      <c r="G541" s="27"/>
    </row>
    <row r="542" spans="2:7" x14ac:dyDescent="0.25">
      <c r="B542" s="27"/>
      <c r="C542" s="27"/>
      <c r="D542" s="27"/>
      <c r="E542" s="27"/>
      <c r="F542" s="27"/>
      <c r="G542" s="27"/>
    </row>
    <row r="543" spans="2:7" x14ac:dyDescent="0.25">
      <c r="B543" s="27"/>
      <c r="C543" s="27"/>
      <c r="D543" s="27"/>
      <c r="E543" s="27"/>
      <c r="F543" s="27"/>
      <c r="G543" s="27"/>
    </row>
    <row r="544" spans="2:7" x14ac:dyDescent="0.25">
      <c r="B544" s="27"/>
      <c r="C544" s="27"/>
      <c r="D544" s="27"/>
      <c r="E544" s="27"/>
      <c r="F544" s="27"/>
      <c r="G544" s="27"/>
    </row>
    <row r="545" spans="2:7" x14ac:dyDescent="0.25">
      <c r="B545" s="27"/>
      <c r="C545" s="27"/>
      <c r="D545" s="27"/>
      <c r="E545" s="27"/>
      <c r="F545" s="27"/>
      <c r="G545" s="27"/>
    </row>
    <row r="546" spans="2:7" x14ac:dyDescent="0.25">
      <c r="B546" s="27"/>
      <c r="C546" s="27"/>
      <c r="D546" s="27"/>
      <c r="E546" s="27"/>
      <c r="F546" s="27"/>
      <c r="G546" s="27"/>
    </row>
    <row r="547" spans="2:7" x14ac:dyDescent="0.25">
      <c r="B547" s="27"/>
      <c r="C547" s="27"/>
      <c r="D547" s="27"/>
      <c r="E547" s="27"/>
      <c r="F547" s="27"/>
      <c r="G547" s="27"/>
    </row>
    <row r="548" spans="2:7" x14ac:dyDescent="0.25">
      <c r="B548" s="27"/>
      <c r="C548" s="27"/>
      <c r="D548" s="27"/>
      <c r="E548" s="27"/>
      <c r="F548" s="27"/>
      <c r="G548" s="27"/>
    </row>
    <row r="549" spans="2:7" x14ac:dyDescent="0.25">
      <c r="B549" s="27"/>
      <c r="C549" s="27"/>
      <c r="D549" s="27"/>
      <c r="E549" s="27"/>
      <c r="F549" s="27"/>
      <c r="G549" s="27"/>
    </row>
    <row r="550" spans="2:7" x14ac:dyDescent="0.25">
      <c r="B550" s="27"/>
      <c r="C550" s="27"/>
      <c r="D550" s="27"/>
      <c r="E550" s="27"/>
      <c r="F550" s="27"/>
      <c r="G550" s="27"/>
    </row>
    <row r="551" spans="2:7" x14ac:dyDescent="0.25">
      <c r="B551" s="27"/>
      <c r="C551" s="27"/>
      <c r="D551" s="27"/>
      <c r="E551" s="27"/>
      <c r="F551" s="27"/>
      <c r="G551" s="27"/>
    </row>
    <row r="552" spans="2:7" x14ac:dyDescent="0.25">
      <c r="B552" s="27"/>
      <c r="C552" s="27"/>
      <c r="D552" s="27"/>
      <c r="E552" s="27"/>
      <c r="F552" s="27"/>
      <c r="G552" s="27"/>
    </row>
    <row r="553" spans="2:7" x14ac:dyDescent="0.25">
      <c r="B553" s="27"/>
      <c r="C553" s="27"/>
      <c r="D553" s="27"/>
      <c r="E553" s="27"/>
      <c r="F553" s="27"/>
      <c r="G553" s="27"/>
    </row>
    <row r="554" spans="2:7" x14ac:dyDescent="0.25">
      <c r="B554" s="27"/>
      <c r="C554" s="27"/>
      <c r="D554" s="27"/>
      <c r="E554" s="27"/>
      <c r="F554" s="27"/>
      <c r="G554" s="27"/>
    </row>
    <row r="556" spans="2:7" x14ac:dyDescent="0.25">
      <c r="B556" s="27"/>
      <c r="C556" s="27"/>
      <c r="D556" s="27"/>
      <c r="E556" s="27"/>
      <c r="F556" s="27"/>
      <c r="G556" s="27"/>
    </row>
    <row r="558" spans="2:7" x14ac:dyDescent="0.25">
      <c r="B558" s="27"/>
      <c r="C558" s="27"/>
      <c r="D558" s="27"/>
      <c r="E558" s="27"/>
      <c r="F558" s="27"/>
      <c r="G558" s="27"/>
    </row>
  </sheetData>
  <mergeCells count="16">
    <mergeCell ref="L1:M1"/>
    <mergeCell ref="L4:M4"/>
    <mergeCell ref="F6:G6"/>
    <mergeCell ref="H6:I6"/>
    <mergeCell ref="B284:G284"/>
    <mergeCell ref="G4:H4"/>
    <mergeCell ref="B11:M11"/>
    <mergeCell ref="B12:M12"/>
    <mergeCell ref="B14:B16"/>
    <mergeCell ref="C14:C16"/>
    <mergeCell ref="D14:D16"/>
    <mergeCell ref="E14:E16"/>
    <mergeCell ref="F14:F16"/>
    <mergeCell ref="G14:G16"/>
    <mergeCell ref="H14:I14"/>
    <mergeCell ref="J14:M14"/>
  </mergeCells>
  <pageMargins left="0.70866141732283472" right="0.70866141732283472" top="0.74803149606299213" bottom="0.74803149606299213" header="0.31496062992125984" footer="0.31496062992125984"/>
  <pageSetup paperSize="9" scale="82" fitToHeight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5"/>
  <sheetViews>
    <sheetView topLeftCell="B1" zoomScale="115" zoomScaleNormal="115" workbookViewId="0">
      <selection activeCell="B8" sqref="B8"/>
    </sheetView>
  </sheetViews>
  <sheetFormatPr defaultColWidth="9.109375" defaultRowHeight="13.2" x14ac:dyDescent="0.25"/>
  <cols>
    <col min="1" max="1" width="1.44140625" style="27" hidden="1" customWidth="1"/>
    <col min="2" max="2" width="58.88671875" style="54" customWidth="1"/>
    <col min="3" max="3" width="9.33203125" style="27" hidden="1" customWidth="1"/>
    <col min="4" max="4" width="6.88671875" style="27" hidden="1" customWidth="1"/>
    <col min="5" max="5" width="7.44140625" style="27" hidden="1" customWidth="1"/>
    <col min="6" max="6" width="3" style="27" hidden="1" customWidth="1"/>
    <col min="7" max="7" width="3.109375" style="27" hidden="1" customWidth="1"/>
    <col min="8" max="8" width="5.5546875" style="27" hidden="1" customWidth="1"/>
    <col min="9" max="9" width="1.33203125" style="27" hidden="1" customWidth="1"/>
    <col min="10" max="10" width="7.109375" style="27" hidden="1" customWidth="1"/>
    <col min="11" max="11" width="13.5546875" style="292" customWidth="1"/>
    <col min="12" max="12" width="8" style="292" customWidth="1"/>
    <col min="13" max="13" width="9.109375" style="27" hidden="1" customWidth="1"/>
    <col min="14" max="14" width="14.88671875" style="27" hidden="1" customWidth="1"/>
    <col min="15" max="15" width="15" style="27" hidden="1" customWidth="1"/>
    <col min="16" max="16" width="14.6640625" style="27" hidden="1" customWidth="1"/>
    <col min="17" max="17" width="1.44140625" style="27" hidden="1" customWidth="1"/>
    <col min="18" max="18" width="13.5546875" style="27" customWidth="1"/>
    <col min="19" max="21" width="9.109375" style="27" hidden="1" customWidth="1"/>
    <col min="22" max="22" width="0.88671875" style="27" hidden="1" customWidth="1"/>
    <col min="23" max="24" width="14.44140625" style="27" customWidth="1"/>
    <col min="25" max="25" width="12.109375" style="131" hidden="1" customWidth="1"/>
    <col min="26" max="26" width="12.109375" style="27" hidden="1" customWidth="1"/>
    <col min="27" max="27" width="12.88671875" style="27" hidden="1" customWidth="1"/>
    <col min="28" max="29" width="0" style="27" hidden="1" customWidth="1"/>
    <col min="30" max="30" width="0.21875" style="27" customWidth="1"/>
    <col min="31" max="32" width="9.109375" style="27" hidden="1" customWidth="1"/>
    <col min="33" max="35" width="0" style="27" hidden="1" customWidth="1"/>
    <col min="36" max="16384" width="9.109375" style="27"/>
  </cols>
  <sheetData>
    <row r="1" spans="1:33" ht="13.5" customHeight="1" x14ac:dyDescent="0.25">
      <c r="K1" s="343"/>
      <c r="L1" s="343"/>
      <c r="M1" s="57"/>
      <c r="N1" s="57" t="s">
        <v>23</v>
      </c>
      <c r="O1" s="57"/>
      <c r="P1" s="57"/>
      <c r="S1" s="115"/>
      <c r="T1" s="57" t="s">
        <v>42</v>
      </c>
      <c r="U1" s="57"/>
      <c r="V1" s="57"/>
      <c r="W1" s="115" t="s">
        <v>126</v>
      </c>
    </row>
    <row r="2" spans="1:33" ht="14.25" customHeight="1" x14ac:dyDescent="0.25">
      <c r="K2" s="343"/>
      <c r="L2" s="343"/>
      <c r="M2" s="57"/>
      <c r="N2" s="57" t="s">
        <v>24</v>
      </c>
      <c r="O2" s="57"/>
      <c r="P2" s="57"/>
      <c r="S2" s="115"/>
      <c r="T2" s="57" t="s">
        <v>28</v>
      </c>
      <c r="U2" s="57"/>
      <c r="V2" s="57"/>
      <c r="W2" s="114" t="s">
        <v>705</v>
      </c>
    </row>
    <row r="3" spans="1:33" ht="14.25" customHeight="1" x14ac:dyDescent="0.25">
      <c r="K3" s="343"/>
      <c r="L3" s="343"/>
      <c r="M3" s="57"/>
      <c r="N3" s="57"/>
      <c r="O3" s="57"/>
      <c r="P3" s="57"/>
      <c r="S3" s="115"/>
      <c r="T3" s="57"/>
      <c r="U3" s="57"/>
      <c r="V3" s="57"/>
      <c r="W3" s="114" t="s">
        <v>704</v>
      </c>
    </row>
    <row r="4" spans="1:33" ht="13.5" customHeight="1" x14ac:dyDescent="0.25">
      <c r="K4" s="495"/>
      <c r="L4" s="495"/>
      <c r="M4" s="57"/>
      <c r="N4" s="57" t="s">
        <v>25</v>
      </c>
      <c r="O4" s="57"/>
      <c r="P4" s="57"/>
      <c r="Q4" s="57"/>
      <c r="S4" s="57"/>
      <c r="T4" s="41" t="s">
        <v>43</v>
      </c>
      <c r="U4" s="42"/>
      <c r="V4" s="42"/>
      <c r="W4" s="492" t="s">
        <v>706</v>
      </c>
      <c r="X4" s="492"/>
    </row>
    <row r="5" spans="1:33" ht="10.8" customHeight="1" x14ac:dyDescent="0.25">
      <c r="S5" s="492"/>
      <c r="T5" s="492"/>
      <c r="U5" s="492"/>
      <c r="V5" s="492"/>
      <c r="AG5" s="114"/>
    </row>
    <row r="6" spans="1:33" ht="13.8" x14ac:dyDescent="0.25">
      <c r="W6" s="114" t="s">
        <v>592</v>
      </c>
    </row>
    <row r="7" spans="1:33" ht="14.25" customHeight="1" x14ac:dyDescent="0.25">
      <c r="K7" s="343"/>
      <c r="L7" s="343"/>
      <c r="M7" s="57"/>
      <c r="N7" s="57" t="s">
        <v>24</v>
      </c>
      <c r="O7" s="57"/>
      <c r="P7" s="57"/>
      <c r="S7" s="115"/>
      <c r="T7" s="57" t="s">
        <v>28</v>
      </c>
      <c r="U7" s="57"/>
      <c r="V7" s="57"/>
      <c r="W7" s="114" t="s">
        <v>705</v>
      </c>
    </row>
    <row r="8" spans="1:33" ht="14.25" customHeight="1" x14ac:dyDescent="0.25">
      <c r="K8" s="343"/>
      <c r="L8" s="343"/>
      <c r="M8" s="57"/>
      <c r="N8" s="57"/>
      <c r="O8" s="57"/>
      <c r="P8" s="57"/>
      <c r="S8" s="115"/>
      <c r="T8" s="57"/>
      <c r="U8" s="57"/>
      <c r="V8" s="57"/>
      <c r="W8" s="114" t="s">
        <v>704</v>
      </c>
    </row>
    <row r="9" spans="1:33" x14ac:dyDescent="0.25">
      <c r="W9" s="453" t="s">
        <v>596</v>
      </c>
    </row>
    <row r="10" spans="1:33" ht="8.4" customHeight="1" x14ac:dyDescent="0.25">
      <c r="R10" s="453"/>
    </row>
    <row r="11" spans="1:33" s="59" customFormat="1" ht="45.6" customHeight="1" x14ac:dyDescent="0.25">
      <c r="A11" s="58"/>
      <c r="B11" s="500" t="s">
        <v>479</v>
      </c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226"/>
      <c r="AG11" s="114"/>
    </row>
    <row r="12" spans="1:33" ht="10.5" customHeight="1" thickBot="1" x14ac:dyDescent="0.3">
      <c r="R12" s="132"/>
      <c r="X12" s="132" t="s">
        <v>21</v>
      </c>
      <c r="AG12" s="453"/>
    </row>
    <row r="13" spans="1:33" ht="11.25" hidden="1" customHeight="1" x14ac:dyDescent="0.25">
      <c r="A13" s="132" t="s">
        <v>1</v>
      </c>
      <c r="B13" s="173"/>
      <c r="C13" s="132"/>
      <c r="D13" s="132"/>
      <c r="E13" s="132"/>
      <c r="F13" s="132"/>
      <c r="G13" s="132"/>
      <c r="H13" s="132"/>
      <c r="I13" s="132"/>
      <c r="J13" s="132"/>
      <c r="K13" s="344"/>
      <c r="L13" s="344"/>
      <c r="M13" s="132"/>
      <c r="N13" s="132"/>
      <c r="O13" s="132"/>
      <c r="P13" s="132"/>
      <c r="Q13" s="132"/>
    </row>
    <row r="14" spans="1:33" ht="15" customHeight="1" x14ac:dyDescent="0.25">
      <c r="A14" s="132"/>
      <c r="B14" s="501" t="s">
        <v>2</v>
      </c>
      <c r="C14" s="174"/>
      <c r="D14" s="174"/>
      <c r="E14" s="174"/>
      <c r="F14" s="174"/>
      <c r="G14" s="174"/>
      <c r="H14" s="174"/>
      <c r="I14" s="174"/>
      <c r="J14" s="174"/>
      <c r="K14" s="504" t="s">
        <v>83</v>
      </c>
      <c r="L14" s="504" t="s">
        <v>84</v>
      </c>
      <c r="M14" s="175"/>
      <c r="N14" s="176"/>
      <c r="O14" s="177"/>
      <c r="P14" s="177"/>
      <c r="Q14" s="178"/>
      <c r="R14" s="497" t="s">
        <v>378</v>
      </c>
      <c r="S14" s="497" t="s">
        <v>378</v>
      </c>
      <c r="T14" s="292"/>
      <c r="U14" s="292"/>
      <c r="V14" s="292"/>
      <c r="W14" s="497" t="s">
        <v>379</v>
      </c>
      <c r="X14" s="497" t="s">
        <v>411</v>
      </c>
    </row>
    <row r="15" spans="1:33" ht="18" hidden="1" customHeight="1" x14ac:dyDescent="0.25">
      <c r="A15" s="132"/>
      <c r="B15" s="502"/>
      <c r="C15" s="139"/>
      <c r="D15" s="139"/>
      <c r="E15" s="139"/>
      <c r="F15" s="139"/>
      <c r="G15" s="139"/>
      <c r="H15" s="139"/>
      <c r="I15" s="139"/>
      <c r="J15" s="139"/>
      <c r="K15" s="505"/>
      <c r="L15" s="505"/>
      <c r="M15" s="179"/>
      <c r="N15" s="179"/>
      <c r="O15" s="180"/>
      <c r="P15" s="180"/>
      <c r="Q15" s="181"/>
      <c r="R15" s="498"/>
      <c r="S15" s="498"/>
      <c r="T15" s="292"/>
      <c r="U15" s="292"/>
      <c r="V15" s="292"/>
      <c r="W15" s="498"/>
      <c r="X15" s="498"/>
    </row>
    <row r="16" spans="1:33" ht="0.75" customHeight="1" thickBot="1" x14ac:dyDescent="0.3">
      <c r="A16" s="135"/>
      <c r="B16" s="503"/>
      <c r="C16" s="182" t="s">
        <v>2</v>
      </c>
      <c r="D16" s="182"/>
      <c r="E16" s="182"/>
      <c r="F16" s="182"/>
      <c r="G16" s="182"/>
      <c r="H16" s="182"/>
      <c r="I16" s="182"/>
      <c r="J16" s="182"/>
      <c r="K16" s="506"/>
      <c r="L16" s="506"/>
      <c r="M16" s="183" t="s">
        <v>8</v>
      </c>
      <c r="N16" s="184" t="s">
        <v>9</v>
      </c>
      <c r="O16" s="184" t="s">
        <v>10</v>
      </c>
      <c r="P16" s="184" t="s">
        <v>11</v>
      </c>
      <c r="Q16" s="184" t="s">
        <v>12</v>
      </c>
      <c r="R16" s="499"/>
      <c r="S16" s="499"/>
      <c r="T16" s="292"/>
      <c r="U16" s="292"/>
      <c r="V16" s="292"/>
      <c r="W16" s="499"/>
      <c r="X16" s="499"/>
    </row>
    <row r="17" spans="1:27" ht="18" customHeight="1" thickBot="1" x14ac:dyDescent="0.3">
      <c r="A17" s="135"/>
      <c r="B17" s="185">
        <v>1</v>
      </c>
      <c r="C17" s="139">
        <v>1</v>
      </c>
      <c r="D17" s="139"/>
      <c r="E17" s="139"/>
      <c r="F17" s="139"/>
      <c r="G17" s="139"/>
      <c r="H17" s="139"/>
      <c r="I17" s="139"/>
      <c r="J17" s="139"/>
      <c r="K17" s="141">
        <v>2</v>
      </c>
      <c r="L17" s="141">
        <v>3</v>
      </c>
      <c r="M17" s="140">
        <v>7</v>
      </c>
      <c r="N17" s="140">
        <v>8</v>
      </c>
      <c r="O17" s="140">
        <v>9</v>
      </c>
      <c r="P17" s="140">
        <v>10</v>
      </c>
      <c r="Q17" s="140">
        <v>11</v>
      </c>
      <c r="R17" s="140">
        <v>4</v>
      </c>
      <c r="S17" s="292"/>
      <c r="T17" s="292"/>
      <c r="U17" s="292"/>
      <c r="V17" s="292"/>
      <c r="W17" s="140">
        <v>4</v>
      </c>
      <c r="X17" s="140">
        <v>4</v>
      </c>
    </row>
    <row r="18" spans="1:27" s="28" customFormat="1" ht="13.5" hidden="1" customHeight="1" thickBot="1" x14ac:dyDescent="0.3">
      <c r="A18" s="142"/>
      <c r="B18" s="55"/>
      <c r="C18" s="144"/>
      <c r="D18" s="144"/>
      <c r="E18" s="144"/>
      <c r="F18" s="144"/>
      <c r="G18" s="144"/>
      <c r="H18" s="144"/>
      <c r="I18" s="144"/>
      <c r="J18" s="144"/>
      <c r="K18" s="345"/>
      <c r="L18" s="346"/>
      <c r="M18" s="186"/>
      <c r="N18" s="187"/>
      <c r="O18" s="187"/>
      <c r="P18" s="187"/>
      <c r="Q18" s="187"/>
      <c r="R18" s="258"/>
      <c r="S18" s="293"/>
      <c r="T18" s="293"/>
      <c r="U18" s="293"/>
      <c r="V18" s="293"/>
      <c r="W18" s="258"/>
      <c r="X18" s="258"/>
      <c r="Y18" s="227"/>
    </row>
    <row r="19" spans="1:27" ht="13.5" hidden="1" customHeight="1" thickBot="1" x14ac:dyDescent="0.3">
      <c r="A19" s="145"/>
      <c r="B19" s="188"/>
      <c r="C19" s="147"/>
      <c r="D19" s="147"/>
      <c r="E19" s="147"/>
      <c r="F19" s="147"/>
      <c r="G19" s="147"/>
      <c r="H19" s="147"/>
      <c r="I19" s="147"/>
      <c r="J19" s="147"/>
      <c r="K19" s="347"/>
      <c r="L19" s="348"/>
      <c r="M19" s="189"/>
      <c r="N19" s="190"/>
      <c r="O19" s="190"/>
      <c r="P19" s="190"/>
      <c r="Q19" s="190"/>
      <c r="R19" s="260"/>
      <c r="S19" s="292"/>
      <c r="T19" s="292"/>
      <c r="U19" s="292"/>
      <c r="V19" s="292"/>
      <c r="W19" s="260"/>
      <c r="X19" s="260"/>
    </row>
    <row r="20" spans="1:27" ht="13.5" hidden="1" customHeight="1" thickBot="1" x14ac:dyDescent="0.3">
      <c r="A20" s="145"/>
      <c r="B20" s="188"/>
      <c r="C20" s="147"/>
      <c r="D20" s="147"/>
      <c r="E20" s="147"/>
      <c r="F20" s="147"/>
      <c r="G20" s="147"/>
      <c r="H20" s="147"/>
      <c r="I20" s="147"/>
      <c r="J20" s="147"/>
      <c r="K20" s="347"/>
      <c r="L20" s="348"/>
      <c r="M20" s="189"/>
      <c r="N20" s="190"/>
      <c r="O20" s="190"/>
      <c r="P20" s="190"/>
      <c r="Q20" s="190"/>
      <c r="R20" s="260"/>
      <c r="S20" s="292"/>
      <c r="T20" s="292"/>
      <c r="U20" s="292"/>
      <c r="V20" s="292"/>
      <c r="W20" s="260"/>
      <c r="X20" s="260"/>
    </row>
    <row r="21" spans="1:27" ht="13.5" hidden="1" customHeight="1" thickBot="1" x14ac:dyDescent="0.3">
      <c r="A21" s="145"/>
      <c r="B21" s="188"/>
      <c r="C21" s="147"/>
      <c r="D21" s="147"/>
      <c r="E21" s="147"/>
      <c r="F21" s="147"/>
      <c r="G21" s="147"/>
      <c r="H21" s="147"/>
      <c r="I21" s="147"/>
      <c r="J21" s="147"/>
      <c r="K21" s="347"/>
      <c r="L21" s="348"/>
      <c r="M21" s="189"/>
      <c r="N21" s="190"/>
      <c r="O21" s="190"/>
      <c r="P21" s="190"/>
      <c r="Q21" s="190"/>
      <c r="R21" s="260"/>
      <c r="S21" s="292"/>
      <c r="T21" s="292"/>
      <c r="U21" s="292"/>
      <c r="V21" s="292"/>
      <c r="W21" s="260"/>
      <c r="X21" s="260"/>
    </row>
    <row r="22" spans="1:27" ht="13.5" hidden="1" customHeight="1" thickBot="1" x14ac:dyDescent="0.3">
      <c r="A22" s="145"/>
      <c r="B22" s="188"/>
      <c r="C22" s="147"/>
      <c r="D22" s="147"/>
      <c r="E22" s="147"/>
      <c r="F22" s="147"/>
      <c r="G22" s="147"/>
      <c r="H22" s="147"/>
      <c r="I22" s="147"/>
      <c r="J22" s="147"/>
      <c r="K22" s="347"/>
      <c r="L22" s="348"/>
      <c r="M22" s="189"/>
      <c r="N22" s="190"/>
      <c r="O22" s="190"/>
      <c r="P22" s="190"/>
      <c r="Q22" s="190"/>
      <c r="R22" s="260"/>
      <c r="S22" s="292"/>
      <c r="T22" s="292"/>
      <c r="U22" s="292"/>
      <c r="V22" s="292"/>
      <c r="W22" s="260"/>
      <c r="X22" s="260"/>
    </row>
    <row r="23" spans="1:27" ht="13.5" hidden="1" customHeight="1" thickBot="1" x14ac:dyDescent="0.3">
      <c r="A23" s="145"/>
      <c r="B23" s="188"/>
      <c r="C23" s="147"/>
      <c r="D23" s="147"/>
      <c r="E23" s="147"/>
      <c r="F23" s="147"/>
      <c r="G23" s="147"/>
      <c r="H23" s="147"/>
      <c r="I23" s="147"/>
      <c r="J23" s="147"/>
      <c r="K23" s="347"/>
      <c r="L23" s="348"/>
      <c r="M23" s="189"/>
      <c r="N23" s="190"/>
      <c r="O23" s="190"/>
      <c r="P23" s="190"/>
      <c r="Q23" s="190"/>
      <c r="R23" s="260"/>
      <c r="S23" s="292"/>
      <c r="T23" s="292"/>
      <c r="U23" s="292"/>
      <c r="V23" s="292"/>
      <c r="W23" s="260"/>
      <c r="X23" s="260"/>
    </row>
    <row r="24" spans="1:27" ht="13.5" hidden="1" customHeight="1" thickBot="1" x14ac:dyDescent="0.3">
      <c r="A24" s="145"/>
      <c r="B24" s="188"/>
      <c r="C24" s="147"/>
      <c r="D24" s="147"/>
      <c r="E24" s="147"/>
      <c r="F24" s="147"/>
      <c r="G24" s="147"/>
      <c r="H24" s="147"/>
      <c r="I24" s="147"/>
      <c r="J24" s="147"/>
      <c r="K24" s="347"/>
      <c r="L24" s="348"/>
      <c r="M24" s="189"/>
      <c r="N24" s="190"/>
      <c r="O24" s="190"/>
      <c r="P24" s="190"/>
      <c r="Q24" s="190"/>
      <c r="R24" s="260"/>
      <c r="S24" s="292"/>
      <c r="T24" s="292"/>
      <c r="U24" s="292"/>
      <c r="V24" s="292"/>
      <c r="W24" s="260"/>
      <c r="X24" s="260"/>
    </row>
    <row r="25" spans="1:27" ht="18" hidden="1" customHeight="1" x14ac:dyDescent="0.25">
      <c r="A25" s="145"/>
      <c r="B25" s="188"/>
      <c r="C25" s="147"/>
      <c r="D25" s="147"/>
      <c r="E25" s="147"/>
      <c r="F25" s="147"/>
      <c r="G25" s="147"/>
      <c r="H25" s="147"/>
      <c r="I25" s="147"/>
      <c r="J25" s="147"/>
      <c r="K25" s="347"/>
      <c r="L25" s="348"/>
      <c r="M25" s="189"/>
      <c r="N25" s="190"/>
      <c r="O25" s="190"/>
      <c r="P25" s="190"/>
      <c r="Q25" s="190"/>
      <c r="R25" s="260"/>
      <c r="S25" s="292"/>
      <c r="T25" s="292"/>
      <c r="U25" s="292"/>
      <c r="V25" s="292"/>
      <c r="W25" s="260"/>
      <c r="X25" s="260"/>
    </row>
    <row r="26" spans="1:27" s="28" customFormat="1" ht="18" hidden="1" customHeight="1" x14ac:dyDescent="0.25">
      <c r="A26" s="142"/>
      <c r="B26" s="191"/>
      <c r="C26" s="43"/>
      <c r="D26" s="43"/>
      <c r="E26" s="43"/>
      <c r="F26" s="43"/>
      <c r="G26" s="43"/>
      <c r="H26" s="43"/>
      <c r="I26" s="43"/>
      <c r="J26" s="43"/>
      <c r="K26" s="349"/>
      <c r="L26" s="350"/>
      <c r="M26" s="30"/>
      <c r="N26" s="45"/>
      <c r="O26" s="45"/>
      <c r="P26" s="45"/>
      <c r="Q26" s="45"/>
      <c r="R26" s="262"/>
      <c r="S26" s="293"/>
      <c r="T26" s="293"/>
      <c r="U26" s="293"/>
      <c r="V26" s="293"/>
      <c r="W26" s="262"/>
      <c r="X26" s="262"/>
      <c r="Y26" s="227"/>
    </row>
    <row r="27" spans="1:27" s="33" customFormat="1" ht="33" customHeight="1" thickBot="1" x14ac:dyDescent="0.3">
      <c r="A27" s="31"/>
      <c r="B27" s="192" t="s">
        <v>70</v>
      </c>
      <c r="C27" s="119"/>
      <c r="D27" s="119"/>
      <c r="E27" s="119"/>
      <c r="F27" s="119"/>
      <c r="G27" s="119"/>
      <c r="H27" s="119"/>
      <c r="I27" s="119"/>
      <c r="J27" s="119"/>
      <c r="K27" s="351" t="s">
        <v>93</v>
      </c>
      <c r="L27" s="352">
        <v>0</v>
      </c>
      <c r="M27" s="120"/>
      <c r="N27" s="121"/>
      <c r="O27" s="121"/>
      <c r="P27" s="121"/>
      <c r="Q27" s="121"/>
      <c r="R27" s="264">
        <f>R30+R33+R35</f>
        <v>4712270.2</v>
      </c>
      <c r="S27" s="294"/>
      <c r="T27" s="294"/>
      <c r="U27" s="294"/>
      <c r="V27" s="294"/>
      <c r="W27" s="264">
        <f t="shared" ref="W27:X27" si="0">W30+W33+W35</f>
        <v>4933296.0999999996</v>
      </c>
      <c r="X27" s="264">
        <f t="shared" si="0"/>
        <v>5180000</v>
      </c>
      <c r="Y27" s="32"/>
      <c r="Z27" s="32"/>
      <c r="AA27" s="32"/>
    </row>
    <row r="28" spans="1:27" s="10" customFormat="1" ht="25.2" customHeight="1" x14ac:dyDescent="0.25">
      <c r="A28" s="29"/>
      <c r="B28" s="62" t="s">
        <v>481</v>
      </c>
      <c r="C28" s="61"/>
      <c r="D28" s="61"/>
      <c r="E28" s="61"/>
      <c r="F28" s="61"/>
      <c r="G28" s="61"/>
      <c r="H28" s="61"/>
      <c r="I28" s="61"/>
      <c r="J28" s="61"/>
      <c r="K28" s="353" t="s">
        <v>94</v>
      </c>
      <c r="L28" s="354">
        <v>0</v>
      </c>
      <c r="M28" s="7"/>
      <c r="N28" s="47">
        <v>79429000</v>
      </c>
      <c r="O28" s="47">
        <v>0</v>
      </c>
      <c r="P28" s="47">
        <v>0</v>
      </c>
      <c r="Q28" s="47">
        <v>0</v>
      </c>
      <c r="R28" s="268">
        <f>R29</f>
        <v>4712270.2</v>
      </c>
      <c r="S28" s="295"/>
      <c r="T28" s="295"/>
      <c r="U28" s="295"/>
      <c r="V28" s="295"/>
      <c r="W28" s="268">
        <f>W29</f>
        <v>4933296.0999999996</v>
      </c>
      <c r="X28" s="268">
        <f>X29</f>
        <v>5180000</v>
      </c>
      <c r="Y28" s="18"/>
    </row>
    <row r="29" spans="1:27" s="10" customFormat="1" ht="43.2" customHeight="1" x14ac:dyDescent="0.25">
      <c r="A29" s="29"/>
      <c r="B29" s="239" t="s">
        <v>96</v>
      </c>
      <c r="C29" s="61"/>
      <c r="D29" s="61"/>
      <c r="E29" s="61"/>
      <c r="F29" s="61"/>
      <c r="G29" s="61"/>
      <c r="H29" s="61"/>
      <c r="I29" s="61"/>
      <c r="J29" s="61"/>
      <c r="K29" s="353" t="s">
        <v>95</v>
      </c>
      <c r="L29" s="354">
        <v>0</v>
      </c>
      <c r="M29" s="7"/>
      <c r="N29" s="47"/>
      <c r="O29" s="47"/>
      <c r="P29" s="47"/>
      <c r="Q29" s="47"/>
      <c r="R29" s="268">
        <f>R30</f>
        <v>4712270.2</v>
      </c>
      <c r="S29" s="295"/>
      <c r="T29" s="295"/>
      <c r="U29" s="295"/>
      <c r="V29" s="295"/>
      <c r="W29" s="268">
        <f t="shared" ref="W29:X30" si="1">W30</f>
        <v>4933296.0999999996</v>
      </c>
      <c r="X29" s="268">
        <f t="shared" si="1"/>
        <v>5180000</v>
      </c>
      <c r="Y29" s="18"/>
    </row>
    <row r="30" spans="1:27" s="10" customFormat="1" ht="23.4" customHeight="1" x14ac:dyDescent="0.25">
      <c r="A30" s="29"/>
      <c r="B30" s="151" t="s">
        <v>128</v>
      </c>
      <c r="C30" s="61"/>
      <c r="D30" s="61"/>
      <c r="E30" s="61"/>
      <c r="F30" s="61"/>
      <c r="G30" s="61"/>
      <c r="H30" s="61"/>
      <c r="I30" s="61"/>
      <c r="J30" s="61"/>
      <c r="K30" s="353" t="s">
        <v>95</v>
      </c>
      <c r="L30" s="354">
        <v>200</v>
      </c>
      <c r="M30" s="7"/>
      <c r="N30" s="47"/>
      <c r="O30" s="47"/>
      <c r="P30" s="47"/>
      <c r="Q30" s="47"/>
      <c r="R30" s="268">
        <f>R31</f>
        <v>4712270.2</v>
      </c>
      <c r="S30" s="295"/>
      <c r="T30" s="295"/>
      <c r="U30" s="295"/>
      <c r="V30" s="295"/>
      <c r="W30" s="268">
        <f t="shared" si="1"/>
        <v>4933296.0999999996</v>
      </c>
      <c r="X30" s="268">
        <f t="shared" si="1"/>
        <v>5180000</v>
      </c>
      <c r="Y30" s="18"/>
    </row>
    <row r="31" spans="1:27" s="39" customFormat="1" ht="24.75" customHeight="1" thickBot="1" x14ac:dyDescent="0.3">
      <c r="A31" s="37"/>
      <c r="B31" s="229" t="s">
        <v>506</v>
      </c>
      <c r="C31" s="79"/>
      <c r="D31" s="79"/>
      <c r="E31" s="79"/>
      <c r="F31" s="79"/>
      <c r="G31" s="79"/>
      <c r="H31" s="79"/>
      <c r="I31" s="79"/>
      <c r="J31" s="79"/>
      <c r="K31" s="353" t="s">
        <v>95</v>
      </c>
      <c r="L31" s="354">
        <v>244</v>
      </c>
      <c r="M31" s="7"/>
      <c r="N31" s="47"/>
      <c r="O31" s="47"/>
      <c r="P31" s="47"/>
      <c r="Q31" s="47"/>
      <c r="R31" s="268">
        <f>'0'!V240</f>
        <v>4712270.2</v>
      </c>
      <c r="S31" s="296"/>
      <c r="T31" s="296"/>
      <c r="U31" s="296"/>
      <c r="V31" s="296"/>
      <c r="W31" s="268">
        <f>'0'!AB240</f>
        <v>4933296.0999999996</v>
      </c>
      <c r="X31" s="268">
        <f>'0'!AC240</f>
        <v>5180000</v>
      </c>
      <c r="Y31" s="38"/>
    </row>
    <row r="32" spans="1:27" s="10" customFormat="1" ht="111.75" hidden="1" customHeight="1" x14ac:dyDescent="0.25">
      <c r="A32" s="29"/>
      <c r="B32" s="77"/>
      <c r="C32" s="61"/>
      <c r="D32" s="61"/>
      <c r="E32" s="61"/>
      <c r="F32" s="61"/>
      <c r="G32" s="61"/>
      <c r="H32" s="61"/>
      <c r="I32" s="61"/>
      <c r="J32" s="61"/>
      <c r="K32" s="353"/>
      <c r="L32" s="354"/>
      <c r="M32" s="7"/>
      <c r="N32" s="47"/>
      <c r="O32" s="47"/>
      <c r="P32" s="47"/>
      <c r="Q32" s="47"/>
      <c r="R32" s="268"/>
      <c r="S32" s="295"/>
      <c r="T32" s="295"/>
      <c r="U32" s="295"/>
      <c r="V32" s="295"/>
      <c r="W32" s="268"/>
      <c r="X32" s="268"/>
      <c r="Y32" s="18"/>
    </row>
    <row r="33" spans="1:27" s="10" customFormat="1" ht="25.5" hidden="1" customHeight="1" x14ac:dyDescent="0.25">
      <c r="A33" s="29"/>
      <c r="B33" s="60"/>
      <c r="C33" s="61"/>
      <c r="D33" s="61"/>
      <c r="E33" s="61"/>
      <c r="F33" s="61"/>
      <c r="G33" s="61"/>
      <c r="H33" s="61"/>
      <c r="I33" s="61"/>
      <c r="J33" s="61"/>
      <c r="K33" s="353"/>
      <c r="L33" s="354"/>
      <c r="M33" s="7"/>
      <c r="N33" s="47"/>
      <c r="O33" s="47"/>
      <c r="P33" s="47"/>
      <c r="Q33" s="47"/>
      <c r="R33" s="268"/>
      <c r="S33" s="295"/>
      <c r="T33" s="295"/>
      <c r="U33" s="295"/>
      <c r="V33" s="295"/>
      <c r="W33" s="268"/>
      <c r="X33" s="268"/>
      <c r="Y33" s="18"/>
    </row>
    <row r="34" spans="1:27" s="39" customFormat="1" ht="24.75" hidden="1" customHeight="1" thickBot="1" x14ac:dyDescent="0.3">
      <c r="A34" s="37"/>
      <c r="B34" s="101"/>
      <c r="C34" s="102"/>
      <c r="D34" s="102"/>
      <c r="E34" s="102"/>
      <c r="F34" s="102"/>
      <c r="G34" s="102"/>
      <c r="H34" s="102"/>
      <c r="I34" s="102"/>
      <c r="J34" s="102"/>
      <c r="K34" s="355"/>
      <c r="L34" s="356"/>
      <c r="M34" s="15"/>
      <c r="N34" s="51"/>
      <c r="O34" s="51"/>
      <c r="P34" s="51"/>
      <c r="Q34" s="51"/>
      <c r="R34" s="273"/>
      <c r="S34" s="296"/>
      <c r="T34" s="296"/>
      <c r="U34" s="296"/>
      <c r="V34" s="296"/>
      <c r="W34" s="273"/>
      <c r="X34" s="273"/>
      <c r="Y34" s="38"/>
    </row>
    <row r="35" spans="1:27" s="10" customFormat="1" ht="37.5" hidden="1" customHeight="1" x14ac:dyDescent="0.25">
      <c r="A35" s="29"/>
      <c r="B35" s="239" t="s">
        <v>390</v>
      </c>
      <c r="C35" s="61"/>
      <c r="D35" s="61"/>
      <c r="E35" s="61"/>
      <c r="F35" s="61"/>
      <c r="G35" s="61"/>
      <c r="H35" s="61"/>
      <c r="I35" s="61"/>
      <c r="J35" s="61"/>
      <c r="K35" s="353" t="s">
        <v>94</v>
      </c>
      <c r="L35" s="354">
        <v>0</v>
      </c>
      <c r="M35" s="7"/>
      <c r="N35" s="47"/>
      <c r="O35" s="47"/>
      <c r="P35" s="47"/>
      <c r="Q35" s="47"/>
      <c r="R35" s="268">
        <f>R36</f>
        <v>0</v>
      </c>
      <c r="S35" s="295"/>
      <c r="T35" s="295"/>
      <c r="U35" s="295"/>
      <c r="V35" s="295"/>
      <c r="W35" s="268">
        <f t="shared" ref="W35:X36" si="2">W36</f>
        <v>0</v>
      </c>
      <c r="X35" s="268">
        <f t="shared" si="2"/>
        <v>0</v>
      </c>
      <c r="Y35" s="18"/>
    </row>
    <row r="36" spans="1:27" s="10" customFormat="1" ht="23.25" hidden="1" customHeight="1" x14ac:dyDescent="0.25">
      <c r="A36" s="29"/>
      <c r="B36" s="151" t="s">
        <v>128</v>
      </c>
      <c r="C36" s="61"/>
      <c r="D36" s="61"/>
      <c r="E36" s="61"/>
      <c r="F36" s="61"/>
      <c r="G36" s="61"/>
      <c r="H36" s="61"/>
      <c r="I36" s="61"/>
      <c r="J36" s="61"/>
      <c r="K36" s="353" t="s">
        <v>391</v>
      </c>
      <c r="L36" s="354">
        <v>200</v>
      </c>
      <c r="M36" s="7"/>
      <c r="N36" s="47"/>
      <c r="O36" s="47"/>
      <c r="P36" s="47"/>
      <c r="Q36" s="47"/>
      <c r="R36" s="268">
        <f>R37</f>
        <v>0</v>
      </c>
      <c r="S36" s="295"/>
      <c r="T36" s="295"/>
      <c r="U36" s="295"/>
      <c r="V36" s="295"/>
      <c r="W36" s="268">
        <f t="shared" si="2"/>
        <v>0</v>
      </c>
      <c r="X36" s="268">
        <f t="shared" si="2"/>
        <v>0</v>
      </c>
      <c r="Y36" s="18"/>
    </row>
    <row r="37" spans="1:27" s="39" customFormat="1" ht="24.75" hidden="1" customHeight="1" thickBot="1" x14ac:dyDescent="0.3">
      <c r="A37" s="37"/>
      <c r="B37" s="53" t="s">
        <v>81</v>
      </c>
      <c r="C37" s="79"/>
      <c r="D37" s="79"/>
      <c r="E37" s="79"/>
      <c r="F37" s="79"/>
      <c r="G37" s="79"/>
      <c r="H37" s="79"/>
      <c r="I37" s="79"/>
      <c r="J37" s="79"/>
      <c r="K37" s="353" t="s">
        <v>391</v>
      </c>
      <c r="L37" s="354">
        <v>244</v>
      </c>
      <c r="M37" s="7"/>
      <c r="N37" s="47"/>
      <c r="O37" s="47"/>
      <c r="P37" s="47"/>
      <c r="Q37" s="47"/>
      <c r="R37" s="268">
        <f>'0'!V247</f>
        <v>0</v>
      </c>
      <c r="S37" s="296"/>
      <c r="T37" s="296"/>
      <c r="U37" s="296"/>
      <c r="V37" s="296"/>
      <c r="W37" s="268">
        <f>'0'!AB247</f>
        <v>0</v>
      </c>
      <c r="X37" s="268">
        <f>'0'!AC247</f>
        <v>0</v>
      </c>
      <c r="Y37" s="38"/>
    </row>
    <row r="38" spans="1:27" s="36" customFormat="1" ht="39" customHeight="1" x14ac:dyDescent="0.25">
      <c r="A38" s="34"/>
      <c r="B38" s="122" t="s">
        <v>0</v>
      </c>
      <c r="C38" s="123"/>
      <c r="D38" s="124"/>
      <c r="E38" s="125"/>
      <c r="F38" s="125"/>
      <c r="G38" s="125"/>
      <c r="H38" s="125"/>
      <c r="I38" s="125"/>
      <c r="J38" s="126"/>
      <c r="K38" s="357" t="s">
        <v>97</v>
      </c>
      <c r="L38" s="358">
        <v>0</v>
      </c>
      <c r="M38" s="127"/>
      <c r="N38" s="128"/>
      <c r="O38" s="128"/>
      <c r="P38" s="128"/>
      <c r="Q38" s="128"/>
      <c r="R38" s="297">
        <f>R40+R43</f>
        <v>17570</v>
      </c>
      <c r="S38" s="298"/>
      <c r="T38" s="298"/>
      <c r="U38" s="298"/>
      <c r="V38" s="298"/>
      <c r="W38" s="297">
        <f t="shared" ref="W38:X38" si="3">W40+W43</f>
        <v>17570</v>
      </c>
      <c r="X38" s="297">
        <f t="shared" si="3"/>
        <v>17600</v>
      </c>
      <c r="Y38" s="35"/>
    </row>
    <row r="39" spans="1:27" s="36" customFormat="1" ht="39" customHeight="1" x14ac:dyDescent="0.25">
      <c r="A39" s="34"/>
      <c r="B39" s="118" t="s">
        <v>127</v>
      </c>
      <c r="C39" s="116"/>
      <c r="D39" s="117"/>
      <c r="E39" s="117"/>
      <c r="F39" s="117"/>
      <c r="G39" s="117"/>
      <c r="H39" s="117"/>
      <c r="I39" s="117"/>
      <c r="J39" s="117"/>
      <c r="K39" s="353" t="s">
        <v>99</v>
      </c>
      <c r="L39" s="359">
        <v>0</v>
      </c>
      <c r="M39" s="6"/>
      <c r="N39" s="50"/>
      <c r="O39" s="50"/>
      <c r="P39" s="50"/>
      <c r="Q39" s="50"/>
      <c r="R39" s="271">
        <f>R40+R43</f>
        <v>17570</v>
      </c>
      <c r="S39" s="298"/>
      <c r="T39" s="298"/>
      <c r="U39" s="298"/>
      <c r="V39" s="298"/>
      <c r="W39" s="271">
        <f t="shared" ref="W39:X39" si="4">W40+W43</f>
        <v>17570</v>
      </c>
      <c r="X39" s="271">
        <f t="shared" si="4"/>
        <v>17600</v>
      </c>
      <c r="Y39" s="35"/>
    </row>
    <row r="40" spans="1:27" s="10" customFormat="1" ht="63.75" customHeight="1" x14ac:dyDescent="0.25">
      <c r="A40" s="29"/>
      <c r="B40" s="108" t="s">
        <v>516</v>
      </c>
      <c r="C40" s="104"/>
      <c r="D40" s="105"/>
      <c r="E40" s="106"/>
      <c r="F40" s="106"/>
      <c r="G40" s="106"/>
      <c r="H40" s="106"/>
      <c r="I40" s="106"/>
      <c r="J40" s="107"/>
      <c r="K40" s="360" t="s">
        <v>98</v>
      </c>
      <c r="L40" s="361">
        <v>0</v>
      </c>
      <c r="M40" s="17"/>
      <c r="N40" s="52"/>
      <c r="O40" s="52"/>
      <c r="P40" s="52"/>
      <c r="Q40" s="52"/>
      <c r="R40" s="299">
        <f>R41</f>
        <v>5270</v>
      </c>
      <c r="S40" s="295"/>
      <c r="T40" s="295"/>
      <c r="U40" s="295"/>
      <c r="V40" s="295"/>
      <c r="W40" s="299">
        <f t="shared" ref="W40:X41" si="5">W41</f>
        <v>5270</v>
      </c>
      <c r="X40" s="299">
        <f t="shared" si="5"/>
        <v>5280</v>
      </c>
      <c r="Y40" s="18"/>
    </row>
    <row r="41" spans="1:27" s="10" customFormat="1" ht="24.75" customHeight="1" x14ac:dyDescent="0.25">
      <c r="A41" s="29"/>
      <c r="B41" s="151" t="s">
        <v>128</v>
      </c>
      <c r="C41" s="72"/>
      <c r="D41" s="73"/>
      <c r="E41" s="74"/>
      <c r="F41" s="74"/>
      <c r="G41" s="74"/>
      <c r="H41" s="74"/>
      <c r="I41" s="74"/>
      <c r="J41" s="75"/>
      <c r="K41" s="360" t="s">
        <v>98</v>
      </c>
      <c r="L41" s="354">
        <v>200</v>
      </c>
      <c r="M41" s="7"/>
      <c r="N41" s="47"/>
      <c r="O41" s="47"/>
      <c r="P41" s="47"/>
      <c r="Q41" s="47"/>
      <c r="R41" s="273">
        <f>R42</f>
        <v>5270</v>
      </c>
      <c r="S41" s="295"/>
      <c r="T41" s="295"/>
      <c r="U41" s="295"/>
      <c r="V41" s="295"/>
      <c r="W41" s="273">
        <f t="shared" si="5"/>
        <v>5270</v>
      </c>
      <c r="X41" s="273">
        <f t="shared" si="5"/>
        <v>5280</v>
      </c>
      <c r="Y41" s="18"/>
    </row>
    <row r="42" spans="1:27" s="10" customFormat="1" ht="28.5" customHeight="1" x14ac:dyDescent="0.25">
      <c r="A42" s="29"/>
      <c r="B42" s="229" t="s">
        <v>506</v>
      </c>
      <c r="C42" s="72"/>
      <c r="D42" s="73"/>
      <c r="E42" s="74"/>
      <c r="F42" s="74"/>
      <c r="G42" s="74"/>
      <c r="H42" s="74"/>
      <c r="I42" s="74"/>
      <c r="J42" s="75"/>
      <c r="K42" s="360" t="s">
        <v>98</v>
      </c>
      <c r="L42" s="354">
        <v>244</v>
      </c>
      <c r="M42" s="7"/>
      <c r="N42" s="47"/>
      <c r="O42" s="47"/>
      <c r="P42" s="47"/>
      <c r="Q42" s="47"/>
      <c r="R42" s="273">
        <f>'0'!V220+'0'!X220</f>
        <v>5270</v>
      </c>
      <c r="S42" s="295"/>
      <c r="T42" s="295"/>
      <c r="U42" s="295"/>
      <c r="V42" s="295"/>
      <c r="W42" s="273">
        <f>'0'!AB220</f>
        <v>5270</v>
      </c>
      <c r="X42" s="273">
        <f>'0'!AC220</f>
        <v>5280</v>
      </c>
      <c r="Y42" s="18"/>
    </row>
    <row r="43" spans="1:27" s="10" customFormat="1" ht="49.5" customHeight="1" x14ac:dyDescent="0.25">
      <c r="A43" s="29"/>
      <c r="B43" s="84" t="s">
        <v>517</v>
      </c>
      <c r="C43" s="80"/>
      <c r="D43" s="73"/>
      <c r="E43" s="74"/>
      <c r="F43" s="74"/>
      <c r="G43" s="74"/>
      <c r="H43" s="74"/>
      <c r="I43" s="74"/>
      <c r="J43" s="75"/>
      <c r="K43" s="360" t="s">
        <v>100</v>
      </c>
      <c r="L43" s="356">
        <v>0</v>
      </c>
      <c r="M43" s="15"/>
      <c r="N43" s="51"/>
      <c r="O43" s="51"/>
      <c r="P43" s="51"/>
      <c r="Q43" s="51"/>
      <c r="R43" s="273">
        <f>R45</f>
        <v>12300</v>
      </c>
      <c r="S43" s="295"/>
      <c r="T43" s="295"/>
      <c r="U43" s="295"/>
      <c r="V43" s="295"/>
      <c r="W43" s="273">
        <f t="shared" ref="W43:X43" si="6">W45</f>
        <v>12300</v>
      </c>
      <c r="X43" s="273">
        <f t="shared" si="6"/>
        <v>12320</v>
      </c>
      <c r="Y43" s="18"/>
    </row>
    <row r="44" spans="1:27" s="10" customFormat="1" ht="25.5" customHeight="1" x14ac:dyDescent="0.25">
      <c r="A44" s="29"/>
      <c r="B44" s="151" t="s">
        <v>128</v>
      </c>
      <c r="C44" s="80"/>
      <c r="D44" s="73"/>
      <c r="E44" s="74"/>
      <c r="F44" s="74"/>
      <c r="G44" s="74"/>
      <c r="H44" s="74"/>
      <c r="I44" s="74"/>
      <c r="J44" s="75"/>
      <c r="K44" s="360" t="s">
        <v>100</v>
      </c>
      <c r="L44" s="356">
        <v>200</v>
      </c>
      <c r="M44" s="15"/>
      <c r="N44" s="51"/>
      <c r="O44" s="51"/>
      <c r="P44" s="51"/>
      <c r="Q44" s="51"/>
      <c r="R44" s="273">
        <f>R45</f>
        <v>12300</v>
      </c>
      <c r="S44" s="295"/>
      <c r="T44" s="295"/>
      <c r="U44" s="295"/>
      <c r="V44" s="295"/>
      <c r="W44" s="273">
        <f t="shared" ref="W44:X44" si="7">W45</f>
        <v>12300</v>
      </c>
      <c r="X44" s="273">
        <f t="shared" si="7"/>
        <v>12320</v>
      </c>
      <c r="Y44" s="18"/>
    </row>
    <row r="45" spans="1:27" s="10" customFormat="1" ht="27.75" customHeight="1" thickBot="1" x14ac:dyDescent="0.3">
      <c r="A45" s="29"/>
      <c r="B45" s="229" t="s">
        <v>506</v>
      </c>
      <c r="C45" s="80"/>
      <c r="D45" s="81"/>
      <c r="E45" s="82"/>
      <c r="F45" s="82"/>
      <c r="G45" s="82"/>
      <c r="H45" s="82"/>
      <c r="I45" s="82"/>
      <c r="J45" s="83"/>
      <c r="K45" s="360" t="s">
        <v>100</v>
      </c>
      <c r="L45" s="356">
        <v>244</v>
      </c>
      <c r="M45" s="15"/>
      <c r="N45" s="51"/>
      <c r="O45" s="51"/>
      <c r="P45" s="51"/>
      <c r="Q45" s="51"/>
      <c r="R45" s="273">
        <f>'0'!V223</f>
        <v>12300</v>
      </c>
      <c r="S45" s="295"/>
      <c r="T45" s="295"/>
      <c r="U45" s="295"/>
      <c r="V45" s="295"/>
      <c r="W45" s="273">
        <f>'0'!AB223</f>
        <v>12300</v>
      </c>
      <c r="X45" s="273">
        <f>'0'!AC223</f>
        <v>12320</v>
      </c>
      <c r="Y45" s="18"/>
    </row>
    <row r="46" spans="1:27" s="33" customFormat="1" ht="27" customHeight="1" thickBot="1" x14ac:dyDescent="0.3">
      <c r="A46" s="31"/>
      <c r="B46" s="243" t="s">
        <v>564</v>
      </c>
      <c r="C46" s="119"/>
      <c r="D46" s="119"/>
      <c r="E46" s="119"/>
      <c r="F46" s="119"/>
      <c r="G46" s="119"/>
      <c r="H46" s="119"/>
      <c r="I46" s="119"/>
      <c r="J46" s="119"/>
      <c r="K46" s="362" t="s">
        <v>526</v>
      </c>
      <c r="L46" s="363">
        <v>0</v>
      </c>
      <c r="M46" s="120"/>
      <c r="N46" s="121"/>
      <c r="O46" s="121"/>
      <c r="P46" s="121"/>
      <c r="Q46" s="121"/>
      <c r="R46" s="264">
        <f>R53</f>
        <v>75000</v>
      </c>
      <c r="S46" s="294"/>
      <c r="T46" s="294"/>
      <c r="U46" s="294"/>
      <c r="V46" s="294"/>
      <c r="W46" s="264">
        <f>W51</f>
        <v>0</v>
      </c>
      <c r="X46" s="264">
        <f>X51</f>
        <v>0</v>
      </c>
      <c r="Y46" s="32"/>
      <c r="Z46" s="32"/>
      <c r="AA46" s="32"/>
    </row>
    <row r="47" spans="1:27" s="33" customFormat="1" ht="0.75" hidden="1" customHeight="1" x14ac:dyDescent="0.25">
      <c r="A47" s="31"/>
      <c r="B47" s="244" t="s">
        <v>60</v>
      </c>
      <c r="C47" s="100"/>
      <c r="D47" s="100"/>
      <c r="E47" s="100"/>
      <c r="F47" s="100"/>
      <c r="G47" s="100"/>
      <c r="H47" s="100"/>
      <c r="I47" s="100"/>
      <c r="J47" s="100"/>
      <c r="K47" s="364">
        <v>7952600</v>
      </c>
      <c r="L47" s="365">
        <v>244</v>
      </c>
      <c r="M47" s="16"/>
      <c r="N47" s="46"/>
      <c r="O47" s="46"/>
      <c r="P47" s="46"/>
      <c r="Q47" s="46"/>
      <c r="R47" s="266">
        <v>2369000</v>
      </c>
      <c r="S47" s="294"/>
      <c r="T47" s="294"/>
      <c r="U47" s="294"/>
      <c r="V47" s="294"/>
      <c r="W47" s="266">
        <v>2369000</v>
      </c>
      <c r="X47" s="266">
        <v>2369000</v>
      </c>
    </row>
    <row r="48" spans="1:27" s="33" customFormat="1" ht="4.5" hidden="1" customHeight="1" x14ac:dyDescent="0.25">
      <c r="A48" s="31"/>
      <c r="B48" s="245"/>
      <c r="C48" s="76"/>
      <c r="D48" s="76"/>
      <c r="E48" s="76"/>
      <c r="F48" s="76"/>
      <c r="G48" s="76"/>
      <c r="H48" s="76"/>
      <c r="I48" s="76"/>
      <c r="J48" s="76"/>
      <c r="K48" s="366"/>
      <c r="L48" s="367"/>
      <c r="M48" s="6"/>
      <c r="N48" s="50"/>
      <c r="O48" s="50"/>
      <c r="P48" s="50"/>
      <c r="Q48" s="50"/>
      <c r="R48" s="271"/>
      <c r="S48" s="294"/>
      <c r="T48" s="294"/>
      <c r="U48" s="294"/>
      <c r="V48" s="294"/>
      <c r="W48" s="271"/>
      <c r="X48" s="271"/>
    </row>
    <row r="49" spans="1:34" s="10" customFormat="1" ht="17.25" hidden="1" customHeight="1" x14ac:dyDescent="0.25">
      <c r="A49" s="29"/>
      <c r="B49" s="246" t="s">
        <v>62</v>
      </c>
      <c r="C49" s="61"/>
      <c r="D49" s="61"/>
      <c r="E49" s="61"/>
      <c r="F49" s="61"/>
      <c r="G49" s="61"/>
      <c r="H49" s="61"/>
      <c r="I49" s="61"/>
      <c r="J49" s="61"/>
      <c r="K49" s="368">
        <v>6000100</v>
      </c>
      <c r="L49" s="369">
        <v>0</v>
      </c>
      <c r="M49" s="7"/>
      <c r="N49" s="47">
        <v>79429000</v>
      </c>
      <c r="O49" s="47">
        <v>0</v>
      </c>
      <c r="P49" s="47">
        <v>0</v>
      </c>
      <c r="Q49" s="47">
        <v>0</v>
      </c>
      <c r="R49" s="268">
        <f>R50</f>
        <v>0</v>
      </c>
      <c r="S49" s="295"/>
      <c r="T49" s="295"/>
      <c r="U49" s="295"/>
      <c r="V49" s="295"/>
      <c r="W49" s="268">
        <f t="shared" ref="W49:X49" si="8">W50</f>
        <v>0</v>
      </c>
      <c r="X49" s="268">
        <f t="shared" si="8"/>
        <v>0</v>
      </c>
    </row>
    <row r="50" spans="1:34" s="10" customFormat="1" ht="18" hidden="1" customHeight="1" x14ac:dyDescent="0.25">
      <c r="A50" s="29"/>
      <c r="B50" s="246" t="s">
        <v>60</v>
      </c>
      <c r="C50" s="61"/>
      <c r="D50" s="61"/>
      <c r="E50" s="61"/>
      <c r="F50" s="61"/>
      <c r="G50" s="61"/>
      <c r="H50" s="61"/>
      <c r="I50" s="61"/>
      <c r="J50" s="61"/>
      <c r="K50" s="368">
        <v>6000100</v>
      </c>
      <c r="L50" s="369">
        <v>244</v>
      </c>
      <c r="M50" s="7"/>
      <c r="N50" s="47">
        <v>79429000</v>
      </c>
      <c r="O50" s="47">
        <v>0</v>
      </c>
      <c r="P50" s="47">
        <v>0</v>
      </c>
      <c r="Q50" s="47">
        <v>0</v>
      </c>
      <c r="R50" s="268"/>
      <c r="S50" s="295"/>
      <c r="T50" s="295"/>
      <c r="U50" s="295"/>
      <c r="V50" s="295"/>
      <c r="W50" s="268"/>
      <c r="X50" s="268"/>
    </row>
    <row r="51" spans="1:34" s="10" customFormat="1" ht="61.5" customHeight="1" x14ac:dyDescent="0.25">
      <c r="A51" s="29"/>
      <c r="B51" s="242" t="s">
        <v>565</v>
      </c>
      <c r="C51" s="61"/>
      <c r="D51" s="61"/>
      <c r="E51" s="61"/>
      <c r="F51" s="61"/>
      <c r="G51" s="61"/>
      <c r="H51" s="61"/>
      <c r="I51" s="61"/>
      <c r="J51" s="61"/>
      <c r="K51" s="368" t="s">
        <v>566</v>
      </c>
      <c r="L51" s="369">
        <v>0</v>
      </c>
      <c r="M51" s="7"/>
      <c r="N51" s="47"/>
      <c r="O51" s="47"/>
      <c r="P51" s="47"/>
      <c r="Q51" s="47"/>
      <c r="R51" s="268">
        <f>R52</f>
        <v>75000</v>
      </c>
      <c r="S51" s="295"/>
      <c r="T51" s="295"/>
      <c r="U51" s="295"/>
      <c r="V51" s="295"/>
      <c r="W51" s="268">
        <f t="shared" ref="W51:X52" si="9">W52</f>
        <v>0</v>
      </c>
      <c r="X51" s="268">
        <f t="shared" si="9"/>
        <v>0</v>
      </c>
    </row>
    <row r="52" spans="1:34" s="10" customFormat="1" ht="23.25" customHeight="1" x14ac:dyDescent="0.25">
      <c r="A52" s="29"/>
      <c r="B52" s="151" t="s">
        <v>128</v>
      </c>
      <c r="C52" s="61"/>
      <c r="D52" s="61"/>
      <c r="E52" s="61"/>
      <c r="F52" s="61"/>
      <c r="G52" s="61"/>
      <c r="H52" s="61"/>
      <c r="I52" s="61"/>
      <c r="J52" s="61"/>
      <c r="K52" s="368" t="s">
        <v>567</v>
      </c>
      <c r="L52" s="369">
        <v>200</v>
      </c>
      <c r="M52" s="7"/>
      <c r="N52" s="47"/>
      <c r="O52" s="47"/>
      <c r="P52" s="47"/>
      <c r="Q52" s="47"/>
      <c r="R52" s="268">
        <f>R53</f>
        <v>75000</v>
      </c>
      <c r="S52" s="295"/>
      <c r="T52" s="295"/>
      <c r="U52" s="295"/>
      <c r="V52" s="295"/>
      <c r="W52" s="268">
        <f t="shared" si="9"/>
        <v>0</v>
      </c>
      <c r="X52" s="268">
        <f t="shared" si="9"/>
        <v>0</v>
      </c>
    </row>
    <row r="53" spans="1:34" s="39" customFormat="1" ht="24.75" customHeight="1" thickBot="1" x14ac:dyDescent="0.3">
      <c r="A53" s="37"/>
      <c r="B53" s="247" t="s">
        <v>81</v>
      </c>
      <c r="C53" s="79"/>
      <c r="D53" s="79"/>
      <c r="E53" s="79"/>
      <c r="F53" s="79"/>
      <c r="G53" s="79"/>
      <c r="H53" s="79"/>
      <c r="I53" s="79"/>
      <c r="J53" s="79"/>
      <c r="K53" s="368" t="s">
        <v>567</v>
      </c>
      <c r="L53" s="369">
        <v>244</v>
      </c>
      <c r="M53" s="7"/>
      <c r="N53" s="47"/>
      <c r="O53" s="47"/>
      <c r="P53" s="47"/>
      <c r="Q53" s="47"/>
      <c r="R53" s="268">
        <f>'0'!V66+'0'!X66</f>
        <v>75000</v>
      </c>
      <c r="S53" s="296"/>
      <c r="T53" s="296"/>
      <c r="U53" s="296"/>
      <c r="V53" s="296"/>
      <c r="W53" s="268">
        <f>'0'!AB66</f>
        <v>0</v>
      </c>
      <c r="X53" s="268">
        <f>'0'!AC66</f>
        <v>0</v>
      </c>
    </row>
    <row r="54" spans="1:34" s="33" customFormat="1" ht="27" customHeight="1" thickBot="1" x14ac:dyDescent="0.3">
      <c r="A54" s="31"/>
      <c r="B54" s="243" t="s">
        <v>528</v>
      </c>
      <c r="C54" s="119"/>
      <c r="D54" s="119"/>
      <c r="E54" s="119"/>
      <c r="F54" s="119"/>
      <c r="G54" s="119"/>
      <c r="H54" s="119"/>
      <c r="I54" s="119"/>
      <c r="J54" s="119"/>
      <c r="K54" s="362" t="s">
        <v>527</v>
      </c>
      <c r="L54" s="363">
        <v>0</v>
      </c>
      <c r="M54" s="120"/>
      <c r="N54" s="121"/>
      <c r="O54" s="121"/>
      <c r="P54" s="121"/>
      <c r="Q54" s="121"/>
      <c r="R54" s="264">
        <f>R55+R58</f>
        <v>651087</v>
      </c>
      <c r="S54" s="294"/>
      <c r="T54" s="294"/>
      <c r="U54" s="294"/>
      <c r="V54" s="294"/>
      <c r="W54" s="264">
        <f>W55+W58</f>
        <v>0</v>
      </c>
      <c r="X54" s="264">
        <f>X55+X58</f>
        <v>0</v>
      </c>
      <c r="Y54" s="32">
        <f>R54</f>
        <v>651087</v>
      </c>
      <c r="Z54" s="32"/>
      <c r="AA54" s="32"/>
    </row>
    <row r="55" spans="1:34" s="10" customFormat="1" ht="31.2" customHeight="1" x14ac:dyDescent="0.25">
      <c r="A55" s="29"/>
      <c r="B55" s="242" t="s">
        <v>571</v>
      </c>
      <c r="C55" s="61"/>
      <c r="D55" s="61"/>
      <c r="E55" s="61"/>
      <c r="F55" s="61"/>
      <c r="G55" s="61"/>
      <c r="H55" s="61"/>
      <c r="I55" s="61"/>
      <c r="J55" s="61"/>
      <c r="K55" s="368" t="s">
        <v>634</v>
      </c>
      <c r="L55" s="369">
        <v>0</v>
      </c>
      <c r="M55" s="7"/>
      <c r="N55" s="47"/>
      <c r="O55" s="47"/>
      <c r="P55" s="47"/>
      <c r="Q55" s="47"/>
      <c r="R55" s="268">
        <f>R56</f>
        <v>362887</v>
      </c>
      <c r="S55" s="295"/>
      <c r="T55" s="295"/>
      <c r="U55" s="295"/>
      <c r="V55" s="295"/>
      <c r="W55" s="268">
        <v>0</v>
      </c>
      <c r="X55" s="268">
        <v>0</v>
      </c>
    </row>
    <row r="56" spans="1:34" s="10" customFormat="1" ht="23.25" customHeight="1" x14ac:dyDescent="0.25">
      <c r="A56" s="29"/>
      <c r="B56" s="151" t="s">
        <v>128</v>
      </c>
      <c r="C56" s="61"/>
      <c r="D56" s="61"/>
      <c r="E56" s="61"/>
      <c r="F56" s="61"/>
      <c r="G56" s="61"/>
      <c r="H56" s="61"/>
      <c r="I56" s="61"/>
      <c r="J56" s="61"/>
      <c r="K56" s="368" t="s">
        <v>634</v>
      </c>
      <c r="L56" s="369">
        <v>200</v>
      </c>
      <c r="M56" s="7"/>
      <c r="N56" s="47"/>
      <c r="O56" s="47"/>
      <c r="P56" s="47"/>
      <c r="Q56" s="47"/>
      <c r="R56" s="268">
        <f>R57</f>
        <v>362887</v>
      </c>
      <c r="S56" s="295"/>
      <c r="T56" s="295"/>
      <c r="U56" s="295"/>
      <c r="V56" s="295"/>
      <c r="W56" s="268">
        <f t="shared" ref="W56:X56" si="10">W57</f>
        <v>0</v>
      </c>
      <c r="X56" s="268">
        <f t="shared" si="10"/>
        <v>0</v>
      </c>
    </row>
    <row r="57" spans="1:34" s="39" customFormat="1" ht="24.75" customHeight="1" x14ac:dyDescent="0.25">
      <c r="A57" s="37"/>
      <c r="B57" s="247" t="s">
        <v>81</v>
      </c>
      <c r="C57" s="79"/>
      <c r="D57" s="79"/>
      <c r="E57" s="79"/>
      <c r="F57" s="79"/>
      <c r="G57" s="79"/>
      <c r="H57" s="79"/>
      <c r="I57" s="79"/>
      <c r="J57" s="79"/>
      <c r="K57" s="368" t="s">
        <v>634</v>
      </c>
      <c r="L57" s="369">
        <v>244</v>
      </c>
      <c r="M57" s="7"/>
      <c r="N57" s="47"/>
      <c r="O57" s="47"/>
      <c r="P57" s="47"/>
      <c r="Q57" s="47"/>
      <c r="R57" s="268">
        <f>'0'!V320+'0'!X320+'0'!V318+'0'!X318</f>
        <v>362887</v>
      </c>
      <c r="S57" s="296"/>
      <c r="T57" s="296"/>
      <c r="U57" s="296"/>
      <c r="V57" s="296"/>
      <c r="W57" s="268">
        <f>'[1]разбивка для УРМ'!AG261</f>
        <v>0</v>
      </c>
      <c r="X57" s="268">
        <f>'[1]разбивка для УРМ'!AJ261</f>
        <v>0</v>
      </c>
    </row>
    <row r="58" spans="1:34" s="39" customFormat="1" ht="24.75" customHeight="1" x14ac:dyDescent="0.25">
      <c r="A58" s="37"/>
      <c r="B58" s="250" t="s">
        <v>570</v>
      </c>
      <c r="C58" s="102"/>
      <c r="D58" s="102"/>
      <c r="E58" s="102"/>
      <c r="F58" s="102"/>
      <c r="G58" s="102"/>
      <c r="H58" s="102"/>
      <c r="I58" s="102"/>
      <c r="J58" s="102"/>
      <c r="K58" s="370" t="s">
        <v>634</v>
      </c>
      <c r="L58" s="371">
        <v>0</v>
      </c>
      <c r="M58" s="15"/>
      <c r="N58" s="51"/>
      <c r="O58" s="51"/>
      <c r="P58" s="51"/>
      <c r="Q58" s="51"/>
      <c r="R58" s="273">
        <f>R59+R61</f>
        <v>288200</v>
      </c>
      <c r="S58" s="296"/>
      <c r="T58" s="296"/>
      <c r="U58" s="296"/>
      <c r="V58" s="296"/>
      <c r="W58" s="273">
        <v>0</v>
      </c>
      <c r="X58" s="273">
        <v>0</v>
      </c>
    </row>
    <row r="59" spans="1:34" s="10" customFormat="1" ht="23.25" customHeight="1" x14ac:dyDescent="0.25">
      <c r="A59" s="29"/>
      <c r="B59" s="151" t="s">
        <v>128</v>
      </c>
      <c r="C59" s="61"/>
      <c r="D59" s="61"/>
      <c r="E59" s="61"/>
      <c r="F59" s="61"/>
      <c r="G59" s="61"/>
      <c r="H59" s="61"/>
      <c r="I59" s="61"/>
      <c r="J59" s="61"/>
      <c r="K59" s="368" t="s">
        <v>634</v>
      </c>
      <c r="L59" s="369">
        <v>200</v>
      </c>
      <c r="M59" s="7"/>
      <c r="N59" s="47"/>
      <c r="O59" s="47"/>
      <c r="P59" s="47"/>
      <c r="Q59" s="47"/>
      <c r="R59" s="268">
        <f>R60</f>
        <v>288200</v>
      </c>
      <c r="S59" s="295"/>
      <c r="T59" s="295"/>
      <c r="U59" s="295"/>
      <c r="V59" s="295"/>
      <c r="W59" s="268">
        <f t="shared" ref="W59:X61" si="11">W60</f>
        <v>0</v>
      </c>
      <c r="X59" s="268">
        <f t="shared" si="11"/>
        <v>0</v>
      </c>
    </row>
    <row r="60" spans="1:34" s="39" customFormat="1" ht="24.75" customHeight="1" thickBot="1" x14ac:dyDescent="0.3">
      <c r="A60" s="37"/>
      <c r="B60" s="247" t="s">
        <v>81</v>
      </c>
      <c r="C60" s="79"/>
      <c r="D60" s="79"/>
      <c r="E60" s="79"/>
      <c r="F60" s="79"/>
      <c r="G60" s="79"/>
      <c r="H60" s="79"/>
      <c r="I60" s="79"/>
      <c r="J60" s="79"/>
      <c r="K60" s="368" t="s">
        <v>634</v>
      </c>
      <c r="L60" s="369">
        <v>244</v>
      </c>
      <c r="M60" s="7"/>
      <c r="N60" s="47"/>
      <c r="O60" s="47"/>
      <c r="P60" s="47"/>
      <c r="Q60" s="47"/>
      <c r="R60" s="268">
        <f>'0'!V319+'0'!X319</f>
        <v>288200</v>
      </c>
      <c r="S60" s="296"/>
      <c r="T60" s="296"/>
      <c r="U60" s="296"/>
      <c r="V60" s="296"/>
      <c r="W60" s="268">
        <f>'[1]разбивка для УРМ'!AG266</f>
        <v>0</v>
      </c>
      <c r="X60" s="268">
        <f>'[1]разбивка для УРМ'!AJ266</f>
        <v>0</v>
      </c>
    </row>
    <row r="61" spans="1:34" s="10" customFormat="1" ht="23.25" hidden="1" customHeight="1" x14ac:dyDescent="0.25">
      <c r="A61" s="29"/>
      <c r="B61" s="151" t="s">
        <v>128</v>
      </c>
      <c r="C61" s="61"/>
      <c r="D61" s="61"/>
      <c r="E61" s="61"/>
      <c r="F61" s="61"/>
      <c r="G61" s="61"/>
      <c r="H61" s="61"/>
      <c r="I61" s="61"/>
      <c r="J61" s="61"/>
      <c r="K61" s="368" t="s">
        <v>569</v>
      </c>
      <c r="L61" s="369">
        <v>200</v>
      </c>
      <c r="M61" s="7"/>
      <c r="N61" s="47"/>
      <c r="O61" s="47"/>
      <c r="P61" s="47"/>
      <c r="Q61" s="47"/>
      <c r="R61" s="268">
        <f>R62</f>
        <v>0</v>
      </c>
      <c r="S61" s="295"/>
      <c r="T61" s="295"/>
      <c r="U61" s="295"/>
      <c r="V61" s="295"/>
      <c r="W61" s="268">
        <f t="shared" si="11"/>
        <v>0</v>
      </c>
      <c r="X61" s="268">
        <f t="shared" si="11"/>
        <v>0</v>
      </c>
    </row>
    <row r="62" spans="1:34" s="39" customFormat="1" ht="24.75" hidden="1" customHeight="1" thickBot="1" x14ac:dyDescent="0.3">
      <c r="A62" s="37"/>
      <c r="B62" s="247" t="s">
        <v>81</v>
      </c>
      <c r="C62" s="79"/>
      <c r="D62" s="79"/>
      <c r="E62" s="79"/>
      <c r="F62" s="79"/>
      <c r="G62" s="79"/>
      <c r="H62" s="79"/>
      <c r="I62" s="79"/>
      <c r="J62" s="79"/>
      <c r="K62" s="368" t="s">
        <v>569</v>
      </c>
      <c r="L62" s="369">
        <v>244</v>
      </c>
      <c r="M62" s="7"/>
      <c r="N62" s="47"/>
      <c r="O62" s="47"/>
      <c r="P62" s="47"/>
      <c r="Q62" s="47"/>
      <c r="R62" s="268">
        <v>0</v>
      </c>
      <c r="S62" s="296"/>
      <c r="T62" s="296"/>
      <c r="U62" s="296"/>
      <c r="V62" s="296"/>
      <c r="W62" s="268">
        <f>'[1]разбивка для УРМ'!AG268</f>
        <v>0</v>
      </c>
      <c r="X62" s="268">
        <f>'[1]разбивка для УРМ'!AJ268</f>
        <v>0</v>
      </c>
    </row>
    <row r="63" spans="1:34" s="36" customFormat="1" ht="27" customHeight="1" thickBot="1" x14ac:dyDescent="0.3">
      <c r="A63" s="34"/>
      <c r="B63" s="193" t="s">
        <v>443</v>
      </c>
      <c r="C63" s="129"/>
      <c r="D63" s="129"/>
      <c r="E63" s="129"/>
      <c r="F63" s="129"/>
      <c r="G63" s="129"/>
      <c r="H63" s="129"/>
      <c r="I63" s="129"/>
      <c r="J63" s="129"/>
      <c r="K63" s="372" t="s">
        <v>102</v>
      </c>
      <c r="L63" s="373">
        <v>0</v>
      </c>
      <c r="M63" s="120"/>
      <c r="N63" s="121">
        <v>2801000</v>
      </c>
      <c r="O63" s="121">
        <v>0</v>
      </c>
      <c r="P63" s="121">
        <v>0</v>
      </c>
      <c r="Q63" s="121">
        <v>0</v>
      </c>
      <c r="R63" s="264">
        <f>R64+R76+R92+R98+R104+R85+R87+R81+R89+R71+R101</f>
        <v>7016867.2500000009</v>
      </c>
      <c r="S63" s="264">
        <f t="shared" ref="S63:X63" si="12">S64+S76+S92+S98+S104+S85+S87+S81+S89+S71+S101</f>
        <v>0</v>
      </c>
      <c r="T63" s="264">
        <f t="shared" si="12"/>
        <v>0</v>
      </c>
      <c r="U63" s="264">
        <f t="shared" si="12"/>
        <v>0</v>
      </c>
      <c r="V63" s="264">
        <f t="shared" si="12"/>
        <v>0</v>
      </c>
      <c r="W63" s="264">
        <f t="shared" si="12"/>
        <v>6919145</v>
      </c>
      <c r="X63" s="264">
        <f t="shared" si="12"/>
        <v>7039434.9000000004</v>
      </c>
      <c r="Y63" s="35"/>
      <c r="AH63" s="36">
        <f>'0'!AO22</f>
        <v>7016867.2500000009</v>
      </c>
    </row>
    <row r="64" spans="1:34" s="10" customFormat="1" ht="35.25" customHeight="1" x14ac:dyDescent="0.25">
      <c r="A64" s="29"/>
      <c r="B64" s="109" t="s">
        <v>446</v>
      </c>
      <c r="C64" s="71"/>
      <c r="D64" s="71"/>
      <c r="E64" s="71"/>
      <c r="F64" s="71"/>
      <c r="G64" s="71"/>
      <c r="H64" s="71"/>
      <c r="I64" s="71"/>
      <c r="J64" s="71"/>
      <c r="K64" s="347" t="s">
        <v>103</v>
      </c>
      <c r="L64" s="374">
        <v>0</v>
      </c>
      <c r="M64" s="17"/>
      <c r="N64" s="52"/>
      <c r="O64" s="52"/>
      <c r="P64" s="52"/>
      <c r="Q64" s="52"/>
      <c r="R64" s="278">
        <f>R65</f>
        <v>1693066.1400000001</v>
      </c>
      <c r="S64" s="295"/>
      <c r="T64" s="295"/>
      <c r="U64" s="295"/>
      <c r="V64" s="295"/>
      <c r="W64" s="278">
        <f t="shared" ref="W64:X64" si="13">W65</f>
        <v>1304578</v>
      </c>
      <c r="X64" s="278">
        <f t="shared" si="13"/>
        <v>1304578</v>
      </c>
      <c r="Y64" s="18"/>
      <c r="AH64" s="18">
        <f>R63-AH63</f>
        <v>0</v>
      </c>
    </row>
    <row r="65" spans="1:25" s="10" customFormat="1" ht="39.75" customHeight="1" x14ac:dyDescent="0.25">
      <c r="A65" s="29"/>
      <c r="B65" s="63" t="s">
        <v>75</v>
      </c>
      <c r="C65" s="61"/>
      <c r="D65" s="61"/>
      <c r="E65" s="61"/>
      <c r="F65" s="61"/>
      <c r="G65" s="61"/>
      <c r="H65" s="61"/>
      <c r="I65" s="61"/>
      <c r="J65" s="61"/>
      <c r="K65" s="347" t="s">
        <v>103</v>
      </c>
      <c r="L65" s="348">
        <v>100</v>
      </c>
      <c r="M65" s="7"/>
      <c r="N65" s="47"/>
      <c r="O65" s="47"/>
      <c r="P65" s="47"/>
      <c r="Q65" s="47"/>
      <c r="R65" s="268">
        <f>R66+R70</f>
        <v>1693066.1400000001</v>
      </c>
      <c r="S65" s="295"/>
      <c r="T65" s="295"/>
      <c r="U65" s="295"/>
      <c r="V65" s="295"/>
      <c r="W65" s="268">
        <f t="shared" ref="W65:X65" si="14">W66+W70</f>
        <v>1304578</v>
      </c>
      <c r="X65" s="268">
        <f t="shared" si="14"/>
        <v>1304578</v>
      </c>
      <c r="Y65" s="18"/>
    </row>
    <row r="66" spans="1:25" s="10" customFormat="1" ht="15.75" customHeight="1" x14ac:dyDescent="0.25">
      <c r="A66" s="29"/>
      <c r="B66" s="239" t="s">
        <v>138</v>
      </c>
      <c r="C66" s="61"/>
      <c r="D66" s="61"/>
      <c r="E66" s="61"/>
      <c r="F66" s="61"/>
      <c r="G66" s="61"/>
      <c r="H66" s="61"/>
      <c r="I66" s="61"/>
      <c r="J66" s="61"/>
      <c r="K66" s="347" t="s">
        <v>103</v>
      </c>
      <c r="L66" s="348">
        <v>121</v>
      </c>
      <c r="M66" s="7"/>
      <c r="N66" s="47">
        <v>2801000</v>
      </c>
      <c r="O66" s="47">
        <v>0</v>
      </c>
      <c r="P66" s="47">
        <v>0</v>
      </c>
      <c r="Q66" s="47">
        <v>0</v>
      </c>
      <c r="R66" s="268">
        <f>'0'!V22+'0'!X22</f>
        <v>1300358.08</v>
      </c>
      <c r="S66" s="295"/>
      <c r="T66" s="295"/>
      <c r="U66" s="295"/>
      <c r="V66" s="295"/>
      <c r="W66" s="268">
        <f>'0'!AB22</f>
        <v>1001980</v>
      </c>
      <c r="X66" s="268">
        <f>'0'!AC22</f>
        <v>1001980</v>
      </c>
      <c r="Y66" s="18"/>
    </row>
    <row r="67" spans="1:25" s="10" customFormat="1" ht="18" hidden="1" customHeight="1" x14ac:dyDescent="0.25">
      <c r="A67" s="29"/>
      <c r="B67" s="64"/>
      <c r="C67" s="65"/>
      <c r="D67" s="65"/>
      <c r="E67" s="65"/>
      <c r="F67" s="65"/>
      <c r="G67" s="65"/>
      <c r="H67" s="65"/>
      <c r="I67" s="65"/>
      <c r="J67" s="66"/>
      <c r="K67" s="375"/>
      <c r="L67" s="376"/>
      <c r="M67" s="48"/>
      <c r="N67" s="49"/>
      <c r="O67" s="49"/>
      <c r="P67" s="49"/>
      <c r="Q67" s="49"/>
      <c r="R67" s="268"/>
      <c r="S67" s="295"/>
      <c r="T67" s="295"/>
      <c r="U67" s="295"/>
      <c r="V67" s="295"/>
      <c r="W67" s="268"/>
      <c r="X67" s="268"/>
      <c r="Y67" s="18"/>
    </row>
    <row r="68" spans="1:25" s="10" customFormat="1" ht="61.5" hidden="1" customHeight="1" x14ac:dyDescent="0.25">
      <c r="A68" s="29"/>
      <c r="B68" s="63"/>
      <c r="C68" s="65"/>
      <c r="D68" s="65"/>
      <c r="E68" s="65"/>
      <c r="F68" s="65"/>
      <c r="G68" s="65"/>
      <c r="H68" s="65"/>
      <c r="I68" s="65"/>
      <c r="J68" s="66"/>
      <c r="K68" s="375"/>
      <c r="L68" s="376"/>
      <c r="M68" s="48"/>
      <c r="N68" s="49"/>
      <c r="O68" s="49"/>
      <c r="P68" s="49"/>
      <c r="Q68" s="49"/>
      <c r="R68" s="270"/>
      <c r="S68" s="295"/>
      <c r="T68" s="295"/>
      <c r="U68" s="295"/>
      <c r="V68" s="295"/>
      <c r="W68" s="270"/>
      <c r="X68" s="270"/>
      <c r="Y68" s="18"/>
    </row>
    <row r="69" spans="1:25" s="10" customFormat="1" ht="23.25" hidden="1" customHeight="1" x14ac:dyDescent="0.25">
      <c r="A69" s="29"/>
      <c r="B69" s="64"/>
      <c r="C69" s="65"/>
      <c r="D69" s="65"/>
      <c r="E69" s="65"/>
      <c r="F69" s="65"/>
      <c r="G69" s="65"/>
      <c r="H69" s="65"/>
      <c r="I69" s="65"/>
      <c r="J69" s="66"/>
      <c r="K69" s="375"/>
      <c r="L69" s="376"/>
      <c r="M69" s="48"/>
      <c r="N69" s="49"/>
      <c r="O69" s="49"/>
      <c r="P69" s="49"/>
      <c r="Q69" s="49"/>
      <c r="R69" s="270"/>
      <c r="S69" s="295"/>
      <c r="T69" s="295"/>
      <c r="U69" s="295"/>
      <c r="V69" s="295"/>
      <c r="W69" s="270"/>
      <c r="X69" s="270"/>
      <c r="Y69" s="18"/>
    </row>
    <row r="70" spans="1:25" s="10" customFormat="1" ht="24.75" customHeight="1" x14ac:dyDescent="0.25">
      <c r="A70" s="29"/>
      <c r="B70" s="239" t="s">
        <v>134</v>
      </c>
      <c r="C70" s="61"/>
      <c r="D70" s="61"/>
      <c r="E70" s="61"/>
      <c r="F70" s="61"/>
      <c r="G70" s="61"/>
      <c r="H70" s="61"/>
      <c r="I70" s="61"/>
      <c r="J70" s="61"/>
      <c r="K70" s="347" t="s">
        <v>103</v>
      </c>
      <c r="L70" s="348">
        <v>129</v>
      </c>
      <c r="M70" s="7"/>
      <c r="N70" s="47">
        <v>2801000</v>
      </c>
      <c r="O70" s="47">
        <v>0</v>
      </c>
      <c r="P70" s="47">
        <v>0</v>
      </c>
      <c r="Q70" s="47">
        <v>0</v>
      </c>
      <c r="R70" s="268">
        <f>'0'!V23+'0'!X23</f>
        <v>392708.06</v>
      </c>
      <c r="S70" s="295"/>
      <c r="T70" s="295"/>
      <c r="U70" s="295"/>
      <c r="V70" s="295"/>
      <c r="W70" s="268">
        <f>'0'!AB23</f>
        <v>302598</v>
      </c>
      <c r="X70" s="268">
        <f>'0'!AC23</f>
        <v>302598</v>
      </c>
      <c r="Y70" s="18"/>
    </row>
    <row r="71" spans="1:25" s="10" customFormat="1" ht="25.8" hidden="1" customHeight="1" x14ac:dyDescent="0.25">
      <c r="A71" s="29"/>
      <c r="B71" s="85" t="s">
        <v>420</v>
      </c>
      <c r="C71" s="61"/>
      <c r="D71" s="61"/>
      <c r="E71" s="61"/>
      <c r="F71" s="61"/>
      <c r="G71" s="61"/>
      <c r="H71" s="61"/>
      <c r="I71" s="61"/>
      <c r="J71" s="61"/>
      <c r="K71" s="347" t="s">
        <v>102</v>
      </c>
      <c r="L71" s="348">
        <v>0</v>
      </c>
      <c r="M71" s="7"/>
      <c r="N71" s="47"/>
      <c r="O71" s="47"/>
      <c r="P71" s="47"/>
      <c r="Q71" s="47"/>
      <c r="R71" s="268">
        <v>770019</v>
      </c>
      <c r="S71" s="295"/>
      <c r="T71" s="295"/>
      <c r="U71" s="295"/>
      <c r="V71" s="295"/>
      <c r="W71" s="268">
        <v>0</v>
      </c>
      <c r="X71" s="268">
        <v>0</v>
      </c>
      <c r="Y71" s="18"/>
    </row>
    <row r="72" spans="1:25" s="10" customFormat="1" ht="55.2" hidden="1" customHeight="1" x14ac:dyDescent="0.25">
      <c r="A72" s="29"/>
      <c r="B72" s="239" t="s">
        <v>500</v>
      </c>
      <c r="C72" s="61"/>
      <c r="D72" s="61"/>
      <c r="E72" s="61"/>
      <c r="F72" s="61"/>
      <c r="G72" s="61"/>
      <c r="H72" s="61"/>
      <c r="I72" s="61"/>
      <c r="J72" s="61"/>
      <c r="K72" s="347" t="s">
        <v>101</v>
      </c>
      <c r="L72" s="348">
        <v>0</v>
      </c>
      <c r="M72" s="7"/>
      <c r="N72" s="47"/>
      <c r="O72" s="47"/>
      <c r="P72" s="47"/>
      <c r="Q72" s="47"/>
      <c r="R72" s="268">
        <v>770019</v>
      </c>
      <c r="S72" s="295"/>
      <c r="T72" s="295"/>
      <c r="U72" s="295"/>
      <c r="V72" s="295"/>
      <c r="W72" s="268">
        <v>0</v>
      </c>
      <c r="X72" s="268">
        <v>0</v>
      </c>
      <c r="Y72" s="18"/>
    </row>
    <row r="73" spans="1:25" s="10" customFormat="1" ht="41.4" customHeight="1" x14ac:dyDescent="0.25">
      <c r="A73" s="29"/>
      <c r="B73" s="63" t="s">
        <v>507</v>
      </c>
      <c r="C73" s="61"/>
      <c r="D73" s="61"/>
      <c r="E73" s="61"/>
      <c r="F73" s="61"/>
      <c r="G73" s="61"/>
      <c r="H73" s="61"/>
      <c r="I73" s="61"/>
      <c r="J73" s="61"/>
      <c r="K73" s="347" t="s">
        <v>101</v>
      </c>
      <c r="L73" s="348">
        <v>0</v>
      </c>
      <c r="M73" s="7"/>
      <c r="N73" s="47">
        <v>2801000</v>
      </c>
      <c r="O73" s="47">
        <v>0</v>
      </c>
      <c r="P73" s="47">
        <v>0</v>
      </c>
      <c r="Q73" s="47">
        <v>0</v>
      </c>
      <c r="R73" s="268">
        <f>R74</f>
        <v>770019</v>
      </c>
      <c r="S73" s="295"/>
      <c r="T73" s="295"/>
      <c r="U73" s="295"/>
      <c r="V73" s="295"/>
      <c r="W73" s="268">
        <f t="shared" ref="W73:X73" si="15">W74</f>
        <v>0</v>
      </c>
      <c r="X73" s="268">
        <f t="shared" si="15"/>
        <v>0</v>
      </c>
      <c r="Y73" s="18"/>
    </row>
    <row r="74" spans="1:25" s="10" customFormat="1" ht="27" customHeight="1" x14ac:dyDescent="0.25">
      <c r="A74" s="29"/>
      <c r="B74" s="239" t="s">
        <v>128</v>
      </c>
      <c r="C74" s="61"/>
      <c r="D74" s="61"/>
      <c r="E74" s="61"/>
      <c r="F74" s="61"/>
      <c r="G74" s="61"/>
      <c r="H74" s="61"/>
      <c r="I74" s="61"/>
      <c r="J74" s="61"/>
      <c r="K74" s="347" t="s">
        <v>101</v>
      </c>
      <c r="L74" s="348">
        <v>200</v>
      </c>
      <c r="M74" s="7"/>
      <c r="N74" s="47">
        <v>2801000</v>
      </c>
      <c r="O74" s="47">
        <v>0</v>
      </c>
      <c r="P74" s="47">
        <v>0</v>
      </c>
      <c r="Q74" s="47">
        <v>0</v>
      </c>
      <c r="R74" s="268">
        <v>770019</v>
      </c>
      <c r="S74" s="295"/>
      <c r="T74" s="295"/>
      <c r="U74" s="295"/>
      <c r="V74" s="295"/>
      <c r="W74" s="268">
        <f>'0'!AB25</f>
        <v>0</v>
      </c>
      <c r="X74" s="268">
        <f>'0'!AC25</f>
        <v>0</v>
      </c>
      <c r="Y74" s="18"/>
    </row>
    <row r="75" spans="1:25" s="10" customFormat="1" ht="28.2" customHeight="1" x14ac:dyDescent="0.25">
      <c r="A75" s="29"/>
      <c r="B75" s="229" t="s">
        <v>506</v>
      </c>
      <c r="C75" s="61"/>
      <c r="D75" s="61"/>
      <c r="E75" s="61"/>
      <c r="F75" s="61"/>
      <c r="G75" s="61"/>
      <c r="H75" s="61"/>
      <c r="I75" s="61"/>
      <c r="J75" s="61"/>
      <c r="K75" s="347" t="s">
        <v>101</v>
      </c>
      <c r="L75" s="348">
        <v>244</v>
      </c>
      <c r="M75" s="7"/>
      <c r="N75" s="47"/>
      <c r="O75" s="47"/>
      <c r="P75" s="47"/>
      <c r="Q75" s="47"/>
      <c r="R75" s="268">
        <v>770019</v>
      </c>
      <c r="S75" s="295"/>
      <c r="T75" s="295"/>
      <c r="U75" s="295"/>
      <c r="V75" s="295"/>
      <c r="W75" s="300">
        <v>0</v>
      </c>
      <c r="X75" s="300">
        <v>0</v>
      </c>
      <c r="Y75" s="18"/>
    </row>
    <row r="76" spans="1:25" s="10" customFormat="1" ht="39.6" customHeight="1" x14ac:dyDescent="0.25">
      <c r="A76" s="29"/>
      <c r="B76" s="85" t="s">
        <v>482</v>
      </c>
      <c r="C76" s="61"/>
      <c r="D76" s="61"/>
      <c r="E76" s="61"/>
      <c r="F76" s="61"/>
      <c r="G76" s="61"/>
      <c r="H76" s="61"/>
      <c r="I76" s="61"/>
      <c r="J76" s="61"/>
      <c r="K76" s="347" t="s">
        <v>101</v>
      </c>
      <c r="L76" s="348">
        <v>0</v>
      </c>
      <c r="M76" s="7"/>
      <c r="N76" s="47"/>
      <c r="O76" s="47"/>
      <c r="P76" s="47"/>
      <c r="Q76" s="47"/>
      <c r="R76" s="268">
        <f>R77</f>
        <v>3783892.4800000004</v>
      </c>
      <c r="S76" s="295"/>
      <c r="T76" s="295"/>
      <c r="U76" s="295"/>
      <c r="V76" s="295"/>
      <c r="W76" s="268">
        <f t="shared" ref="W76:X76" si="16">W77</f>
        <v>5188527</v>
      </c>
      <c r="X76" s="268">
        <f t="shared" si="16"/>
        <v>5188527</v>
      </c>
      <c r="Y76" s="18"/>
    </row>
    <row r="77" spans="1:25" s="10" customFormat="1" ht="39.75" customHeight="1" x14ac:dyDescent="0.25">
      <c r="A77" s="29"/>
      <c r="B77" s="63" t="s">
        <v>75</v>
      </c>
      <c r="C77" s="61"/>
      <c r="D77" s="61"/>
      <c r="E77" s="61"/>
      <c r="F77" s="61"/>
      <c r="G77" s="61"/>
      <c r="H77" s="61"/>
      <c r="I77" s="61"/>
      <c r="J77" s="61"/>
      <c r="K77" s="347" t="s">
        <v>101</v>
      </c>
      <c r="L77" s="348">
        <v>100</v>
      </c>
      <c r="M77" s="7"/>
      <c r="N77" s="47"/>
      <c r="O77" s="47"/>
      <c r="P77" s="47"/>
      <c r="Q77" s="47"/>
      <c r="R77" s="268">
        <f>R78+R80</f>
        <v>3783892.4800000004</v>
      </c>
      <c r="S77" s="295"/>
      <c r="T77" s="295"/>
      <c r="U77" s="295"/>
      <c r="V77" s="295"/>
      <c r="W77" s="268">
        <f t="shared" ref="W77:X77" si="17">W78+W80</f>
        <v>5188527</v>
      </c>
      <c r="X77" s="268">
        <f t="shared" si="17"/>
        <v>5188527</v>
      </c>
      <c r="Y77" s="18"/>
    </row>
    <row r="78" spans="1:25" s="10" customFormat="1" ht="15.75" customHeight="1" x14ac:dyDescent="0.25">
      <c r="A78" s="29"/>
      <c r="B78" s="239" t="s">
        <v>138</v>
      </c>
      <c r="C78" s="61"/>
      <c r="D78" s="61"/>
      <c r="E78" s="61"/>
      <c r="F78" s="61"/>
      <c r="G78" s="61"/>
      <c r="H78" s="61"/>
      <c r="I78" s="61"/>
      <c r="J78" s="61"/>
      <c r="K78" s="347" t="s">
        <v>101</v>
      </c>
      <c r="L78" s="348">
        <v>121</v>
      </c>
      <c r="M78" s="7"/>
      <c r="N78" s="47">
        <v>2801000</v>
      </c>
      <c r="O78" s="47">
        <v>0</v>
      </c>
      <c r="P78" s="47">
        <v>0</v>
      </c>
      <c r="Q78" s="47">
        <v>0</v>
      </c>
      <c r="R78" s="268">
        <f>'0'!V30+'0'!X30</f>
        <v>2905478.68</v>
      </c>
      <c r="S78" s="295"/>
      <c r="T78" s="295"/>
      <c r="U78" s="295"/>
      <c r="V78" s="295"/>
      <c r="W78" s="268">
        <f>'0'!AB30</f>
        <v>4100252</v>
      </c>
      <c r="X78" s="268">
        <f>'0'!AC30</f>
        <v>4100252</v>
      </c>
      <c r="Y78" s="18"/>
    </row>
    <row r="79" spans="1:25" s="10" customFormat="1" ht="24.75" hidden="1" customHeight="1" x14ac:dyDescent="0.25">
      <c r="A79" s="29"/>
      <c r="B79" s="239" t="s">
        <v>135</v>
      </c>
      <c r="C79" s="61"/>
      <c r="D79" s="61"/>
      <c r="E79" s="61"/>
      <c r="F79" s="61"/>
      <c r="G79" s="61"/>
      <c r="H79" s="61"/>
      <c r="I79" s="61"/>
      <c r="J79" s="61"/>
      <c r="K79" s="347" t="s">
        <v>101</v>
      </c>
      <c r="L79" s="348">
        <v>122</v>
      </c>
      <c r="M79" s="7"/>
      <c r="N79" s="47"/>
      <c r="O79" s="47"/>
      <c r="P79" s="47"/>
      <c r="Q79" s="47"/>
      <c r="R79" s="300">
        <v>0</v>
      </c>
      <c r="S79" s="295"/>
      <c r="T79" s="295"/>
      <c r="U79" s="295"/>
      <c r="V79" s="295"/>
      <c r="W79" s="300">
        <v>0</v>
      </c>
      <c r="X79" s="300">
        <v>0</v>
      </c>
      <c r="Y79" s="18"/>
    </row>
    <row r="80" spans="1:25" s="10" customFormat="1" ht="25.2" customHeight="1" x14ac:dyDescent="0.25">
      <c r="A80" s="29"/>
      <c r="B80" s="239" t="s">
        <v>134</v>
      </c>
      <c r="C80" s="61"/>
      <c r="D80" s="61"/>
      <c r="E80" s="61"/>
      <c r="F80" s="61"/>
      <c r="G80" s="61"/>
      <c r="H80" s="61"/>
      <c r="I80" s="61"/>
      <c r="J80" s="61"/>
      <c r="K80" s="347" t="s">
        <v>101</v>
      </c>
      <c r="L80" s="348">
        <v>129</v>
      </c>
      <c r="M80" s="7"/>
      <c r="N80" s="47">
        <v>2801000</v>
      </c>
      <c r="O80" s="47">
        <v>0</v>
      </c>
      <c r="P80" s="47">
        <v>0</v>
      </c>
      <c r="Q80" s="47">
        <v>0</v>
      </c>
      <c r="R80" s="268">
        <f>'0'!V31+'0'!X31</f>
        <v>878413.8</v>
      </c>
      <c r="S80" s="295"/>
      <c r="T80" s="295"/>
      <c r="U80" s="295"/>
      <c r="V80" s="295"/>
      <c r="W80" s="268">
        <f>'0'!AB31</f>
        <v>1088275</v>
      </c>
      <c r="X80" s="268">
        <f>'0'!AC31</f>
        <v>1088275</v>
      </c>
      <c r="Y80" s="18"/>
    </row>
    <row r="81" spans="1:25" s="10" customFormat="1" ht="41.25" hidden="1" customHeight="1" x14ac:dyDescent="0.25">
      <c r="A81" s="29"/>
      <c r="B81" s="60" t="s">
        <v>144</v>
      </c>
      <c r="C81" s="61"/>
      <c r="D81" s="61"/>
      <c r="E81" s="61"/>
      <c r="F81" s="61"/>
      <c r="G81" s="61"/>
      <c r="H81" s="61"/>
      <c r="I81" s="61"/>
      <c r="J81" s="61"/>
      <c r="K81" s="347" t="s">
        <v>101</v>
      </c>
      <c r="L81" s="348">
        <v>0</v>
      </c>
      <c r="M81" s="7"/>
      <c r="N81" s="47">
        <v>2801000</v>
      </c>
      <c r="O81" s="47">
        <v>0</v>
      </c>
      <c r="P81" s="47">
        <v>0</v>
      </c>
      <c r="Q81" s="47">
        <v>0</v>
      </c>
      <c r="R81" s="268">
        <f>R82</f>
        <v>0</v>
      </c>
      <c r="S81" s="295"/>
      <c r="T81" s="295"/>
      <c r="U81" s="295"/>
      <c r="V81" s="295"/>
      <c r="W81" s="268">
        <f>W82+W89</f>
        <v>0</v>
      </c>
      <c r="X81" s="268">
        <f>X82+X89</f>
        <v>0</v>
      </c>
      <c r="Y81" s="18"/>
    </row>
    <row r="82" spans="1:25" s="10" customFormat="1" ht="27" hidden="1" customHeight="1" x14ac:dyDescent="0.25">
      <c r="A82" s="29"/>
      <c r="B82" s="151" t="s">
        <v>128</v>
      </c>
      <c r="C82" s="61"/>
      <c r="D82" s="61"/>
      <c r="E82" s="61"/>
      <c r="F82" s="61"/>
      <c r="G82" s="61"/>
      <c r="H82" s="61"/>
      <c r="I82" s="61"/>
      <c r="J82" s="61"/>
      <c r="K82" s="347" t="s">
        <v>101</v>
      </c>
      <c r="L82" s="348">
        <v>200</v>
      </c>
      <c r="M82" s="7"/>
      <c r="N82" s="47">
        <v>2801000</v>
      </c>
      <c r="O82" s="47">
        <v>0</v>
      </c>
      <c r="P82" s="47">
        <v>0</v>
      </c>
      <c r="Q82" s="47">
        <v>0</v>
      </c>
      <c r="R82" s="268">
        <f>R83</f>
        <v>0</v>
      </c>
      <c r="S82" s="295"/>
      <c r="T82" s="295"/>
      <c r="U82" s="295"/>
      <c r="V82" s="295"/>
      <c r="W82" s="268">
        <f t="shared" ref="W82" si="18">W83</f>
        <v>0</v>
      </c>
      <c r="X82" s="268">
        <f>X83</f>
        <v>0</v>
      </c>
      <c r="Y82" s="18"/>
    </row>
    <row r="83" spans="1:25" s="10" customFormat="1" ht="24" hidden="1" customHeight="1" x14ac:dyDescent="0.25">
      <c r="A83" s="29"/>
      <c r="B83" s="53" t="s">
        <v>81</v>
      </c>
      <c r="C83" s="61"/>
      <c r="D83" s="61"/>
      <c r="E83" s="61"/>
      <c r="F83" s="61"/>
      <c r="G83" s="61"/>
      <c r="H83" s="61"/>
      <c r="I83" s="61"/>
      <c r="J83" s="61"/>
      <c r="K83" s="347" t="s">
        <v>101</v>
      </c>
      <c r="L83" s="348">
        <v>244</v>
      </c>
      <c r="M83" s="7"/>
      <c r="N83" s="47">
        <v>2801000</v>
      </c>
      <c r="O83" s="47">
        <v>0</v>
      </c>
      <c r="P83" s="47">
        <v>0</v>
      </c>
      <c r="Q83" s="47">
        <v>0</v>
      </c>
      <c r="R83" s="268">
        <f>'0'!V35+'0'!V36+'0'!V37+'0'!V40</f>
        <v>0</v>
      </c>
      <c r="S83" s="295"/>
      <c r="T83" s="295"/>
      <c r="U83" s="295"/>
      <c r="V83" s="295"/>
      <c r="W83" s="268">
        <f>'0'!AB35+'0'!AB36+'0'!AB37+'0'!AB40</f>
        <v>0</v>
      </c>
      <c r="X83" s="268">
        <f>'0'!AC35+'0'!AC36+'0'!AC37+'0'!AC40</f>
        <v>0</v>
      </c>
      <c r="Y83" s="18"/>
    </row>
    <row r="84" spans="1:25" s="10" customFormat="1" ht="41.4" customHeight="1" x14ac:dyDescent="0.25">
      <c r="A84" s="29"/>
      <c r="B84" s="63" t="s">
        <v>483</v>
      </c>
      <c r="C84" s="61"/>
      <c r="D84" s="61"/>
      <c r="E84" s="61"/>
      <c r="F84" s="61"/>
      <c r="G84" s="61"/>
      <c r="H84" s="61"/>
      <c r="I84" s="61"/>
      <c r="J84" s="61"/>
      <c r="K84" s="347" t="s">
        <v>104</v>
      </c>
      <c r="L84" s="348">
        <v>0</v>
      </c>
      <c r="M84" s="7"/>
      <c r="N84" s="47">
        <v>2801000</v>
      </c>
      <c r="O84" s="47">
        <v>0</v>
      </c>
      <c r="P84" s="47">
        <v>0</v>
      </c>
      <c r="Q84" s="47">
        <v>0</v>
      </c>
      <c r="R84" s="268">
        <f>R85</f>
        <v>355521.67</v>
      </c>
      <c r="S84" s="295"/>
      <c r="T84" s="295"/>
      <c r="U84" s="295"/>
      <c r="V84" s="295"/>
      <c r="W84" s="268">
        <f t="shared" ref="W84:X85" si="19">W85</f>
        <v>200000</v>
      </c>
      <c r="X84" s="268">
        <f t="shared" si="19"/>
        <v>200000</v>
      </c>
      <c r="Y84" s="18"/>
    </row>
    <row r="85" spans="1:25" s="10" customFormat="1" ht="40.5" customHeight="1" x14ac:dyDescent="0.25">
      <c r="A85" s="29"/>
      <c r="B85" s="63" t="s">
        <v>75</v>
      </c>
      <c r="C85" s="61"/>
      <c r="D85" s="61"/>
      <c r="E85" s="61"/>
      <c r="F85" s="61"/>
      <c r="G85" s="61"/>
      <c r="H85" s="61"/>
      <c r="I85" s="61"/>
      <c r="J85" s="61"/>
      <c r="K85" s="347" t="s">
        <v>104</v>
      </c>
      <c r="L85" s="348">
        <v>100</v>
      </c>
      <c r="M85" s="7"/>
      <c r="N85" s="47">
        <v>2801000</v>
      </c>
      <c r="O85" s="47">
        <v>0</v>
      </c>
      <c r="P85" s="47">
        <v>0</v>
      </c>
      <c r="Q85" s="47">
        <v>0</v>
      </c>
      <c r="R85" s="268">
        <f>R86</f>
        <v>355521.67</v>
      </c>
      <c r="S85" s="295"/>
      <c r="T85" s="295"/>
      <c r="U85" s="295"/>
      <c r="V85" s="295"/>
      <c r="W85" s="268">
        <f t="shared" si="19"/>
        <v>200000</v>
      </c>
      <c r="X85" s="268">
        <f t="shared" si="19"/>
        <v>200000</v>
      </c>
      <c r="Y85" s="18"/>
    </row>
    <row r="86" spans="1:25" s="10" customFormat="1" ht="26.25" customHeight="1" x14ac:dyDescent="0.25">
      <c r="A86" s="29"/>
      <c r="B86" s="151" t="s">
        <v>137</v>
      </c>
      <c r="C86" s="61"/>
      <c r="D86" s="61"/>
      <c r="E86" s="61"/>
      <c r="F86" s="61"/>
      <c r="G86" s="61"/>
      <c r="H86" s="61"/>
      <c r="I86" s="61"/>
      <c r="J86" s="61"/>
      <c r="K86" s="347" t="s">
        <v>104</v>
      </c>
      <c r="L86" s="348">
        <v>122</v>
      </c>
      <c r="M86" s="7"/>
      <c r="N86" s="47">
        <v>2801000</v>
      </c>
      <c r="O86" s="47">
        <v>0</v>
      </c>
      <c r="P86" s="47">
        <v>0</v>
      </c>
      <c r="Q86" s="47">
        <v>0</v>
      </c>
      <c r="R86" s="268">
        <f>'0'!V60+'0'!X60</f>
        <v>355521.67</v>
      </c>
      <c r="S86" s="295"/>
      <c r="T86" s="295"/>
      <c r="U86" s="295"/>
      <c r="V86" s="295"/>
      <c r="W86" s="268">
        <f>'0'!AB60</f>
        <v>200000</v>
      </c>
      <c r="X86" s="268">
        <f>'0'!AC60</f>
        <v>200000</v>
      </c>
      <c r="Y86" s="18"/>
    </row>
    <row r="87" spans="1:25" s="10" customFormat="1" ht="27" customHeight="1" x14ac:dyDescent="0.25">
      <c r="A87" s="29"/>
      <c r="B87" s="151" t="s">
        <v>128</v>
      </c>
      <c r="C87" s="61"/>
      <c r="D87" s="61"/>
      <c r="E87" s="61"/>
      <c r="F87" s="61"/>
      <c r="G87" s="61"/>
      <c r="H87" s="61"/>
      <c r="I87" s="61"/>
      <c r="J87" s="61"/>
      <c r="K87" s="347" t="s">
        <v>104</v>
      </c>
      <c r="L87" s="348">
        <v>200</v>
      </c>
      <c r="M87" s="7"/>
      <c r="N87" s="47">
        <v>2801000</v>
      </c>
      <c r="O87" s="47">
        <v>0</v>
      </c>
      <c r="P87" s="47">
        <v>0</v>
      </c>
      <c r="Q87" s="47">
        <v>0</v>
      </c>
      <c r="R87" s="268">
        <f>R88</f>
        <v>21727.96</v>
      </c>
      <c r="S87" s="295"/>
      <c r="T87" s="295"/>
      <c r="U87" s="295"/>
      <c r="V87" s="295"/>
      <c r="W87" s="268">
        <f t="shared" ref="W87:X87" si="20">W88</f>
        <v>0</v>
      </c>
      <c r="X87" s="268">
        <f t="shared" si="20"/>
        <v>0</v>
      </c>
      <c r="Y87" s="18"/>
    </row>
    <row r="88" spans="1:25" s="10" customFormat="1" ht="27" customHeight="1" x14ac:dyDescent="0.25">
      <c r="A88" s="29"/>
      <c r="B88" s="229" t="s">
        <v>506</v>
      </c>
      <c r="C88" s="61"/>
      <c r="D88" s="61"/>
      <c r="E88" s="61"/>
      <c r="F88" s="61"/>
      <c r="G88" s="61"/>
      <c r="H88" s="61"/>
      <c r="I88" s="61"/>
      <c r="J88" s="61"/>
      <c r="K88" s="347" t="s">
        <v>104</v>
      </c>
      <c r="L88" s="348">
        <v>244</v>
      </c>
      <c r="M88" s="7"/>
      <c r="N88" s="47">
        <v>2801000</v>
      </c>
      <c r="O88" s="47">
        <v>0</v>
      </c>
      <c r="P88" s="47">
        <v>0</v>
      </c>
      <c r="Q88" s="47">
        <v>0</v>
      </c>
      <c r="R88" s="268">
        <f>'0'!V58+'0'!V59+'0'!X58</f>
        <v>21727.96</v>
      </c>
      <c r="S88" s="295"/>
      <c r="T88" s="295"/>
      <c r="U88" s="295"/>
      <c r="V88" s="295"/>
      <c r="W88" s="268">
        <f>'0'!AB58+'0'!AB59</f>
        <v>0</v>
      </c>
      <c r="X88" s="268">
        <f>'0'!AC58+'0'!AC59</f>
        <v>0</v>
      </c>
      <c r="Y88" s="18"/>
    </row>
    <row r="89" spans="1:25" s="10" customFormat="1" ht="17.25" customHeight="1" x14ac:dyDescent="0.25">
      <c r="A89" s="29"/>
      <c r="B89" s="239" t="s">
        <v>78</v>
      </c>
      <c r="C89" s="61"/>
      <c r="D89" s="61"/>
      <c r="E89" s="61"/>
      <c r="F89" s="61"/>
      <c r="G89" s="61"/>
      <c r="H89" s="61"/>
      <c r="I89" s="61"/>
      <c r="J89" s="61"/>
      <c r="K89" s="347" t="s">
        <v>104</v>
      </c>
      <c r="L89" s="348">
        <v>800</v>
      </c>
      <c r="M89" s="7"/>
      <c r="N89" s="47"/>
      <c r="O89" s="47"/>
      <c r="P89" s="47"/>
      <c r="Q89" s="47"/>
      <c r="R89" s="268">
        <f>R90+R91</f>
        <v>23000</v>
      </c>
      <c r="S89" s="295"/>
      <c r="T89" s="295"/>
      <c r="U89" s="295"/>
      <c r="V89" s="295"/>
      <c r="W89" s="268">
        <f t="shared" ref="W89:X89" si="21">W90+W91</f>
        <v>0</v>
      </c>
      <c r="X89" s="268">
        <f t="shared" si="21"/>
        <v>0</v>
      </c>
      <c r="Y89" s="18"/>
    </row>
    <row r="90" spans="1:25" s="10" customFormat="1" ht="16.5" customHeight="1" x14ac:dyDescent="0.25">
      <c r="A90" s="29"/>
      <c r="B90" s="151" t="s">
        <v>488</v>
      </c>
      <c r="C90" s="61"/>
      <c r="D90" s="61"/>
      <c r="E90" s="61"/>
      <c r="F90" s="61"/>
      <c r="G90" s="61"/>
      <c r="H90" s="61"/>
      <c r="I90" s="61"/>
      <c r="J90" s="61"/>
      <c r="K90" s="347" t="s">
        <v>104</v>
      </c>
      <c r="L90" s="348">
        <v>851</v>
      </c>
      <c r="M90" s="7"/>
      <c r="N90" s="47"/>
      <c r="O90" s="47"/>
      <c r="P90" s="47"/>
      <c r="Q90" s="47"/>
      <c r="R90" s="268">
        <f>'0'!V61+'0'!X61</f>
        <v>6000</v>
      </c>
      <c r="S90" s="295"/>
      <c r="T90" s="295"/>
      <c r="U90" s="295"/>
      <c r="V90" s="295"/>
      <c r="W90" s="268">
        <f>'0'!AB61</f>
        <v>0</v>
      </c>
      <c r="X90" s="268">
        <f>'0'!AC61</f>
        <v>0</v>
      </c>
      <c r="Y90" s="18"/>
    </row>
    <row r="91" spans="1:25" s="10" customFormat="1" ht="16.5" customHeight="1" x14ac:dyDescent="0.25">
      <c r="A91" s="29"/>
      <c r="B91" s="151" t="s">
        <v>346</v>
      </c>
      <c r="C91" s="61"/>
      <c r="D91" s="61"/>
      <c r="E91" s="61"/>
      <c r="F91" s="61"/>
      <c r="G91" s="61"/>
      <c r="H91" s="61"/>
      <c r="I91" s="61"/>
      <c r="J91" s="61"/>
      <c r="K91" s="347" t="s">
        <v>104</v>
      </c>
      <c r="L91" s="348">
        <v>853</v>
      </c>
      <c r="M91" s="7"/>
      <c r="N91" s="47"/>
      <c r="O91" s="47"/>
      <c r="P91" s="47"/>
      <c r="Q91" s="47"/>
      <c r="R91" s="268">
        <f>'0'!V62</f>
        <v>17000</v>
      </c>
      <c r="S91" s="295"/>
      <c r="T91" s="295"/>
      <c r="U91" s="295"/>
      <c r="V91" s="295"/>
      <c r="W91" s="268">
        <f>'0'!AB62</f>
        <v>0</v>
      </c>
      <c r="X91" s="268">
        <f>'0'!AC62</f>
        <v>0</v>
      </c>
      <c r="Y91" s="18"/>
    </row>
    <row r="92" spans="1:25" s="10" customFormat="1" ht="51" customHeight="1" x14ac:dyDescent="0.25">
      <c r="A92" s="29"/>
      <c r="B92" s="84" t="s">
        <v>515</v>
      </c>
      <c r="C92" s="61"/>
      <c r="D92" s="61"/>
      <c r="E92" s="61"/>
      <c r="F92" s="61"/>
      <c r="G92" s="61"/>
      <c r="H92" s="61"/>
      <c r="I92" s="61"/>
      <c r="J92" s="61"/>
      <c r="K92" s="347" t="s">
        <v>105</v>
      </c>
      <c r="L92" s="348">
        <v>0</v>
      </c>
      <c r="M92" s="7"/>
      <c r="N92" s="47"/>
      <c r="O92" s="47"/>
      <c r="P92" s="47"/>
      <c r="Q92" s="47"/>
      <c r="R92" s="268">
        <f>R93+R96</f>
        <v>210100</v>
      </c>
      <c r="S92" s="295"/>
      <c r="T92" s="295"/>
      <c r="U92" s="295"/>
      <c r="V92" s="295"/>
      <c r="W92" s="268">
        <f t="shared" ref="W92:X92" si="22">W93+W96</f>
        <v>214000</v>
      </c>
      <c r="X92" s="268">
        <f t="shared" si="22"/>
        <v>227300</v>
      </c>
      <c r="Y92" s="18"/>
    </row>
    <row r="93" spans="1:25" s="10" customFormat="1" ht="36" customHeight="1" x14ac:dyDescent="0.25">
      <c r="A93" s="29"/>
      <c r="B93" s="63" t="s">
        <v>75</v>
      </c>
      <c r="C93" s="61"/>
      <c r="D93" s="61"/>
      <c r="E93" s="61"/>
      <c r="F93" s="61"/>
      <c r="G93" s="61"/>
      <c r="H93" s="61"/>
      <c r="I93" s="61"/>
      <c r="J93" s="61"/>
      <c r="K93" s="347" t="s">
        <v>105</v>
      </c>
      <c r="L93" s="348">
        <v>100</v>
      </c>
      <c r="M93" s="7"/>
      <c r="N93" s="47"/>
      <c r="O93" s="47"/>
      <c r="P93" s="47"/>
      <c r="Q93" s="47"/>
      <c r="R93" s="268">
        <f>R94+R95</f>
        <v>167200</v>
      </c>
      <c r="S93" s="295"/>
      <c r="T93" s="295"/>
      <c r="U93" s="295"/>
      <c r="V93" s="295"/>
      <c r="W93" s="268">
        <f t="shared" ref="W93:X93" si="23">W94+W95</f>
        <v>167200</v>
      </c>
      <c r="X93" s="268">
        <f t="shared" si="23"/>
        <v>167200</v>
      </c>
      <c r="Y93" s="18"/>
    </row>
    <row r="94" spans="1:25" s="10" customFormat="1" ht="17.25" customHeight="1" x14ac:dyDescent="0.25">
      <c r="A94" s="29"/>
      <c r="B94" s="239" t="s">
        <v>138</v>
      </c>
      <c r="C94" s="61"/>
      <c r="D94" s="61"/>
      <c r="E94" s="61"/>
      <c r="F94" s="61"/>
      <c r="G94" s="61"/>
      <c r="H94" s="61"/>
      <c r="I94" s="61"/>
      <c r="J94" s="61"/>
      <c r="K94" s="347" t="s">
        <v>105</v>
      </c>
      <c r="L94" s="348">
        <v>121</v>
      </c>
      <c r="M94" s="7"/>
      <c r="N94" s="47"/>
      <c r="O94" s="47"/>
      <c r="P94" s="47"/>
      <c r="Q94" s="47"/>
      <c r="R94" s="268">
        <f>'0'!V148</f>
        <v>128500</v>
      </c>
      <c r="S94" s="295"/>
      <c r="T94" s="295"/>
      <c r="U94" s="295"/>
      <c r="V94" s="295"/>
      <c r="W94" s="268">
        <f>'0'!AB148</f>
        <v>128500</v>
      </c>
      <c r="X94" s="268">
        <f>'0'!AC148</f>
        <v>128500</v>
      </c>
      <c r="Y94" s="18"/>
    </row>
    <row r="95" spans="1:25" s="10" customFormat="1" ht="24" customHeight="1" x14ac:dyDescent="0.25">
      <c r="A95" s="29"/>
      <c r="B95" s="239" t="s">
        <v>134</v>
      </c>
      <c r="C95" s="61"/>
      <c r="D95" s="61"/>
      <c r="E95" s="61"/>
      <c r="F95" s="61"/>
      <c r="G95" s="61"/>
      <c r="H95" s="61"/>
      <c r="I95" s="61"/>
      <c r="J95" s="61"/>
      <c r="K95" s="347" t="s">
        <v>105</v>
      </c>
      <c r="L95" s="348">
        <v>129</v>
      </c>
      <c r="M95" s="7"/>
      <c r="N95" s="47">
        <v>2801000</v>
      </c>
      <c r="O95" s="47">
        <v>0</v>
      </c>
      <c r="P95" s="47">
        <v>0</v>
      </c>
      <c r="Q95" s="47">
        <v>0</v>
      </c>
      <c r="R95" s="268">
        <f>'0'!V149</f>
        <v>38700</v>
      </c>
      <c r="S95" s="295"/>
      <c r="T95" s="295"/>
      <c r="U95" s="295"/>
      <c r="V95" s="295"/>
      <c r="W95" s="268">
        <f>'0'!AB149</f>
        <v>38700</v>
      </c>
      <c r="X95" s="268">
        <f>'0'!AC149</f>
        <v>38700</v>
      </c>
      <c r="Y95" s="18"/>
    </row>
    <row r="96" spans="1:25" s="10" customFormat="1" ht="26.25" customHeight="1" x14ac:dyDescent="0.25">
      <c r="A96" s="29"/>
      <c r="B96" s="151" t="s">
        <v>128</v>
      </c>
      <c r="C96" s="61"/>
      <c r="D96" s="61"/>
      <c r="E96" s="61"/>
      <c r="F96" s="61"/>
      <c r="G96" s="61"/>
      <c r="H96" s="61"/>
      <c r="I96" s="61"/>
      <c r="J96" s="61"/>
      <c r="K96" s="347" t="s">
        <v>105</v>
      </c>
      <c r="L96" s="348">
        <v>200</v>
      </c>
      <c r="M96" s="7"/>
      <c r="N96" s="47">
        <v>2801000</v>
      </c>
      <c r="O96" s="47">
        <v>0</v>
      </c>
      <c r="P96" s="47">
        <v>0</v>
      </c>
      <c r="Q96" s="47">
        <v>0</v>
      </c>
      <c r="R96" s="273">
        <f>R97</f>
        <v>42900</v>
      </c>
      <c r="S96" s="295"/>
      <c r="T96" s="295"/>
      <c r="U96" s="295"/>
      <c r="V96" s="295"/>
      <c r="W96" s="273">
        <f t="shared" ref="W96:X96" si="24">W97</f>
        <v>46800</v>
      </c>
      <c r="X96" s="273">
        <f t="shared" si="24"/>
        <v>60100</v>
      </c>
      <c r="Y96" s="18"/>
    </row>
    <row r="97" spans="1:30" s="10" customFormat="1" ht="25.5" customHeight="1" x14ac:dyDescent="0.25">
      <c r="A97" s="29"/>
      <c r="B97" s="229" t="s">
        <v>506</v>
      </c>
      <c r="C97" s="69"/>
      <c r="D97" s="69"/>
      <c r="E97" s="69"/>
      <c r="F97" s="69"/>
      <c r="G97" s="69"/>
      <c r="H97" s="69"/>
      <c r="I97" s="69"/>
      <c r="J97" s="69"/>
      <c r="K97" s="347" t="s">
        <v>105</v>
      </c>
      <c r="L97" s="377">
        <v>244</v>
      </c>
      <c r="M97" s="15"/>
      <c r="N97" s="51"/>
      <c r="O97" s="51"/>
      <c r="P97" s="51"/>
      <c r="Q97" s="51"/>
      <c r="R97" s="268">
        <f>'0'!V160</f>
        <v>42900</v>
      </c>
      <c r="S97" s="295"/>
      <c r="T97" s="295"/>
      <c r="U97" s="295"/>
      <c r="V97" s="295"/>
      <c r="W97" s="268">
        <f>'0'!AB160</f>
        <v>46800</v>
      </c>
      <c r="X97" s="268">
        <f>'0'!AC160</f>
        <v>60100</v>
      </c>
      <c r="Y97" s="18"/>
    </row>
    <row r="98" spans="1:30" s="10" customFormat="1" ht="79.2" customHeight="1" x14ac:dyDescent="0.25">
      <c r="A98" s="29"/>
      <c r="B98" s="84" t="s">
        <v>522</v>
      </c>
      <c r="C98" s="61"/>
      <c r="D98" s="61"/>
      <c r="E98" s="61"/>
      <c r="F98" s="61"/>
      <c r="G98" s="61"/>
      <c r="H98" s="61"/>
      <c r="I98" s="61"/>
      <c r="J98" s="61"/>
      <c r="K98" s="347" t="s">
        <v>106</v>
      </c>
      <c r="L98" s="348">
        <v>0</v>
      </c>
      <c r="M98" s="7"/>
      <c r="N98" s="47"/>
      <c r="O98" s="47"/>
      <c r="P98" s="47"/>
      <c r="Q98" s="47"/>
      <c r="R98" s="268">
        <f>R99</f>
        <v>1470</v>
      </c>
      <c r="S98" s="295"/>
      <c r="T98" s="295"/>
      <c r="U98" s="295"/>
      <c r="V98" s="295"/>
      <c r="W98" s="268">
        <f>W99</f>
        <v>1470</v>
      </c>
      <c r="X98" s="268">
        <f t="shared" ref="X98:X102" si="25">X99</f>
        <v>1470</v>
      </c>
      <c r="Y98" s="18"/>
    </row>
    <row r="99" spans="1:30" s="10" customFormat="1" ht="24" customHeight="1" x14ac:dyDescent="0.25">
      <c r="A99" s="29"/>
      <c r="B99" s="151" t="s">
        <v>128</v>
      </c>
      <c r="C99" s="61"/>
      <c r="D99" s="61"/>
      <c r="E99" s="61"/>
      <c r="F99" s="61"/>
      <c r="G99" s="61"/>
      <c r="H99" s="61"/>
      <c r="I99" s="61"/>
      <c r="J99" s="61"/>
      <c r="K99" s="347" t="s">
        <v>106</v>
      </c>
      <c r="L99" s="348">
        <v>200</v>
      </c>
      <c r="M99" s="7"/>
      <c r="N99" s="47"/>
      <c r="O99" s="47"/>
      <c r="P99" s="47"/>
      <c r="Q99" s="47"/>
      <c r="R99" s="268">
        <f>R100</f>
        <v>1470</v>
      </c>
      <c r="S99" s="295"/>
      <c r="T99" s="295"/>
      <c r="U99" s="295"/>
      <c r="V99" s="295"/>
      <c r="W99" s="268">
        <f>W100</f>
        <v>1470</v>
      </c>
      <c r="X99" s="268">
        <f t="shared" si="25"/>
        <v>1470</v>
      </c>
      <c r="Y99" s="18"/>
    </row>
    <row r="100" spans="1:30" s="10" customFormat="1" ht="27" customHeight="1" x14ac:dyDescent="0.25">
      <c r="A100" s="29"/>
      <c r="B100" s="229" t="s">
        <v>506</v>
      </c>
      <c r="C100" s="61"/>
      <c r="D100" s="61"/>
      <c r="E100" s="61"/>
      <c r="F100" s="61"/>
      <c r="G100" s="61"/>
      <c r="H100" s="61"/>
      <c r="I100" s="61"/>
      <c r="J100" s="61"/>
      <c r="K100" s="347" t="s">
        <v>106</v>
      </c>
      <c r="L100" s="348">
        <v>244</v>
      </c>
      <c r="M100" s="7"/>
      <c r="N100" s="47">
        <v>30000</v>
      </c>
      <c r="O100" s="47">
        <v>486000</v>
      </c>
      <c r="P100" s="47">
        <v>105000</v>
      </c>
      <c r="Q100" s="47">
        <v>498000</v>
      </c>
      <c r="R100" s="268">
        <v>1470</v>
      </c>
      <c r="S100" s="268">
        <v>1470</v>
      </c>
      <c r="T100" s="268">
        <v>1470</v>
      </c>
      <c r="U100" s="268">
        <v>1470</v>
      </c>
      <c r="V100" s="268">
        <v>1470</v>
      </c>
      <c r="W100" s="268">
        <v>1470</v>
      </c>
      <c r="X100" s="268">
        <v>1470</v>
      </c>
      <c r="Y100" s="18"/>
      <c r="AD100" s="18">
        <f>R100+R103</f>
        <v>12040</v>
      </c>
    </row>
    <row r="101" spans="1:30" s="10" customFormat="1" ht="79.2" customHeight="1" x14ac:dyDescent="0.25">
      <c r="A101" s="29"/>
      <c r="B101" s="84" t="s">
        <v>484</v>
      </c>
      <c r="C101" s="61"/>
      <c r="D101" s="61"/>
      <c r="E101" s="61"/>
      <c r="F101" s="61"/>
      <c r="G101" s="61"/>
      <c r="H101" s="61"/>
      <c r="I101" s="61"/>
      <c r="J101" s="61"/>
      <c r="K101" s="347" t="s">
        <v>469</v>
      </c>
      <c r="L101" s="348">
        <v>0</v>
      </c>
      <c r="M101" s="7"/>
      <c r="N101" s="47"/>
      <c r="O101" s="47"/>
      <c r="P101" s="47"/>
      <c r="Q101" s="47"/>
      <c r="R101" s="268">
        <f>R102</f>
        <v>10570</v>
      </c>
      <c r="S101" s="295"/>
      <c r="T101" s="295"/>
      <c r="U101" s="295"/>
      <c r="V101" s="295"/>
      <c r="W101" s="268">
        <f>W102</f>
        <v>10570</v>
      </c>
      <c r="X101" s="268">
        <f>X102</f>
        <v>10570</v>
      </c>
      <c r="Y101" s="18"/>
    </row>
    <row r="102" spans="1:30" s="10" customFormat="1" ht="24" customHeight="1" x14ac:dyDescent="0.25">
      <c r="A102" s="29"/>
      <c r="B102" s="151" t="s">
        <v>128</v>
      </c>
      <c r="C102" s="61"/>
      <c r="D102" s="61"/>
      <c r="E102" s="61"/>
      <c r="F102" s="61"/>
      <c r="G102" s="61"/>
      <c r="H102" s="61"/>
      <c r="I102" s="61"/>
      <c r="J102" s="61"/>
      <c r="K102" s="347" t="s">
        <v>469</v>
      </c>
      <c r="L102" s="348">
        <v>200</v>
      </c>
      <c r="M102" s="7"/>
      <c r="N102" s="47"/>
      <c r="O102" s="47"/>
      <c r="P102" s="47"/>
      <c r="Q102" s="47"/>
      <c r="R102" s="268">
        <f>R103</f>
        <v>10570</v>
      </c>
      <c r="S102" s="295"/>
      <c r="T102" s="295"/>
      <c r="U102" s="295"/>
      <c r="V102" s="295"/>
      <c r="W102" s="268">
        <f>W103</f>
        <v>10570</v>
      </c>
      <c r="X102" s="268">
        <f t="shared" si="25"/>
        <v>10570</v>
      </c>
      <c r="Y102" s="18"/>
    </row>
    <row r="103" spans="1:30" s="10" customFormat="1" ht="27" customHeight="1" x14ac:dyDescent="0.25">
      <c r="A103" s="29"/>
      <c r="B103" s="229" t="s">
        <v>506</v>
      </c>
      <c r="C103" s="61"/>
      <c r="D103" s="61"/>
      <c r="E103" s="61"/>
      <c r="F103" s="61"/>
      <c r="G103" s="61"/>
      <c r="H103" s="61"/>
      <c r="I103" s="61"/>
      <c r="J103" s="61"/>
      <c r="K103" s="347" t="s">
        <v>469</v>
      </c>
      <c r="L103" s="348">
        <v>244</v>
      </c>
      <c r="M103" s="7"/>
      <c r="N103" s="47">
        <v>30000</v>
      </c>
      <c r="O103" s="47">
        <v>486000</v>
      </c>
      <c r="P103" s="47">
        <v>105000</v>
      </c>
      <c r="Q103" s="47">
        <v>498000</v>
      </c>
      <c r="R103" s="268">
        <v>10570</v>
      </c>
      <c r="S103" s="268">
        <v>10570</v>
      </c>
      <c r="T103" s="268">
        <v>10570</v>
      </c>
      <c r="U103" s="268">
        <v>10570</v>
      </c>
      <c r="V103" s="268">
        <v>10570</v>
      </c>
      <c r="W103" s="268">
        <v>10570</v>
      </c>
      <c r="X103" s="268">
        <v>10570</v>
      </c>
      <c r="Y103" s="18"/>
    </row>
    <row r="104" spans="1:30" s="10" customFormat="1" ht="39" customHeight="1" x14ac:dyDescent="0.25">
      <c r="A104" s="29"/>
      <c r="B104" s="62" t="s">
        <v>483</v>
      </c>
      <c r="C104" s="61"/>
      <c r="D104" s="61"/>
      <c r="E104" s="61"/>
      <c r="F104" s="61"/>
      <c r="G104" s="61"/>
      <c r="H104" s="61"/>
      <c r="I104" s="61"/>
      <c r="J104" s="61"/>
      <c r="K104" s="360" t="s">
        <v>104</v>
      </c>
      <c r="L104" s="354">
        <v>0</v>
      </c>
      <c r="M104" s="7"/>
      <c r="N104" s="47"/>
      <c r="O104" s="47"/>
      <c r="P104" s="47"/>
      <c r="Q104" s="47"/>
      <c r="R104" s="275">
        <f>R106</f>
        <v>147500</v>
      </c>
      <c r="S104" s="295"/>
      <c r="T104" s="295"/>
      <c r="U104" s="295"/>
      <c r="V104" s="295"/>
      <c r="W104" s="275">
        <f t="shared" ref="W104:X104" si="26">W106</f>
        <v>0</v>
      </c>
      <c r="X104" s="275">
        <f t="shared" si="26"/>
        <v>106989.9</v>
      </c>
      <c r="Y104" s="18"/>
    </row>
    <row r="105" spans="1:30" s="10" customFormat="1" ht="15.75" customHeight="1" x14ac:dyDescent="0.25">
      <c r="A105" s="29"/>
      <c r="B105" s="62" t="s">
        <v>80</v>
      </c>
      <c r="C105" s="61"/>
      <c r="D105" s="61"/>
      <c r="E105" s="61"/>
      <c r="F105" s="61"/>
      <c r="G105" s="61"/>
      <c r="H105" s="61"/>
      <c r="I105" s="61"/>
      <c r="J105" s="61"/>
      <c r="K105" s="360" t="s">
        <v>104</v>
      </c>
      <c r="L105" s="354">
        <v>300</v>
      </c>
      <c r="M105" s="7"/>
      <c r="N105" s="47"/>
      <c r="O105" s="47"/>
      <c r="P105" s="47"/>
      <c r="Q105" s="47"/>
      <c r="R105" s="275">
        <f>R106</f>
        <v>147500</v>
      </c>
      <c r="S105" s="295"/>
      <c r="T105" s="295"/>
      <c r="U105" s="295"/>
      <c r="V105" s="295"/>
      <c r="W105" s="275">
        <f t="shared" ref="W105:X105" si="27">W106</f>
        <v>0</v>
      </c>
      <c r="X105" s="275">
        <f t="shared" si="27"/>
        <v>106989.9</v>
      </c>
      <c r="Y105" s="18"/>
    </row>
    <row r="106" spans="1:30" s="10" customFormat="1" ht="26.25" customHeight="1" thickBot="1" x14ac:dyDescent="0.3">
      <c r="A106" s="29"/>
      <c r="B106" s="110" t="s">
        <v>64</v>
      </c>
      <c r="C106" s="69"/>
      <c r="D106" s="69"/>
      <c r="E106" s="69"/>
      <c r="F106" s="69"/>
      <c r="G106" s="69"/>
      <c r="H106" s="69"/>
      <c r="I106" s="69"/>
      <c r="J106" s="69"/>
      <c r="K106" s="360" t="s">
        <v>104</v>
      </c>
      <c r="L106" s="356">
        <v>321</v>
      </c>
      <c r="M106" s="15"/>
      <c r="N106" s="51"/>
      <c r="O106" s="51"/>
      <c r="P106" s="51"/>
      <c r="Q106" s="51"/>
      <c r="R106" s="301">
        <f>'0'!V414+'0'!X414</f>
        <v>147500</v>
      </c>
      <c r="S106" s="295"/>
      <c r="T106" s="295"/>
      <c r="U106" s="295"/>
      <c r="V106" s="295"/>
      <c r="W106" s="301">
        <f>'0'!AB414</f>
        <v>0</v>
      </c>
      <c r="X106" s="301">
        <f>'0'!AC414</f>
        <v>106989.9</v>
      </c>
      <c r="Y106" s="18"/>
    </row>
    <row r="107" spans="1:30" s="36" customFormat="1" ht="25.5" customHeight="1" thickBot="1" x14ac:dyDescent="0.3">
      <c r="A107" s="34"/>
      <c r="B107" s="193" t="s">
        <v>447</v>
      </c>
      <c r="C107" s="129"/>
      <c r="D107" s="129"/>
      <c r="E107" s="129"/>
      <c r="F107" s="129"/>
      <c r="G107" s="129"/>
      <c r="H107" s="129"/>
      <c r="I107" s="129"/>
      <c r="J107" s="129"/>
      <c r="K107" s="372" t="s">
        <v>107</v>
      </c>
      <c r="L107" s="373">
        <v>0</v>
      </c>
      <c r="M107" s="120"/>
      <c r="N107" s="121">
        <v>69611000</v>
      </c>
      <c r="O107" s="121">
        <v>0</v>
      </c>
      <c r="P107" s="121">
        <v>0</v>
      </c>
      <c r="Q107" s="121">
        <v>0</v>
      </c>
      <c r="R107" s="264">
        <f>R108+R111</f>
        <v>80000</v>
      </c>
      <c r="S107" s="298"/>
      <c r="T107" s="298"/>
      <c r="U107" s="298"/>
      <c r="V107" s="298"/>
      <c r="W107" s="264">
        <f>W108+W111</f>
        <v>730000</v>
      </c>
      <c r="X107" s="264">
        <f>X108+X111</f>
        <v>1406000</v>
      </c>
      <c r="Y107" s="35"/>
    </row>
    <row r="108" spans="1:30" s="10" customFormat="1" ht="39.6" customHeight="1" x14ac:dyDescent="0.25">
      <c r="A108" s="29"/>
      <c r="B108" s="103" t="s">
        <v>508</v>
      </c>
      <c r="C108" s="71"/>
      <c r="D108" s="71"/>
      <c r="E108" s="71"/>
      <c r="F108" s="71"/>
      <c r="G108" s="71"/>
      <c r="H108" s="71"/>
      <c r="I108" s="71"/>
      <c r="J108" s="71"/>
      <c r="K108" s="378" t="s">
        <v>108</v>
      </c>
      <c r="L108" s="374">
        <v>0</v>
      </c>
      <c r="M108" s="17"/>
      <c r="N108" s="52">
        <v>69611000</v>
      </c>
      <c r="O108" s="52">
        <v>0</v>
      </c>
      <c r="P108" s="52">
        <v>0</v>
      </c>
      <c r="Q108" s="52">
        <v>0</v>
      </c>
      <c r="R108" s="278">
        <v>80000</v>
      </c>
      <c r="S108" s="295"/>
      <c r="T108" s="295"/>
      <c r="U108" s="295"/>
      <c r="V108" s="295"/>
      <c r="W108" s="278">
        <v>80000</v>
      </c>
      <c r="X108" s="278">
        <f>X109</f>
        <v>68000</v>
      </c>
      <c r="Y108" s="18"/>
    </row>
    <row r="109" spans="1:30" s="10" customFormat="1" ht="12.75" customHeight="1" x14ac:dyDescent="0.25">
      <c r="A109" s="29"/>
      <c r="B109" s="63" t="s">
        <v>78</v>
      </c>
      <c r="C109" s="61"/>
      <c r="D109" s="61"/>
      <c r="E109" s="61"/>
      <c r="F109" s="61"/>
      <c r="G109" s="61"/>
      <c r="H109" s="61"/>
      <c r="I109" s="61"/>
      <c r="J109" s="61"/>
      <c r="K109" s="378" t="s">
        <v>108</v>
      </c>
      <c r="L109" s="348">
        <v>800</v>
      </c>
      <c r="M109" s="7"/>
      <c r="N109" s="47">
        <v>69611000</v>
      </c>
      <c r="O109" s="47">
        <v>0</v>
      </c>
      <c r="P109" s="47">
        <v>0</v>
      </c>
      <c r="Q109" s="47">
        <v>0</v>
      </c>
      <c r="R109" s="268">
        <v>80000</v>
      </c>
      <c r="S109" s="295"/>
      <c r="T109" s="295"/>
      <c r="U109" s="295"/>
      <c r="V109" s="295"/>
      <c r="W109" s="268">
        <v>80000</v>
      </c>
      <c r="X109" s="268">
        <f>X110</f>
        <v>68000</v>
      </c>
      <c r="Y109" s="18"/>
    </row>
    <row r="110" spans="1:30" s="10" customFormat="1" ht="12.75" customHeight="1" x14ac:dyDescent="0.25">
      <c r="A110" s="29"/>
      <c r="B110" s="63" t="s">
        <v>61</v>
      </c>
      <c r="C110" s="61"/>
      <c r="D110" s="61"/>
      <c r="E110" s="61"/>
      <c r="F110" s="61"/>
      <c r="G110" s="61"/>
      <c r="H110" s="61"/>
      <c r="I110" s="61"/>
      <c r="J110" s="61"/>
      <c r="K110" s="378" t="s">
        <v>108</v>
      </c>
      <c r="L110" s="348">
        <v>870</v>
      </c>
      <c r="M110" s="7"/>
      <c r="N110" s="47">
        <v>69611000</v>
      </c>
      <c r="O110" s="47">
        <v>0</v>
      </c>
      <c r="P110" s="47">
        <v>0</v>
      </c>
      <c r="Q110" s="47">
        <v>0</v>
      </c>
      <c r="R110" s="268">
        <f>'0'!V54</f>
        <v>80000</v>
      </c>
      <c r="S110" s="295"/>
      <c r="T110" s="295"/>
      <c r="U110" s="295"/>
      <c r="V110" s="295"/>
      <c r="W110" s="268">
        <f>'0'!AB54</f>
        <v>80000</v>
      </c>
      <c r="X110" s="268">
        <f>'0'!AC54</f>
        <v>68000</v>
      </c>
      <c r="Y110" s="18"/>
    </row>
    <row r="111" spans="1:30" s="10" customFormat="1" ht="36.6" customHeight="1" x14ac:dyDescent="0.25">
      <c r="A111" s="29"/>
      <c r="B111" s="63" t="s">
        <v>423</v>
      </c>
      <c r="C111" s="61"/>
      <c r="D111" s="61"/>
      <c r="E111" s="61"/>
      <c r="F111" s="61"/>
      <c r="G111" s="61"/>
      <c r="H111" s="61"/>
      <c r="I111" s="61"/>
      <c r="J111" s="61"/>
      <c r="K111" s="347" t="s">
        <v>396</v>
      </c>
      <c r="L111" s="348">
        <v>0</v>
      </c>
      <c r="M111" s="7"/>
      <c r="N111" s="47">
        <v>2801000</v>
      </c>
      <c r="O111" s="47">
        <v>0</v>
      </c>
      <c r="P111" s="47">
        <v>0</v>
      </c>
      <c r="Q111" s="47">
        <v>0</v>
      </c>
      <c r="R111" s="268">
        <f t="shared" ref="R111:T112" si="28">R112</f>
        <v>0</v>
      </c>
      <c r="S111" s="269">
        <f t="shared" si="28"/>
        <v>665000</v>
      </c>
      <c r="T111" s="268">
        <f t="shared" si="28"/>
        <v>1318000</v>
      </c>
      <c r="U111" s="295"/>
      <c r="V111" s="295"/>
      <c r="W111" s="278">
        <f>W112</f>
        <v>650000</v>
      </c>
      <c r="X111" s="278">
        <f>X112</f>
        <v>1338000</v>
      </c>
      <c r="Y111" s="18"/>
    </row>
    <row r="112" spans="1:30" s="10" customFormat="1" ht="15" customHeight="1" x14ac:dyDescent="0.25">
      <c r="A112" s="29"/>
      <c r="B112" s="63" t="s">
        <v>78</v>
      </c>
      <c r="C112" s="61"/>
      <c r="D112" s="61"/>
      <c r="E112" s="61"/>
      <c r="F112" s="61"/>
      <c r="G112" s="61"/>
      <c r="H112" s="61"/>
      <c r="I112" s="61"/>
      <c r="J112" s="61"/>
      <c r="K112" s="347" t="s">
        <v>396</v>
      </c>
      <c r="L112" s="348">
        <v>800</v>
      </c>
      <c r="M112" s="7"/>
      <c r="N112" s="47">
        <v>2801000</v>
      </c>
      <c r="O112" s="47">
        <v>0</v>
      </c>
      <c r="P112" s="47">
        <v>0</v>
      </c>
      <c r="Q112" s="47">
        <v>0</v>
      </c>
      <c r="R112" s="268">
        <f t="shared" si="28"/>
        <v>0</v>
      </c>
      <c r="S112" s="269">
        <f t="shared" si="28"/>
        <v>665000</v>
      </c>
      <c r="T112" s="268">
        <f t="shared" si="28"/>
        <v>1318000</v>
      </c>
      <c r="U112" s="295"/>
      <c r="V112" s="295"/>
      <c r="W112" s="268">
        <f>W113</f>
        <v>650000</v>
      </c>
      <c r="X112" s="268">
        <f>X113</f>
        <v>1338000</v>
      </c>
      <c r="Y112" s="18"/>
    </row>
    <row r="113" spans="1:34" s="10" customFormat="1" ht="17.25" customHeight="1" thickBot="1" x14ac:dyDescent="0.3">
      <c r="A113" s="29"/>
      <c r="B113" s="78" t="s">
        <v>255</v>
      </c>
      <c r="C113" s="69"/>
      <c r="D113" s="69"/>
      <c r="E113" s="69"/>
      <c r="F113" s="69"/>
      <c r="G113" s="69"/>
      <c r="H113" s="69"/>
      <c r="I113" s="69"/>
      <c r="J113" s="69"/>
      <c r="K113" s="347" t="s">
        <v>396</v>
      </c>
      <c r="L113" s="377">
        <v>870</v>
      </c>
      <c r="M113" s="15"/>
      <c r="N113" s="51">
        <v>2801000</v>
      </c>
      <c r="O113" s="51">
        <v>0</v>
      </c>
      <c r="P113" s="51">
        <v>0</v>
      </c>
      <c r="Q113" s="51">
        <v>0</v>
      </c>
      <c r="R113" s="273">
        <v>0</v>
      </c>
      <c r="S113" s="274">
        <v>665000</v>
      </c>
      <c r="T113" s="273">
        <v>1318000</v>
      </c>
      <c r="U113" s="295"/>
      <c r="V113" s="295"/>
      <c r="W113" s="268">
        <f>'0'!AB141</f>
        <v>650000</v>
      </c>
      <c r="X113" s="268">
        <f>'0'!AC141</f>
        <v>1338000</v>
      </c>
      <c r="Y113" s="18"/>
    </row>
    <row r="114" spans="1:34" s="36" customFormat="1" ht="37.5" customHeight="1" thickBot="1" x14ac:dyDescent="0.3">
      <c r="A114" s="34"/>
      <c r="B114" s="193" t="s">
        <v>448</v>
      </c>
      <c r="C114" s="129"/>
      <c r="D114" s="129"/>
      <c r="E114" s="129"/>
      <c r="F114" s="129"/>
      <c r="G114" s="129"/>
      <c r="H114" s="129"/>
      <c r="I114" s="129"/>
      <c r="J114" s="129"/>
      <c r="K114" s="372" t="s">
        <v>109</v>
      </c>
      <c r="L114" s="373">
        <v>0</v>
      </c>
      <c r="M114" s="120"/>
      <c r="N114" s="121">
        <v>2801000</v>
      </c>
      <c r="O114" s="121">
        <v>0</v>
      </c>
      <c r="P114" s="121">
        <v>0</v>
      </c>
      <c r="Q114" s="121">
        <v>0</v>
      </c>
      <c r="R114" s="264">
        <f>R115+R129</f>
        <v>6971334.6900000004</v>
      </c>
      <c r="S114" s="298"/>
      <c r="T114" s="298"/>
      <c r="U114" s="298"/>
      <c r="V114" s="298"/>
      <c r="W114" s="264">
        <f t="shared" ref="W114:X114" si="29">W115</f>
        <v>6396767.9000000004</v>
      </c>
      <c r="X114" s="264">
        <f t="shared" si="29"/>
        <v>4420464</v>
      </c>
      <c r="Y114" s="35"/>
      <c r="AC114" s="35"/>
      <c r="AH114" s="36">
        <f>'0'!AO137</f>
        <v>6971334.6900000004</v>
      </c>
    </row>
    <row r="115" spans="1:34" s="10" customFormat="1" ht="55.5" customHeight="1" x14ac:dyDescent="0.25">
      <c r="A115" s="29"/>
      <c r="B115" s="111" t="s">
        <v>449</v>
      </c>
      <c r="C115" s="71"/>
      <c r="D115" s="71"/>
      <c r="E115" s="71"/>
      <c r="F115" s="71"/>
      <c r="G115" s="71"/>
      <c r="H115" s="71"/>
      <c r="I115" s="71"/>
      <c r="J115" s="71"/>
      <c r="K115" s="378" t="s">
        <v>110</v>
      </c>
      <c r="L115" s="374">
        <v>0</v>
      </c>
      <c r="M115" s="17"/>
      <c r="N115" s="52">
        <v>2801000</v>
      </c>
      <c r="O115" s="52">
        <v>0</v>
      </c>
      <c r="P115" s="52">
        <v>0</v>
      </c>
      <c r="Q115" s="52">
        <v>0</v>
      </c>
      <c r="R115" s="278">
        <f>R116+R120+R125</f>
        <v>6635334.6900000004</v>
      </c>
      <c r="S115" s="295"/>
      <c r="T115" s="295"/>
      <c r="U115" s="295"/>
      <c r="V115" s="295"/>
      <c r="W115" s="278">
        <f>W116+W120+W125</f>
        <v>6396767.9000000004</v>
      </c>
      <c r="X115" s="278">
        <f>X116+X120+X125</f>
        <v>4420464</v>
      </c>
      <c r="Y115" s="18"/>
      <c r="AH115" s="18">
        <f>R114-AH114</f>
        <v>0</v>
      </c>
    </row>
    <row r="116" spans="1:34" s="10" customFormat="1" ht="39" customHeight="1" x14ac:dyDescent="0.25">
      <c r="A116" s="29"/>
      <c r="B116" s="63" t="s">
        <v>75</v>
      </c>
      <c r="C116" s="61"/>
      <c r="D116" s="61"/>
      <c r="E116" s="61"/>
      <c r="F116" s="61"/>
      <c r="G116" s="61"/>
      <c r="H116" s="61"/>
      <c r="I116" s="61"/>
      <c r="J116" s="61"/>
      <c r="K116" s="378" t="s">
        <v>110</v>
      </c>
      <c r="L116" s="348">
        <v>100</v>
      </c>
      <c r="M116" s="7"/>
      <c r="N116" s="47">
        <v>2801000</v>
      </c>
      <c r="O116" s="47">
        <v>0</v>
      </c>
      <c r="P116" s="47">
        <v>0</v>
      </c>
      <c r="Q116" s="47">
        <v>0</v>
      </c>
      <c r="R116" s="268">
        <f>R117+R118+R119</f>
        <v>4353897</v>
      </c>
      <c r="S116" s="295"/>
      <c r="T116" s="295"/>
      <c r="U116" s="295"/>
      <c r="V116" s="295"/>
      <c r="W116" s="268">
        <f t="shared" ref="W116:X116" si="30">W117+W118+W119</f>
        <v>5358787.9000000004</v>
      </c>
      <c r="X116" s="268">
        <f t="shared" si="30"/>
        <v>3369184</v>
      </c>
      <c r="Y116" s="18"/>
    </row>
    <row r="117" spans="1:34" s="10" customFormat="1" ht="16.5" customHeight="1" x14ac:dyDescent="0.25">
      <c r="A117" s="29"/>
      <c r="B117" s="239" t="s">
        <v>486</v>
      </c>
      <c r="C117" s="61"/>
      <c r="D117" s="61"/>
      <c r="E117" s="61"/>
      <c r="F117" s="61"/>
      <c r="G117" s="61"/>
      <c r="H117" s="61"/>
      <c r="I117" s="61"/>
      <c r="J117" s="61"/>
      <c r="K117" s="378" t="s">
        <v>110</v>
      </c>
      <c r="L117" s="348">
        <v>111</v>
      </c>
      <c r="M117" s="7"/>
      <c r="N117" s="47">
        <v>2801000</v>
      </c>
      <c r="O117" s="47">
        <v>0</v>
      </c>
      <c r="P117" s="47">
        <v>0</v>
      </c>
      <c r="Q117" s="47">
        <v>0</v>
      </c>
      <c r="R117" s="268">
        <f>'0'!V72</f>
        <v>3342939</v>
      </c>
      <c r="S117" s="295"/>
      <c r="T117" s="295"/>
      <c r="U117" s="295"/>
      <c r="V117" s="295"/>
      <c r="W117" s="268">
        <f>'0'!AB72</f>
        <v>3961826</v>
      </c>
      <c r="X117" s="268">
        <f>'0'!AC72</f>
        <v>1972226</v>
      </c>
      <c r="Y117" s="18"/>
    </row>
    <row r="118" spans="1:34" s="10" customFormat="1" ht="24.75" customHeight="1" x14ac:dyDescent="0.25">
      <c r="A118" s="29"/>
      <c r="B118" s="151" t="s">
        <v>487</v>
      </c>
      <c r="C118" s="61"/>
      <c r="D118" s="61"/>
      <c r="E118" s="61"/>
      <c r="F118" s="61"/>
      <c r="G118" s="61"/>
      <c r="H118" s="61"/>
      <c r="I118" s="61"/>
      <c r="J118" s="61"/>
      <c r="K118" s="378" t="s">
        <v>110</v>
      </c>
      <c r="L118" s="348">
        <v>112</v>
      </c>
      <c r="M118" s="7"/>
      <c r="N118" s="47">
        <v>2801000</v>
      </c>
      <c r="O118" s="47">
        <v>0</v>
      </c>
      <c r="P118" s="47">
        <v>0</v>
      </c>
      <c r="Q118" s="47">
        <v>0</v>
      </c>
      <c r="R118" s="268">
        <f>'0'!V70+'0'!X69</f>
        <v>100000</v>
      </c>
      <c r="S118" s="295"/>
      <c r="T118" s="295"/>
      <c r="U118" s="295"/>
      <c r="V118" s="295"/>
      <c r="W118" s="268">
        <f>'0'!AB70</f>
        <v>200000</v>
      </c>
      <c r="X118" s="268">
        <f>'0'!AC70</f>
        <v>200000</v>
      </c>
      <c r="Y118" s="18"/>
    </row>
    <row r="119" spans="1:34" s="10" customFormat="1" ht="26.25" customHeight="1" x14ac:dyDescent="0.25">
      <c r="A119" s="29"/>
      <c r="B119" s="239" t="s">
        <v>491</v>
      </c>
      <c r="C119" s="61"/>
      <c r="D119" s="61"/>
      <c r="E119" s="61"/>
      <c r="F119" s="61"/>
      <c r="G119" s="61"/>
      <c r="H119" s="61"/>
      <c r="I119" s="61"/>
      <c r="J119" s="61"/>
      <c r="K119" s="378" t="s">
        <v>110</v>
      </c>
      <c r="L119" s="348">
        <v>119</v>
      </c>
      <c r="M119" s="7"/>
      <c r="N119" s="47">
        <v>2801000</v>
      </c>
      <c r="O119" s="47">
        <v>0</v>
      </c>
      <c r="P119" s="47">
        <v>0</v>
      </c>
      <c r="Q119" s="47">
        <v>0</v>
      </c>
      <c r="R119" s="268">
        <f>'0'!V73</f>
        <v>910958</v>
      </c>
      <c r="S119" s="295"/>
      <c r="T119" s="295"/>
      <c r="U119" s="295"/>
      <c r="V119" s="295"/>
      <c r="W119" s="268">
        <f>'0'!AB73</f>
        <v>1196961.8999999999</v>
      </c>
      <c r="X119" s="268">
        <f>'0'!AC73</f>
        <v>1196958</v>
      </c>
      <c r="Y119" s="18"/>
    </row>
    <row r="120" spans="1:34" s="10" customFormat="1" ht="23.25" customHeight="1" x14ac:dyDescent="0.25">
      <c r="A120" s="29"/>
      <c r="B120" s="151" t="s">
        <v>128</v>
      </c>
      <c r="C120" s="61"/>
      <c r="D120" s="61"/>
      <c r="E120" s="61"/>
      <c r="F120" s="61"/>
      <c r="G120" s="61"/>
      <c r="H120" s="61"/>
      <c r="I120" s="61"/>
      <c r="J120" s="61"/>
      <c r="K120" s="378" t="s">
        <v>110</v>
      </c>
      <c r="L120" s="348">
        <v>200</v>
      </c>
      <c r="M120" s="7"/>
      <c r="N120" s="47">
        <v>2801000</v>
      </c>
      <c r="O120" s="47">
        <v>0</v>
      </c>
      <c r="P120" s="47">
        <v>0</v>
      </c>
      <c r="Q120" s="47">
        <v>0</v>
      </c>
      <c r="R120" s="268">
        <f>R121+R124</f>
        <v>2264437.6900000004</v>
      </c>
      <c r="S120" s="295"/>
      <c r="T120" s="295"/>
      <c r="U120" s="295"/>
      <c r="V120" s="295"/>
      <c r="W120" s="268">
        <f>W121+W124</f>
        <v>1037980</v>
      </c>
      <c r="X120" s="268">
        <f t="shared" ref="X120" si="31">X121+X124</f>
        <v>1051280</v>
      </c>
      <c r="Y120" s="18"/>
    </row>
    <row r="121" spans="1:34" s="10" customFormat="1" ht="24" customHeight="1" x14ac:dyDescent="0.25">
      <c r="A121" s="29"/>
      <c r="B121" s="63" t="s">
        <v>59</v>
      </c>
      <c r="C121" s="61"/>
      <c r="D121" s="61"/>
      <c r="E121" s="61"/>
      <c r="F121" s="61"/>
      <c r="G121" s="61"/>
      <c r="H121" s="61"/>
      <c r="I121" s="61"/>
      <c r="J121" s="61"/>
      <c r="K121" s="378" t="s">
        <v>110</v>
      </c>
      <c r="L121" s="348">
        <v>242</v>
      </c>
      <c r="M121" s="7"/>
      <c r="N121" s="47">
        <v>2801000</v>
      </c>
      <c r="O121" s="47">
        <v>0</v>
      </c>
      <c r="P121" s="47">
        <v>0</v>
      </c>
      <c r="Q121" s="47">
        <v>0</v>
      </c>
      <c r="R121" s="275">
        <f>'0'!V84+'0'!X84</f>
        <v>312659.14500000002</v>
      </c>
      <c r="S121" s="295"/>
      <c r="T121" s="295"/>
      <c r="U121" s="295"/>
      <c r="V121" s="295"/>
      <c r="W121" s="275">
        <f>'0'!AB84</f>
        <v>138000</v>
      </c>
      <c r="X121" s="275">
        <f>'0'!AC84</f>
        <v>138000</v>
      </c>
      <c r="Y121" s="18"/>
    </row>
    <row r="122" spans="1:34" s="10" customFormat="1" ht="18" hidden="1" customHeight="1" x14ac:dyDescent="0.25">
      <c r="A122" s="29"/>
      <c r="B122" s="67"/>
      <c r="C122" s="61"/>
      <c r="D122" s="61"/>
      <c r="E122" s="61"/>
      <c r="F122" s="61"/>
      <c r="G122" s="61"/>
      <c r="H122" s="61"/>
      <c r="I122" s="61"/>
      <c r="J122" s="61"/>
      <c r="K122" s="378" t="s">
        <v>110</v>
      </c>
      <c r="L122" s="348"/>
      <c r="M122" s="7"/>
      <c r="N122" s="47"/>
      <c r="O122" s="47"/>
      <c r="P122" s="47"/>
      <c r="Q122" s="47"/>
      <c r="R122" s="275">
        <v>580000</v>
      </c>
      <c r="S122" s="295"/>
      <c r="T122" s="295"/>
      <c r="U122" s="295"/>
      <c r="V122" s="295"/>
      <c r="W122" s="275">
        <v>580000</v>
      </c>
      <c r="X122" s="275">
        <v>580000</v>
      </c>
      <c r="Y122" s="18"/>
    </row>
    <row r="123" spans="1:34" s="10" customFormat="1" ht="18" hidden="1" customHeight="1" x14ac:dyDescent="0.25">
      <c r="A123" s="29"/>
      <c r="B123" s="68"/>
      <c r="C123" s="61"/>
      <c r="D123" s="61"/>
      <c r="E123" s="61"/>
      <c r="F123" s="61"/>
      <c r="G123" s="61"/>
      <c r="H123" s="61"/>
      <c r="I123" s="61"/>
      <c r="J123" s="61"/>
      <c r="K123" s="378" t="s">
        <v>110</v>
      </c>
      <c r="L123" s="348"/>
      <c r="M123" s="7"/>
      <c r="N123" s="47"/>
      <c r="O123" s="47"/>
      <c r="P123" s="47"/>
      <c r="Q123" s="47"/>
      <c r="R123" s="268"/>
      <c r="S123" s="295"/>
      <c r="T123" s="295"/>
      <c r="U123" s="295"/>
      <c r="V123" s="295"/>
      <c r="W123" s="268"/>
      <c r="X123" s="268"/>
      <c r="Y123" s="18"/>
    </row>
    <row r="124" spans="1:34" s="10" customFormat="1" ht="24" customHeight="1" x14ac:dyDescent="0.25">
      <c r="A124" s="29"/>
      <c r="B124" s="229" t="s">
        <v>506</v>
      </c>
      <c r="C124" s="69"/>
      <c r="D124" s="69"/>
      <c r="E124" s="69"/>
      <c r="F124" s="69"/>
      <c r="G124" s="69"/>
      <c r="H124" s="69"/>
      <c r="I124" s="69"/>
      <c r="J124" s="69"/>
      <c r="K124" s="378" t="s">
        <v>110</v>
      </c>
      <c r="L124" s="377">
        <v>244</v>
      </c>
      <c r="M124" s="15"/>
      <c r="N124" s="51">
        <v>2801000</v>
      </c>
      <c r="O124" s="51">
        <v>0</v>
      </c>
      <c r="P124" s="51">
        <v>0</v>
      </c>
      <c r="Q124" s="51">
        <v>0</v>
      </c>
      <c r="R124" s="275">
        <f>'0'!V135+'0'!X135</f>
        <v>1951778.5450000002</v>
      </c>
      <c r="S124" s="295"/>
      <c r="T124" s="295"/>
      <c r="U124" s="295"/>
      <c r="V124" s="295"/>
      <c r="W124" s="275">
        <f>'0'!AB92+'0'!AB104+'0'!AB133+'0'!AB118</f>
        <v>899980</v>
      </c>
      <c r="X124" s="275">
        <f>'0'!AC135</f>
        <v>913280</v>
      </c>
      <c r="Y124" s="18"/>
    </row>
    <row r="125" spans="1:34" s="10" customFormat="1" ht="17.25" customHeight="1" x14ac:dyDescent="0.25">
      <c r="A125" s="29"/>
      <c r="B125" s="239" t="s">
        <v>78</v>
      </c>
      <c r="C125" s="61"/>
      <c r="D125" s="61"/>
      <c r="E125" s="61"/>
      <c r="F125" s="61"/>
      <c r="G125" s="61"/>
      <c r="H125" s="61"/>
      <c r="I125" s="61"/>
      <c r="J125" s="61"/>
      <c r="K125" s="378" t="s">
        <v>110</v>
      </c>
      <c r="L125" s="348">
        <v>800</v>
      </c>
      <c r="M125" s="7"/>
      <c r="N125" s="47"/>
      <c r="O125" s="47"/>
      <c r="P125" s="47"/>
      <c r="Q125" s="47"/>
      <c r="R125" s="268">
        <f>R126+R128+R127</f>
        <v>17000</v>
      </c>
      <c r="S125" s="295"/>
      <c r="T125" s="295"/>
      <c r="U125" s="295"/>
      <c r="V125" s="295"/>
      <c r="W125" s="268">
        <f>W126+W128</f>
        <v>0</v>
      </c>
      <c r="X125" s="268">
        <f t="shared" ref="X125" si="32">X126+X128</f>
        <v>0</v>
      </c>
      <c r="Y125" s="18"/>
    </row>
    <row r="126" spans="1:34" s="10" customFormat="1" ht="16.5" customHeight="1" x14ac:dyDescent="0.25">
      <c r="A126" s="29"/>
      <c r="B126" s="151" t="s">
        <v>488</v>
      </c>
      <c r="C126" s="61"/>
      <c r="D126" s="61"/>
      <c r="E126" s="61"/>
      <c r="F126" s="61"/>
      <c r="G126" s="61"/>
      <c r="H126" s="61"/>
      <c r="I126" s="61"/>
      <c r="J126" s="61"/>
      <c r="K126" s="378" t="s">
        <v>110</v>
      </c>
      <c r="L126" s="348">
        <v>851</v>
      </c>
      <c r="M126" s="7"/>
      <c r="N126" s="47"/>
      <c r="O126" s="47"/>
      <c r="P126" s="47"/>
      <c r="Q126" s="47"/>
      <c r="R126" s="268">
        <f>'0'!V119</f>
        <v>1000</v>
      </c>
      <c r="S126" s="295"/>
      <c r="T126" s="295"/>
      <c r="U126" s="295"/>
      <c r="V126" s="295"/>
      <c r="W126" s="268">
        <f>'0'!AB119</f>
        <v>0</v>
      </c>
      <c r="X126" s="268">
        <f>'0'!AC119</f>
        <v>0</v>
      </c>
      <c r="Y126" s="18"/>
    </row>
    <row r="127" spans="1:34" s="10" customFormat="1" ht="16.2" customHeight="1" x14ac:dyDescent="0.25">
      <c r="A127" s="29"/>
      <c r="B127" s="151" t="s">
        <v>347</v>
      </c>
      <c r="C127" s="61"/>
      <c r="D127" s="61"/>
      <c r="E127" s="61"/>
      <c r="F127" s="61"/>
      <c r="G127" s="61"/>
      <c r="H127" s="61"/>
      <c r="I127" s="61"/>
      <c r="J127" s="61"/>
      <c r="K127" s="378" t="s">
        <v>111</v>
      </c>
      <c r="L127" s="379">
        <v>852</v>
      </c>
      <c r="M127" s="7"/>
      <c r="N127" s="47"/>
      <c r="O127" s="47"/>
      <c r="P127" s="47"/>
      <c r="Q127" s="47"/>
      <c r="R127" s="275">
        <f>'0'!V120</f>
        <v>8000</v>
      </c>
      <c r="S127" s="295"/>
      <c r="T127" s="295"/>
      <c r="U127" s="295"/>
      <c r="V127" s="295"/>
      <c r="W127" s="275">
        <f>'0'!AB370</f>
        <v>0</v>
      </c>
      <c r="X127" s="275">
        <v>0</v>
      </c>
      <c r="Y127" s="18"/>
    </row>
    <row r="128" spans="1:34" s="10" customFormat="1" ht="16.5" customHeight="1" x14ac:dyDescent="0.25">
      <c r="A128" s="29"/>
      <c r="B128" s="151" t="s">
        <v>346</v>
      </c>
      <c r="C128" s="61"/>
      <c r="D128" s="61"/>
      <c r="E128" s="61"/>
      <c r="F128" s="61"/>
      <c r="G128" s="61"/>
      <c r="H128" s="61"/>
      <c r="I128" s="61"/>
      <c r="J128" s="61"/>
      <c r="K128" s="378" t="s">
        <v>110</v>
      </c>
      <c r="L128" s="348">
        <v>853</v>
      </c>
      <c r="M128" s="7"/>
      <c r="N128" s="47"/>
      <c r="O128" s="47"/>
      <c r="P128" s="47"/>
      <c r="Q128" s="47"/>
      <c r="R128" s="268">
        <f>'0'!V121</f>
        <v>8000</v>
      </c>
      <c r="S128" s="295"/>
      <c r="T128" s="295"/>
      <c r="U128" s="295"/>
      <c r="V128" s="295"/>
      <c r="W128" s="268">
        <f>'0'!AB121</f>
        <v>0</v>
      </c>
      <c r="X128" s="268">
        <f>'0'!AC121</f>
        <v>0</v>
      </c>
      <c r="Y128" s="18"/>
    </row>
    <row r="129" spans="1:34" s="10" customFormat="1" ht="39" customHeight="1" x14ac:dyDescent="0.25">
      <c r="A129" s="29"/>
      <c r="B129" s="63" t="s">
        <v>75</v>
      </c>
      <c r="C129" s="61"/>
      <c r="D129" s="61"/>
      <c r="E129" s="61"/>
      <c r="F129" s="61"/>
      <c r="G129" s="61"/>
      <c r="H129" s="61"/>
      <c r="I129" s="61"/>
      <c r="J129" s="61"/>
      <c r="K129" s="378" t="s">
        <v>702</v>
      </c>
      <c r="L129" s="348">
        <v>100</v>
      </c>
      <c r="M129" s="7"/>
      <c r="N129" s="47">
        <v>2801000</v>
      </c>
      <c r="O129" s="47">
        <v>0</v>
      </c>
      <c r="P129" s="47">
        <v>0</v>
      </c>
      <c r="Q129" s="47">
        <v>0</v>
      </c>
      <c r="R129" s="268">
        <f>R130+R131</f>
        <v>336000</v>
      </c>
      <c r="S129" s="295"/>
      <c r="T129" s="295"/>
      <c r="U129" s="295"/>
      <c r="V129" s="295"/>
      <c r="W129" s="268">
        <f t="shared" ref="W129:X129" si="33">W130+W131</f>
        <v>0</v>
      </c>
      <c r="X129" s="268">
        <f t="shared" si="33"/>
        <v>0</v>
      </c>
      <c r="Y129" s="18"/>
    </row>
    <row r="130" spans="1:34" s="10" customFormat="1" ht="16.5" customHeight="1" x14ac:dyDescent="0.25">
      <c r="A130" s="29"/>
      <c r="B130" s="239" t="s">
        <v>486</v>
      </c>
      <c r="C130" s="61"/>
      <c r="D130" s="61"/>
      <c r="E130" s="61"/>
      <c r="F130" s="61"/>
      <c r="G130" s="61"/>
      <c r="H130" s="61"/>
      <c r="I130" s="61"/>
      <c r="J130" s="61"/>
      <c r="K130" s="378" t="s">
        <v>702</v>
      </c>
      <c r="L130" s="348">
        <v>111</v>
      </c>
      <c r="M130" s="7"/>
      <c r="N130" s="47">
        <v>2801000</v>
      </c>
      <c r="O130" s="47">
        <v>0</v>
      </c>
      <c r="P130" s="47">
        <v>0</v>
      </c>
      <c r="Q130" s="47">
        <v>0</v>
      </c>
      <c r="R130" s="268">
        <f>'0'!V74</f>
        <v>244944</v>
      </c>
      <c r="S130" s="295"/>
      <c r="T130" s="295"/>
      <c r="U130" s="295"/>
      <c r="V130" s="295"/>
      <c r="W130" s="268">
        <v>0</v>
      </c>
      <c r="X130" s="268">
        <v>0</v>
      </c>
      <c r="Y130" s="18"/>
    </row>
    <row r="131" spans="1:34" s="10" customFormat="1" ht="26.25" customHeight="1" thickBot="1" x14ac:dyDescent="0.3">
      <c r="A131" s="29"/>
      <c r="B131" s="239" t="s">
        <v>491</v>
      </c>
      <c r="C131" s="61"/>
      <c r="D131" s="61"/>
      <c r="E131" s="61"/>
      <c r="F131" s="61"/>
      <c r="G131" s="61"/>
      <c r="H131" s="61"/>
      <c r="I131" s="61"/>
      <c r="J131" s="61"/>
      <c r="K131" s="378" t="s">
        <v>702</v>
      </c>
      <c r="L131" s="348">
        <v>119</v>
      </c>
      <c r="M131" s="7"/>
      <c r="N131" s="47">
        <v>2801000</v>
      </c>
      <c r="O131" s="47">
        <v>0</v>
      </c>
      <c r="P131" s="47">
        <v>0</v>
      </c>
      <c r="Q131" s="47">
        <v>0</v>
      </c>
      <c r="R131" s="268">
        <f>'0'!V75</f>
        <v>91056</v>
      </c>
      <c r="S131" s="295"/>
      <c r="T131" s="295"/>
      <c r="U131" s="295"/>
      <c r="V131" s="295"/>
      <c r="W131" s="268">
        <f>'0'!AB77</f>
        <v>0</v>
      </c>
      <c r="X131" s="268">
        <f>'0'!AC77</f>
        <v>0</v>
      </c>
      <c r="Y131" s="18"/>
    </row>
    <row r="132" spans="1:34" s="36" customFormat="1" ht="24.75" customHeight="1" thickBot="1" x14ac:dyDescent="0.3">
      <c r="A132" s="34"/>
      <c r="B132" s="194" t="s">
        <v>450</v>
      </c>
      <c r="C132" s="129"/>
      <c r="D132" s="129"/>
      <c r="E132" s="129"/>
      <c r="F132" s="129"/>
      <c r="G132" s="129"/>
      <c r="H132" s="129"/>
      <c r="I132" s="129"/>
      <c r="J132" s="129"/>
      <c r="K132" s="351" t="s">
        <v>112</v>
      </c>
      <c r="L132" s="380">
        <v>0</v>
      </c>
      <c r="M132" s="120"/>
      <c r="N132" s="121"/>
      <c r="O132" s="121"/>
      <c r="P132" s="121"/>
      <c r="Q132" s="121"/>
      <c r="R132" s="302">
        <f>R134+R142+R149+R145</f>
        <v>4652958.46</v>
      </c>
      <c r="S132" s="298"/>
      <c r="T132" s="298"/>
      <c r="U132" s="298"/>
      <c r="V132" s="298"/>
      <c r="W132" s="302">
        <f>W134+W142+W149+W145</f>
        <v>3361463</v>
      </c>
      <c r="X132" s="302">
        <f>X134+X142+X149+X145+X152</f>
        <v>4683453.0999999996</v>
      </c>
      <c r="Y132" s="35"/>
      <c r="Z132" s="35"/>
      <c r="AH132" s="36">
        <v>4652958.46</v>
      </c>
    </row>
    <row r="133" spans="1:34" s="36" customFormat="1" ht="42.75" customHeight="1" x14ac:dyDescent="0.25">
      <c r="A133" s="34"/>
      <c r="B133" s="70" t="s">
        <v>451</v>
      </c>
      <c r="C133" s="195"/>
      <c r="D133" s="195"/>
      <c r="E133" s="195"/>
      <c r="F133" s="195"/>
      <c r="G133" s="195"/>
      <c r="H133" s="195"/>
      <c r="I133" s="195"/>
      <c r="J133" s="195"/>
      <c r="K133" s="378" t="s">
        <v>111</v>
      </c>
      <c r="L133" s="381">
        <v>0</v>
      </c>
      <c r="M133" s="17"/>
      <c r="N133" s="52"/>
      <c r="O133" s="52"/>
      <c r="P133" s="52"/>
      <c r="Q133" s="52"/>
      <c r="R133" s="303">
        <f>R134+R142+R145+R149</f>
        <v>4652958.46</v>
      </c>
      <c r="S133" s="298"/>
      <c r="T133" s="298"/>
      <c r="U133" s="298"/>
      <c r="V133" s="298"/>
      <c r="W133" s="303">
        <f>W134+W142+W145+W149</f>
        <v>3361463</v>
      </c>
      <c r="X133" s="303">
        <f>X134+X142+X145+X149</f>
        <v>4582443</v>
      </c>
      <c r="Y133" s="35"/>
    </row>
    <row r="134" spans="1:34" s="10" customFormat="1" ht="39" customHeight="1" x14ac:dyDescent="0.25">
      <c r="A134" s="29"/>
      <c r="B134" s="63" t="s">
        <v>75</v>
      </c>
      <c r="C134" s="61"/>
      <c r="D134" s="61"/>
      <c r="E134" s="61"/>
      <c r="F134" s="61"/>
      <c r="G134" s="61"/>
      <c r="H134" s="61"/>
      <c r="I134" s="61"/>
      <c r="J134" s="61"/>
      <c r="K134" s="378" t="s">
        <v>111</v>
      </c>
      <c r="L134" s="379">
        <v>100</v>
      </c>
      <c r="M134" s="7"/>
      <c r="N134" s="47"/>
      <c r="O134" s="47"/>
      <c r="P134" s="47"/>
      <c r="Q134" s="47"/>
      <c r="R134" s="275">
        <f>R135+R139+R141+R137+R140</f>
        <v>3223979</v>
      </c>
      <c r="S134" s="295"/>
      <c r="T134" s="295"/>
      <c r="U134" s="295"/>
      <c r="V134" s="295"/>
      <c r="W134" s="275">
        <f>W135+W139+W141+W137</f>
        <v>2864314</v>
      </c>
      <c r="X134" s="275">
        <f>X135+X141</f>
        <v>2864314</v>
      </c>
      <c r="Y134" s="18"/>
    </row>
    <row r="135" spans="1:34" s="167" customFormat="1" ht="13.5" customHeight="1" x14ac:dyDescent="0.25">
      <c r="A135" s="166"/>
      <c r="B135" s="239" t="s">
        <v>490</v>
      </c>
      <c r="C135" s="61"/>
      <c r="D135" s="61"/>
      <c r="E135" s="61"/>
      <c r="F135" s="61"/>
      <c r="G135" s="61"/>
      <c r="H135" s="61"/>
      <c r="I135" s="61"/>
      <c r="J135" s="61"/>
      <c r="K135" s="378" t="s">
        <v>111</v>
      </c>
      <c r="L135" s="379">
        <v>111</v>
      </c>
      <c r="M135" s="7"/>
      <c r="N135" s="47"/>
      <c r="O135" s="47"/>
      <c r="P135" s="47"/>
      <c r="Q135" s="47"/>
      <c r="R135" s="275">
        <f>'0'!V349</f>
        <v>2522000</v>
      </c>
      <c r="S135" s="304"/>
      <c r="T135" s="304"/>
      <c r="U135" s="304"/>
      <c r="V135" s="304"/>
      <c r="W135" s="275">
        <f>'0'!AB349</f>
        <v>2522000</v>
      </c>
      <c r="X135" s="275">
        <f>'0'!AC349</f>
        <v>2522000</v>
      </c>
      <c r="Y135" s="196"/>
    </row>
    <row r="136" spans="1:34" s="167" customFormat="1" ht="58.8" hidden="1" customHeight="1" x14ac:dyDescent="0.25">
      <c r="A136" s="166"/>
      <c r="B136" s="239" t="s">
        <v>492</v>
      </c>
      <c r="C136" s="61"/>
      <c r="D136" s="61"/>
      <c r="E136" s="61"/>
      <c r="F136" s="61"/>
      <c r="G136" s="61"/>
      <c r="H136" s="61"/>
      <c r="I136" s="61"/>
      <c r="J136" s="61"/>
      <c r="K136" s="378" t="s">
        <v>397</v>
      </c>
      <c r="L136" s="379">
        <v>0</v>
      </c>
      <c r="M136" s="7"/>
      <c r="N136" s="47"/>
      <c r="O136" s="47"/>
      <c r="P136" s="47"/>
      <c r="Q136" s="47"/>
      <c r="R136" s="275">
        <f>R137</f>
        <v>0</v>
      </c>
      <c r="S136" s="304"/>
      <c r="T136" s="304"/>
      <c r="U136" s="304"/>
      <c r="V136" s="304"/>
      <c r="W136" s="275">
        <f>W137</f>
        <v>0</v>
      </c>
      <c r="X136" s="275">
        <f>X137</f>
        <v>0</v>
      </c>
      <c r="Y136" s="196"/>
    </row>
    <row r="137" spans="1:34" s="167" customFormat="1" ht="13.5" hidden="1" customHeight="1" x14ac:dyDescent="0.25">
      <c r="A137" s="166"/>
      <c r="B137" s="239" t="s">
        <v>136</v>
      </c>
      <c r="C137" s="61"/>
      <c r="D137" s="61"/>
      <c r="E137" s="61"/>
      <c r="F137" s="61"/>
      <c r="G137" s="61"/>
      <c r="H137" s="61"/>
      <c r="I137" s="61"/>
      <c r="J137" s="61"/>
      <c r="K137" s="378" t="s">
        <v>397</v>
      </c>
      <c r="L137" s="379">
        <v>111</v>
      </c>
      <c r="M137" s="7"/>
      <c r="N137" s="47"/>
      <c r="O137" s="47"/>
      <c r="P137" s="47"/>
      <c r="Q137" s="47"/>
      <c r="R137" s="275">
        <f>'0'!V350</f>
        <v>0</v>
      </c>
      <c r="S137" s="304"/>
      <c r="T137" s="304"/>
      <c r="U137" s="304"/>
      <c r="V137" s="304"/>
      <c r="W137" s="275">
        <f>'0'!AB350</f>
        <v>0</v>
      </c>
      <c r="X137" s="275">
        <f>'0'!AC350</f>
        <v>0</v>
      </c>
      <c r="Y137" s="196"/>
    </row>
    <row r="138" spans="1:34" s="167" customFormat="1" ht="74.400000000000006" hidden="1" customHeight="1" x14ac:dyDescent="0.25">
      <c r="A138" s="166"/>
      <c r="B138" s="239" t="s">
        <v>493</v>
      </c>
      <c r="C138" s="61"/>
      <c r="D138" s="61"/>
      <c r="E138" s="61"/>
      <c r="F138" s="61"/>
      <c r="G138" s="61"/>
      <c r="H138" s="61"/>
      <c r="I138" s="61"/>
      <c r="J138" s="61"/>
      <c r="K138" s="378" t="s">
        <v>400</v>
      </c>
      <c r="L138" s="379">
        <v>0</v>
      </c>
      <c r="M138" s="7"/>
      <c r="N138" s="47"/>
      <c r="O138" s="47"/>
      <c r="P138" s="47"/>
      <c r="Q138" s="47"/>
      <c r="R138" s="275">
        <f>R139</f>
        <v>0</v>
      </c>
      <c r="S138" s="304"/>
      <c r="T138" s="304"/>
      <c r="U138" s="304"/>
      <c r="V138" s="304"/>
      <c r="W138" s="275">
        <f>W139</f>
        <v>0</v>
      </c>
      <c r="X138" s="275">
        <f>X139</f>
        <v>0</v>
      </c>
      <c r="Y138" s="196"/>
    </row>
    <row r="139" spans="1:34" s="167" customFormat="1" ht="13.5" hidden="1" customHeight="1" x14ac:dyDescent="0.25">
      <c r="A139" s="166"/>
      <c r="B139" s="239" t="s">
        <v>136</v>
      </c>
      <c r="C139" s="61"/>
      <c r="D139" s="61"/>
      <c r="E139" s="61"/>
      <c r="F139" s="61"/>
      <c r="G139" s="61"/>
      <c r="H139" s="61"/>
      <c r="I139" s="61"/>
      <c r="J139" s="61"/>
      <c r="K139" s="378" t="s">
        <v>400</v>
      </c>
      <c r="L139" s="379">
        <v>111</v>
      </c>
      <c r="M139" s="7"/>
      <c r="N139" s="47"/>
      <c r="O139" s="47"/>
      <c r="P139" s="47"/>
      <c r="Q139" s="47"/>
      <c r="R139" s="275">
        <f>'0'!V351</f>
        <v>0</v>
      </c>
      <c r="S139" s="304"/>
      <c r="T139" s="304"/>
      <c r="U139" s="304"/>
      <c r="V139" s="304"/>
      <c r="W139" s="275">
        <f>'0'!AB351</f>
        <v>0</v>
      </c>
      <c r="X139" s="275">
        <f>'0'!AC351</f>
        <v>0</v>
      </c>
      <c r="Y139" s="196"/>
    </row>
    <row r="140" spans="1:34" s="10" customFormat="1" ht="19.8" customHeight="1" x14ac:dyDescent="0.25">
      <c r="A140" s="29"/>
      <c r="B140" s="151" t="s">
        <v>487</v>
      </c>
      <c r="C140" s="61"/>
      <c r="D140" s="61"/>
      <c r="E140" s="61"/>
      <c r="F140" s="61"/>
      <c r="G140" s="61"/>
      <c r="H140" s="61"/>
      <c r="I140" s="61"/>
      <c r="J140" s="61"/>
      <c r="K140" s="378" t="s">
        <v>111</v>
      </c>
      <c r="L140" s="348">
        <v>112</v>
      </c>
      <c r="M140" s="7"/>
      <c r="N140" s="47">
        <v>2801000</v>
      </c>
      <c r="O140" s="47">
        <v>0</v>
      </c>
      <c r="P140" s="47">
        <v>0</v>
      </c>
      <c r="Q140" s="47">
        <v>0</v>
      </c>
      <c r="R140" s="268">
        <f>'0'!V356+'0'!X356</f>
        <v>150000</v>
      </c>
      <c r="S140" s="295"/>
      <c r="T140" s="295"/>
      <c r="U140" s="295"/>
      <c r="V140" s="295"/>
      <c r="W140" s="268">
        <f>'0'!AB355</f>
        <v>0</v>
      </c>
      <c r="X140" s="268">
        <f>'0'!AC355</f>
        <v>0</v>
      </c>
      <c r="Y140" s="18"/>
    </row>
    <row r="141" spans="1:34" s="10" customFormat="1" ht="26.25" customHeight="1" x14ac:dyDescent="0.25">
      <c r="A141" s="29"/>
      <c r="B141" s="239" t="s">
        <v>491</v>
      </c>
      <c r="C141" s="61"/>
      <c r="D141" s="61"/>
      <c r="E141" s="61"/>
      <c r="F141" s="61"/>
      <c r="G141" s="61"/>
      <c r="H141" s="61"/>
      <c r="I141" s="61"/>
      <c r="J141" s="61"/>
      <c r="K141" s="378" t="s">
        <v>111</v>
      </c>
      <c r="L141" s="348">
        <v>119</v>
      </c>
      <c r="M141" s="7"/>
      <c r="N141" s="47">
        <v>2801000</v>
      </c>
      <c r="O141" s="47">
        <v>0</v>
      </c>
      <c r="P141" s="47">
        <v>0</v>
      </c>
      <c r="Q141" s="47">
        <v>0</v>
      </c>
      <c r="R141" s="268">
        <f>'0'!V352+'0'!X352</f>
        <v>551979</v>
      </c>
      <c r="S141" s="295"/>
      <c r="T141" s="295"/>
      <c r="U141" s="295"/>
      <c r="V141" s="295"/>
      <c r="W141" s="268">
        <f>'0'!AB352</f>
        <v>342314</v>
      </c>
      <c r="X141" s="268">
        <f>'0'!AC352</f>
        <v>342314</v>
      </c>
      <c r="Y141" s="18"/>
    </row>
    <row r="142" spans="1:34" s="10" customFormat="1" ht="29.25" customHeight="1" x14ac:dyDescent="0.25">
      <c r="A142" s="29"/>
      <c r="B142" s="151" t="s">
        <v>128</v>
      </c>
      <c r="C142" s="61"/>
      <c r="D142" s="61"/>
      <c r="E142" s="61"/>
      <c r="F142" s="61"/>
      <c r="G142" s="61"/>
      <c r="H142" s="61"/>
      <c r="I142" s="61"/>
      <c r="J142" s="61"/>
      <c r="K142" s="378" t="s">
        <v>111</v>
      </c>
      <c r="L142" s="348">
        <v>200</v>
      </c>
      <c r="M142" s="7"/>
      <c r="N142" s="47"/>
      <c r="O142" s="47"/>
      <c r="P142" s="47"/>
      <c r="Q142" s="47"/>
      <c r="R142" s="268">
        <f>R143+R144</f>
        <v>1058768.46</v>
      </c>
      <c r="S142" s="295"/>
      <c r="T142" s="295"/>
      <c r="U142" s="295"/>
      <c r="V142" s="295"/>
      <c r="W142" s="268">
        <f>W143+W144</f>
        <v>67489</v>
      </c>
      <c r="X142" s="268">
        <f>X143+X144</f>
        <v>1288469</v>
      </c>
      <c r="Y142" s="18"/>
    </row>
    <row r="143" spans="1:34" s="10" customFormat="1" ht="23.25" customHeight="1" x14ac:dyDescent="0.25">
      <c r="A143" s="29"/>
      <c r="B143" s="62" t="s">
        <v>59</v>
      </c>
      <c r="C143" s="61"/>
      <c r="D143" s="61"/>
      <c r="E143" s="61"/>
      <c r="F143" s="61"/>
      <c r="G143" s="61"/>
      <c r="H143" s="61"/>
      <c r="I143" s="61"/>
      <c r="J143" s="61"/>
      <c r="K143" s="378" t="s">
        <v>111</v>
      </c>
      <c r="L143" s="379">
        <v>242</v>
      </c>
      <c r="M143" s="7"/>
      <c r="N143" s="47"/>
      <c r="O143" s="47"/>
      <c r="P143" s="47"/>
      <c r="Q143" s="47"/>
      <c r="R143" s="275">
        <f>'0'!V360</f>
        <v>42700</v>
      </c>
      <c r="S143" s="295"/>
      <c r="T143" s="295"/>
      <c r="U143" s="295"/>
      <c r="V143" s="295"/>
      <c r="W143" s="275">
        <f>'0'!AB360</f>
        <v>42700</v>
      </c>
      <c r="X143" s="275">
        <f>'0'!AC360</f>
        <v>42700</v>
      </c>
      <c r="Y143" s="18"/>
    </row>
    <row r="144" spans="1:34" s="10" customFormat="1" ht="28.5" customHeight="1" x14ac:dyDescent="0.25">
      <c r="A144" s="29"/>
      <c r="B144" s="229" t="s">
        <v>506</v>
      </c>
      <c r="C144" s="61"/>
      <c r="D144" s="61"/>
      <c r="E144" s="61"/>
      <c r="F144" s="61"/>
      <c r="G144" s="61"/>
      <c r="H144" s="61"/>
      <c r="I144" s="61"/>
      <c r="J144" s="61"/>
      <c r="K144" s="378" t="s">
        <v>111</v>
      </c>
      <c r="L144" s="379">
        <v>244</v>
      </c>
      <c r="M144" s="7"/>
      <c r="N144" s="47"/>
      <c r="O144" s="47"/>
      <c r="P144" s="47"/>
      <c r="Q144" s="47"/>
      <c r="R144" s="275">
        <f>'0'!W393+'0'!X392+'0'!X377+'0'!X367+'0'!X390+'0'!X391</f>
        <v>1016068.46</v>
      </c>
      <c r="S144" s="295"/>
      <c r="T144" s="295"/>
      <c r="U144" s="295"/>
      <c r="V144" s="295"/>
      <c r="W144" s="275">
        <v>24789.000000000007</v>
      </c>
      <c r="X144" s="275">
        <v>1245769</v>
      </c>
      <c r="Y144" s="18"/>
    </row>
    <row r="145" spans="1:25" s="10" customFormat="1" ht="18" customHeight="1" x14ac:dyDescent="0.25">
      <c r="A145" s="29"/>
      <c r="B145" s="239" t="s">
        <v>78</v>
      </c>
      <c r="C145" s="61"/>
      <c r="D145" s="61"/>
      <c r="E145" s="61"/>
      <c r="F145" s="61"/>
      <c r="G145" s="61"/>
      <c r="H145" s="61"/>
      <c r="I145" s="61"/>
      <c r="J145" s="61"/>
      <c r="K145" s="378" t="s">
        <v>111</v>
      </c>
      <c r="L145" s="379">
        <v>800</v>
      </c>
      <c r="M145" s="7"/>
      <c r="N145" s="47"/>
      <c r="O145" s="47"/>
      <c r="P145" s="47"/>
      <c r="Q145" s="47"/>
      <c r="R145" s="275">
        <f>R146+R148</f>
        <v>15000</v>
      </c>
      <c r="S145" s="295"/>
      <c r="T145" s="295"/>
      <c r="U145" s="295"/>
      <c r="V145" s="295"/>
      <c r="W145" s="275">
        <f t="shared" ref="W145:X145" si="34">W146+W148</f>
        <v>0</v>
      </c>
      <c r="X145" s="275">
        <f t="shared" si="34"/>
        <v>0</v>
      </c>
      <c r="Y145" s="18"/>
    </row>
    <row r="146" spans="1:25" s="10" customFormat="1" ht="16.2" customHeight="1" x14ac:dyDescent="0.25">
      <c r="A146" s="29"/>
      <c r="B146" s="151" t="s">
        <v>488</v>
      </c>
      <c r="C146" s="61"/>
      <c r="D146" s="61"/>
      <c r="E146" s="61"/>
      <c r="F146" s="61"/>
      <c r="G146" s="61"/>
      <c r="H146" s="61"/>
      <c r="I146" s="61"/>
      <c r="J146" s="61"/>
      <c r="K146" s="378" t="s">
        <v>111</v>
      </c>
      <c r="L146" s="379">
        <v>851</v>
      </c>
      <c r="M146" s="7"/>
      <c r="N146" s="47"/>
      <c r="O146" s="47"/>
      <c r="P146" s="47"/>
      <c r="Q146" s="47"/>
      <c r="R146" s="275">
        <f>'0'!V388+'0'!X388</f>
        <v>12000</v>
      </c>
      <c r="S146" s="295"/>
      <c r="T146" s="295"/>
      <c r="U146" s="295"/>
      <c r="V146" s="295"/>
      <c r="W146" s="275">
        <f>'0'!AB389</f>
        <v>0</v>
      </c>
      <c r="X146" s="275">
        <f>'0'!AC389</f>
        <v>0</v>
      </c>
      <c r="Y146" s="18"/>
    </row>
    <row r="147" spans="1:25" s="10" customFormat="1" ht="16.2" customHeight="1" x14ac:dyDescent="0.25">
      <c r="A147" s="29"/>
      <c r="B147" s="151" t="s">
        <v>347</v>
      </c>
      <c r="C147" s="61"/>
      <c r="D147" s="61"/>
      <c r="E147" s="61"/>
      <c r="F147" s="61"/>
      <c r="G147" s="61"/>
      <c r="H147" s="61"/>
      <c r="I147" s="61"/>
      <c r="J147" s="61"/>
      <c r="K147" s="378" t="s">
        <v>111</v>
      </c>
      <c r="L147" s="379">
        <v>852</v>
      </c>
      <c r="M147" s="7"/>
      <c r="N147" s="47"/>
      <c r="O147" s="47"/>
      <c r="P147" s="47"/>
      <c r="Q147" s="47"/>
      <c r="R147" s="275">
        <v>0</v>
      </c>
      <c r="S147" s="295"/>
      <c r="T147" s="295"/>
      <c r="U147" s="295"/>
      <c r="V147" s="295"/>
      <c r="W147" s="275">
        <f>'0'!AB390</f>
        <v>0</v>
      </c>
      <c r="X147" s="275">
        <f>'0'!AC390</f>
        <v>0</v>
      </c>
      <c r="Y147" s="18"/>
    </row>
    <row r="148" spans="1:25" s="10" customFormat="1" ht="16.2" customHeight="1" x14ac:dyDescent="0.25">
      <c r="A148" s="29"/>
      <c r="B148" s="151" t="s">
        <v>348</v>
      </c>
      <c r="C148" s="61"/>
      <c r="D148" s="61"/>
      <c r="E148" s="61"/>
      <c r="F148" s="61"/>
      <c r="G148" s="61"/>
      <c r="H148" s="61"/>
      <c r="I148" s="61"/>
      <c r="J148" s="61"/>
      <c r="K148" s="378" t="s">
        <v>111</v>
      </c>
      <c r="L148" s="379">
        <v>853</v>
      </c>
      <c r="M148" s="7"/>
      <c r="N148" s="47"/>
      <c r="O148" s="47"/>
      <c r="P148" s="47"/>
      <c r="Q148" s="47"/>
      <c r="R148" s="275">
        <f>'0'!V389</f>
        <v>3000</v>
      </c>
      <c r="S148" s="295"/>
      <c r="T148" s="295"/>
      <c r="U148" s="295"/>
      <c r="V148" s="295"/>
      <c r="W148" s="275">
        <f>'0'!AB388</f>
        <v>0</v>
      </c>
      <c r="X148" s="275">
        <f>'0'!AC388</f>
        <v>0</v>
      </c>
      <c r="Y148" s="18"/>
    </row>
    <row r="149" spans="1:25" s="10" customFormat="1" ht="42" customHeight="1" x14ac:dyDescent="0.25">
      <c r="A149" s="29"/>
      <c r="B149" s="63" t="s">
        <v>75</v>
      </c>
      <c r="C149" s="61"/>
      <c r="D149" s="61"/>
      <c r="E149" s="61"/>
      <c r="F149" s="61"/>
      <c r="G149" s="61"/>
      <c r="H149" s="61"/>
      <c r="I149" s="61"/>
      <c r="J149" s="61"/>
      <c r="K149" s="378" t="s">
        <v>111</v>
      </c>
      <c r="L149" s="379">
        <v>100</v>
      </c>
      <c r="M149" s="7"/>
      <c r="N149" s="47"/>
      <c r="O149" s="47"/>
      <c r="P149" s="47"/>
      <c r="Q149" s="47"/>
      <c r="R149" s="275">
        <f>R150+R151</f>
        <v>355211</v>
      </c>
      <c r="S149" s="295"/>
      <c r="T149" s="295"/>
      <c r="U149" s="295"/>
      <c r="V149" s="295"/>
      <c r="W149" s="275">
        <f t="shared" ref="W149:X149" si="35">W150+W151</f>
        <v>429660</v>
      </c>
      <c r="X149" s="275">
        <f t="shared" si="35"/>
        <v>429660</v>
      </c>
      <c r="Y149" s="18"/>
    </row>
    <row r="150" spans="1:25" s="10" customFormat="1" ht="16.5" customHeight="1" x14ac:dyDescent="0.25">
      <c r="A150" s="29"/>
      <c r="B150" s="228" t="s">
        <v>490</v>
      </c>
      <c r="C150" s="69"/>
      <c r="D150" s="69"/>
      <c r="E150" s="69"/>
      <c r="F150" s="69"/>
      <c r="G150" s="69"/>
      <c r="H150" s="69"/>
      <c r="I150" s="69"/>
      <c r="J150" s="69"/>
      <c r="K150" s="382" t="s">
        <v>111</v>
      </c>
      <c r="L150" s="383">
        <v>111</v>
      </c>
      <c r="M150" s="15"/>
      <c r="N150" s="51"/>
      <c r="O150" s="51"/>
      <c r="P150" s="51"/>
      <c r="Q150" s="51"/>
      <c r="R150" s="301">
        <f>'0'!V404+'0'!X404</f>
        <v>280500</v>
      </c>
      <c r="S150" s="295"/>
      <c r="T150" s="295"/>
      <c r="U150" s="295"/>
      <c r="V150" s="295"/>
      <c r="W150" s="301">
        <f>'0'!AB404</f>
        <v>330000</v>
      </c>
      <c r="X150" s="301">
        <f>'0'!AC404</f>
        <v>330000</v>
      </c>
      <c r="Y150" s="18"/>
    </row>
    <row r="151" spans="1:25" s="10" customFormat="1" ht="26.25" customHeight="1" thickBot="1" x14ac:dyDescent="0.3">
      <c r="A151" s="29"/>
      <c r="B151" s="239" t="s">
        <v>491</v>
      </c>
      <c r="C151" s="61"/>
      <c r="D151" s="61"/>
      <c r="E151" s="61"/>
      <c r="F151" s="61"/>
      <c r="G151" s="61"/>
      <c r="H151" s="61"/>
      <c r="I151" s="61"/>
      <c r="J151" s="61"/>
      <c r="K151" s="347" t="s">
        <v>111</v>
      </c>
      <c r="L151" s="348">
        <v>119</v>
      </c>
      <c r="M151" s="7"/>
      <c r="N151" s="47">
        <v>2801000</v>
      </c>
      <c r="O151" s="47">
        <v>0</v>
      </c>
      <c r="P151" s="47">
        <v>0</v>
      </c>
      <c r="Q151" s="47">
        <v>0</v>
      </c>
      <c r="R151" s="268">
        <f>'0'!V405+'0'!X405</f>
        <v>74711</v>
      </c>
      <c r="S151" s="305"/>
      <c r="T151" s="305"/>
      <c r="U151" s="305"/>
      <c r="V151" s="305"/>
      <c r="W151" s="268">
        <f>'0'!AB405</f>
        <v>99660</v>
      </c>
      <c r="X151" s="268">
        <f>'0'!AC405</f>
        <v>99660</v>
      </c>
      <c r="Y151" s="18"/>
    </row>
    <row r="152" spans="1:25" s="10" customFormat="1" ht="39" hidden="1" customHeight="1" x14ac:dyDescent="0.25">
      <c r="A152" s="29"/>
      <c r="B152" s="224" t="s">
        <v>471</v>
      </c>
      <c r="C152" s="61"/>
      <c r="D152" s="61"/>
      <c r="E152" s="61"/>
      <c r="F152" s="61"/>
      <c r="G152" s="61"/>
      <c r="H152" s="61"/>
      <c r="I152" s="61"/>
      <c r="J152" s="61"/>
      <c r="K152" s="347" t="s">
        <v>473</v>
      </c>
      <c r="L152" s="384">
        <v>0</v>
      </c>
      <c r="M152" s="7"/>
      <c r="N152" s="47"/>
      <c r="O152" s="47"/>
      <c r="P152" s="47"/>
      <c r="Q152" s="47"/>
      <c r="R152" s="268">
        <v>0</v>
      </c>
      <c r="S152" s="305"/>
      <c r="T152" s="305"/>
      <c r="U152" s="305"/>
      <c r="V152" s="305"/>
      <c r="W152" s="268">
        <v>0</v>
      </c>
      <c r="X152" s="268">
        <f>X153+X156</f>
        <v>101010.1</v>
      </c>
      <c r="Y152" s="18"/>
    </row>
    <row r="153" spans="1:25" s="10" customFormat="1" ht="53.4" hidden="1" customHeight="1" x14ac:dyDescent="0.25">
      <c r="A153" s="29"/>
      <c r="B153" s="224" t="s">
        <v>485</v>
      </c>
      <c r="C153" s="61"/>
      <c r="D153" s="61"/>
      <c r="E153" s="61"/>
      <c r="F153" s="61"/>
      <c r="G153" s="61"/>
      <c r="H153" s="61"/>
      <c r="I153" s="61"/>
      <c r="J153" s="61"/>
      <c r="K153" s="347" t="s">
        <v>474</v>
      </c>
      <c r="L153" s="384">
        <v>0</v>
      </c>
      <c r="M153" s="7"/>
      <c r="N153" s="47"/>
      <c r="O153" s="47"/>
      <c r="P153" s="47"/>
      <c r="Q153" s="47"/>
      <c r="R153" s="268">
        <v>0</v>
      </c>
      <c r="S153" s="305"/>
      <c r="T153" s="305"/>
      <c r="U153" s="305"/>
      <c r="V153" s="305"/>
      <c r="W153" s="268">
        <v>0</v>
      </c>
      <c r="X153" s="268">
        <f>X155</f>
        <v>100000</v>
      </c>
      <c r="Y153" s="18"/>
    </row>
    <row r="154" spans="1:25" s="10" customFormat="1" ht="29.25" hidden="1" customHeight="1" x14ac:dyDescent="0.25">
      <c r="A154" s="29"/>
      <c r="B154" s="151" t="s">
        <v>128</v>
      </c>
      <c r="C154" s="61"/>
      <c r="D154" s="61"/>
      <c r="E154" s="61"/>
      <c r="F154" s="61"/>
      <c r="G154" s="61"/>
      <c r="H154" s="61"/>
      <c r="I154" s="61"/>
      <c r="J154" s="61"/>
      <c r="K154" s="347" t="s">
        <v>474</v>
      </c>
      <c r="L154" s="348">
        <v>200</v>
      </c>
      <c r="M154" s="7"/>
      <c r="N154" s="47"/>
      <c r="O154" s="47"/>
      <c r="P154" s="47"/>
      <c r="Q154" s="47"/>
      <c r="R154" s="268">
        <f>R155+R156</f>
        <v>0</v>
      </c>
      <c r="S154" s="295"/>
      <c r="T154" s="295"/>
      <c r="U154" s="295"/>
      <c r="V154" s="295"/>
      <c r="W154" s="268">
        <f>W155+W156</f>
        <v>0</v>
      </c>
      <c r="X154" s="268">
        <f>X155</f>
        <v>100000</v>
      </c>
      <c r="Y154" s="18"/>
    </row>
    <row r="155" spans="1:25" s="10" customFormat="1" ht="23.4" hidden="1" customHeight="1" x14ac:dyDescent="0.25">
      <c r="A155" s="29"/>
      <c r="B155" s="229" t="s">
        <v>506</v>
      </c>
      <c r="C155" s="61"/>
      <c r="D155" s="61"/>
      <c r="E155" s="61"/>
      <c r="F155" s="61"/>
      <c r="G155" s="61"/>
      <c r="H155" s="61"/>
      <c r="I155" s="61"/>
      <c r="J155" s="61"/>
      <c r="K155" s="347" t="s">
        <v>474</v>
      </c>
      <c r="L155" s="385">
        <v>244</v>
      </c>
      <c r="M155" s="7"/>
      <c r="N155" s="47"/>
      <c r="O155" s="47"/>
      <c r="P155" s="47"/>
      <c r="Q155" s="47"/>
      <c r="R155" s="268">
        <v>0</v>
      </c>
      <c r="S155" s="305"/>
      <c r="T155" s="305"/>
      <c r="U155" s="305"/>
      <c r="V155" s="305"/>
      <c r="W155" s="268">
        <v>0</v>
      </c>
      <c r="X155" s="268">
        <f>'0'!AC399</f>
        <v>100000</v>
      </c>
      <c r="Y155" s="18"/>
    </row>
    <row r="156" spans="1:25" s="10" customFormat="1" ht="41.4" hidden="1" customHeight="1" x14ac:dyDescent="0.25">
      <c r="A156" s="29"/>
      <c r="B156" s="224" t="s">
        <v>511</v>
      </c>
      <c r="C156" s="61"/>
      <c r="D156" s="61"/>
      <c r="E156" s="61"/>
      <c r="F156" s="61"/>
      <c r="G156" s="61"/>
      <c r="H156" s="61"/>
      <c r="I156" s="61"/>
      <c r="J156" s="61"/>
      <c r="K156" s="347" t="s">
        <v>475</v>
      </c>
      <c r="L156" s="384">
        <v>0</v>
      </c>
      <c r="M156" s="7"/>
      <c r="N156" s="47"/>
      <c r="O156" s="47"/>
      <c r="P156" s="47"/>
      <c r="Q156" s="47"/>
      <c r="R156" s="268">
        <v>0</v>
      </c>
      <c r="S156" s="305"/>
      <c r="T156" s="305"/>
      <c r="U156" s="305"/>
      <c r="V156" s="305"/>
      <c r="W156" s="268">
        <v>0</v>
      </c>
      <c r="X156" s="268">
        <f>X158</f>
        <v>1010.1</v>
      </c>
      <c r="Y156" s="18"/>
    </row>
    <row r="157" spans="1:25" s="10" customFormat="1" ht="29.25" hidden="1" customHeight="1" x14ac:dyDescent="0.25">
      <c r="A157" s="29"/>
      <c r="B157" s="151" t="s">
        <v>128</v>
      </c>
      <c r="C157" s="61"/>
      <c r="D157" s="61"/>
      <c r="E157" s="61"/>
      <c r="F157" s="61"/>
      <c r="G157" s="61"/>
      <c r="H157" s="61"/>
      <c r="I157" s="61"/>
      <c r="J157" s="61"/>
      <c r="K157" s="347" t="s">
        <v>475</v>
      </c>
      <c r="L157" s="348">
        <v>200</v>
      </c>
      <c r="M157" s="7"/>
      <c r="N157" s="47"/>
      <c r="O157" s="47"/>
      <c r="P157" s="47"/>
      <c r="Q157" s="47"/>
      <c r="R157" s="268">
        <v>0</v>
      </c>
      <c r="S157" s="295"/>
      <c r="T157" s="295"/>
      <c r="U157" s="295"/>
      <c r="V157" s="295"/>
      <c r="W157" s="268">
        <v>0</v>
      </c>
      <c r="X157" s="268">
        <f>X158</f>
        <v>1010.1</v>
      </c>
      <c r="Y157" s="18"/>
    </row>
    <row r="158" spans="1:25" s="10" customFormat="1" ht="26.4" hidden="1" customHeight="1" thickBot="1" x14ac:dyDescent="0.3">
      <c r="A158" s="29"/>
      <c r="B158" s="229" t="s">
        <v>506</v>
      </c>
      <c r="C158" s="221"/>
      <c r="D158" s="221"/>
      <c r="E158" s="221"/>
      <c r="F158" s="221"/>
      <c r="G158" s="221"/>
      <c r="H158" s="221"/>
      <c r="I158" s="221"/>
      <c r="J158" s="221"/>
      <c r="K158" s="382" t="s">
        <v>475</v>
      </c>
      <c r="L158" s="386">
        <v>244</v>
      </c>
      <c r="M158" s="222"/>
      <c r="N158" s="223"/>
      <c r="O158" s="223"/>
      <c r="P158" s="223"/>
      <c r="Q158" s="223"/>
      <c r="R158" s="299">
        <v>0</v>
      </c>
      <c r="S158" s="295"/>
      <c r="T158" s="295"/>
      <c r="U158" s="295"/>
      <c r="V158" s="295"/>
      <c r="W158" s="299">
        <v>0</v>
      </c>
      <c r="X158" s="299">
        <f>'0'!AC400</f>
        <v>1010.1</v>
      </c>
      <c r="Y158" s="18"/>
    </row>
    <row r="159" spans="1:25" s="36" customFormat="1" ht="39.75" customHeight="1" thickBot="1" x14ac:dyDescent="0.3">
      <c r="A159" s="34"/>
      <c r="B159" s="194" t="s">
        <v>452</v>
      </c>
      <c r="C159" s="129"/>
      <c r="D159" s="129"/>
      <c r="E159" s="129"/>
      <c r="F159" s="129"/>
      <c r="G159" s="129"/>
      <c r="H159" s="129"/>
      <c r="I159" s="129"/>
      <c r="J159" s="129"/>
      <c r="K159" s="372" t="s">
        <v>113</v>
      </c>
      <c r="L159" s="373">
        <v>0</v>
      </c>
      <c r="M159" s="120"/>
      <c r="N159" s="121"/>
      <c r="O159" s="121"/>
      <c r="P159" s="121"/>
      <c r="Q159" s="121"/>
      <c r="R159" s="264">
        <f>R160+R165+R168</f>
        <v>1778080</v>
      </c>
      <c r="S159" s="298"/>
      <c r="T159" s="298"/>
      <c r="U159" s="298"/>
      <c r="V159" s="298"/>
      <c r="W159" s="264">
        <f t="shared" ref="W159:X159" si="36">W160+W165</f>
        <v>1951000</v>
      </c>
      <c r="X159" s="264">
        <f t="shared" si="36"/>
        <v>1951000</v>
      </c>
      <c r="Y159" s="35">
        <v>4683453.0999999996</v>
      </c>
    </row>
    <row r="160" spans="1:25" s="10" customFormat="1" ht="51.75" customHeight="1" x14ac:dyDescent="0.25">
      <c r="A160" s="29"/>
      <c r="B160" s="109" t="s">
        <v>453</v>
      </c>
      <c r="C160" s="71"/>
      <c r="D160" s="71"/>
      <c r="E160" s="71"/>
      <c r="F160" s="71"/>
      <c r="G160" s="71"/>
      <c r="H160" s="71"/>
      <c r="I160" s="71"/>
      <c r="J160" s="71"/>
      <c r="K160" s="378" t="s">
        <v>114</v>
      </c>
      <c r="L160" s="374">
        <v>0</v>
      </c>
      <c r="M160" s="17"/>
      <c r="N160" s="52"/>
      <c r="O160" s="52"/>
      <c r="P160" s="52"/>
      <c r="Q160" s="52"/>
      <c r="R160" s="278">
        <f>R161</f>
        <v>485000</v>
      </c>
      <c r="S160" s="295"/>
      <c r="T160" s="295"/>
      <c r="U160" s="295"/>
      <c r="V160" s="295"/>
      <c r="W160" s="278">
        <f t="shared" ref="W160:X160" si="37">W161</f>
        <v>651000</v>
      </c>
      <c r="X160" s="278">
        <f t="shared" si="37"/>
        <v>651000</v>
      </c>
      <c r="Y160" s="18"/>
    </row>
    <row r="161" spans="1:25" s="10" customFormat="1" ht="39.75" customHeight="1" x14ac:dyDescent="0.25">
      <c r="A161" s="29"/>
      <c r="B161" s="63" t="s">
        <v>75</v>
      </c>
      <c r="C161" s="61"/>
      <c r="D161" s="61"/>
      <c r="E161" s="61"/>
      <c r="F161" s="61"/>
      <c r="G161" s="61"/>
      <c r="H161" s="61"/>
      <c r="I161" s="61"/>
      <c r="J161" s="61"/>
      <c r="K161" s="378" t="s">
        <v>114</v>
      </c>
      <c r="L161" s="348">
        <v>100</v>
      </c>
      <c r="M161" s="7"/>
      <c r="N161" s="47"/>
      <c r="O161" s="47"/>
      <c r="P161" s="47"/>
      <c r="Q161" s="47"/>
      <c r="R161" s="268">
        <f>R162+R164+R163</f>
        <v>485000</v>
      </c>
      <c r="S161" s="295"/>
      <c r="T161" s="295"/>
      <c r="U161" s="295"/>
      <c r="V161" s="295"/>
      <c r="W161" s="268">
        <f t="shared" ref="W161:X161" si="38">W162+W164+W163</f>
        <v>651000</v>
      </c>
      <c r="X161" s="268">
        <f t="shared" si="38"/>
        <v>651000</v>
      </c>
      <c r="Y161" s="18"/>
    </row>
    <row r="162" spans="1:25" s="10" customFormat="1" x14ac:dyDescent="0.25">
      <c r="A162" s="29"/>
      <c r="B162" s="239" t="s">
        <v>490</v>
      </c>
      <c r="C162" s="61"/>
      <c r="D162" s="61"/>
      <c r="E162" s="61"/>
      <c r="F162" s="61"/>
      <c r="G162" s="61"/>
      <c r="H162" s="61"/>
      <c r="I162" s="61"/>
      <c r="J162" s="61"/>
      <c r="K162" s="378" t="s">
        <v>114</v>
      </c>
      <c r="L162" s="348">
        <v>111</v>
      </c>
      <c r="M162" s="7"/>
      <c r="N162" s="47"/>
      <c r="O162" s="47"/>
      <c r="P162" s="47"/>
      <c r="Q162" s="47"/>
      <c r="R162" s="268">
        <f>'0'!V418+'0'!V420</f>
        <v>360340.66000000003</v>
      </c>
      <c r="S162" s="295"/>
      <c r="T162" s="295"/>
      <c r="U162" s="295"/>
      <c r="V162" s="295"/>
      <c r="W162" s="268">
        <f>'0'!AB418</f>
        <v>500000</v>
      </c>
      <c r="X162" s="268">
        <f>'0'!AC418</f>
        <v>500000</v>
      </c>
      <c r="Y162" s="18"/>
    </row>
    <row r="163" spans="1:25" s="10" customFormat="1" x14ac:dyDescent="0.25">
      <c r="A163" s="29"/>
      <c r="B163" s="239" t="s">
        <v>487</v>
      </c>
      <c r="C163" s="61"/>
      <c r="D163" s="61"/>
      <c r="E163" s="61"/>
      <c r="F163" s="61"/>
      <c r="G163" s="61"/>
      <c r="H163" s="61"/>
      <c r="I163" s="61"/>
      <c r="J163" s="61"/>
      <c r="K163" s="378" t="s">
        <v>114</v>
      </c>
      <c r="L163" s="348">
        <v>112</v>
      </c>
      <c r="M163" s="7"/>
      <c r="N163" s="47"/>
      <c r="O163" s="47"/>
      <c r="P163" s="47"/>
      <c r="Q163" s="47"/>
      <c r="R163" s="268">
        <f>'0'!V429</f>
        <v>2000</v>
      </c>
      <c r="S163" s="295"/>
      <c r="T163" s="295"/>
      <c r="U163" s="295"/>
      <c r="V163" s="295"/>
      <c r="W163" s="268">
        <f>'0'!AB429</f>
        <v>0</v>
      </c>
      <c r="X163" s="268">
        <f>'0'!AC429</f>
        <v>0</v>
      </c>
      <c r="Y163" s="18"/>
    </row>
    <row r="164" spans="1:25" s="10" customFormat="1" ht="26.25" customHeight="1" x14ac:dyDescent="0.25">
      <c r="A164" s="29"/>
      <c r="B164" s="239" t="s">
        <v>491</v>
      </c>
      <c r="C164" s="61"/>
      <c r="D164" s="61"/>
      <c r="E164" s="61"/>
      <c r="F164" s="61"/>
      <c r="G164" s="61"/>
      <c r="H164" s="61"/>
      <c r="I164" s="61"/>
      <c r="J164" s="61"/>
      <c r="K164" s="378" t="s">
        <v>114</v>
      </c>
      <c r="L164" s="348">
        <v>119</v>
      </c>
      <c r="M164" s="7"/>
      <c r="N164" s="47">
        <v>2801000</v>
      </c>
      <c r="O164" s="47">
        <v>0</v>
      </c>
      <c r="P164" s="47">
        <v>0</v>
      </c>
      <c r="Q164" s="47">
        <v>0</v>
      </c>
      <c r="R164" s="268">
        <f>'0'!V419+'0'!V421</f>
        <v>122659.34</v>
      </c>
      <c r="S164" s="295"/>
      <c r="T164" s="295"/>
      <c r="U164" s="295"/>
      <c r="V164" s="295"/>
      <c r="W164" s="268">
        <f>'0'!AB419</f>
        <v>151000</v>
      </c>
      <c r="X164" s="268">
        <f>'0'!AC419</f>
        <v>151000</v>
      </c>
      <c r="Y164" s="18"/>
    </row>
    <row r="165" spans="1:25" s="10" customFormat="1" ht="20.399999999999999" customHeight="1" x14ac:dyDescent="0.25">
      <c r="A165" s="29"/>
      <c r="B165" s="70" t="s">
        <v>470</v>
      </c>
      <c r="C165" s="71"/>
      <c r="D165" s="71"/>
      <c r="E165" s="71"/>
      <c r="F165" s="71"/>
      <c r="G165" s="71"/>
      <c r="H165" s="71"/>
      <c r="I165" s="71"/>
      <c r="J165" s="71"/>
      <c r="K165" s="378" t="s">
        <v>114</v>
      </c>
      <c r="L165" s="374">
        <v>0</v>
      </c>
      <c r="M165" s="17"/>
      <c r="N165" s="52"/>
      <c r="O165" s="52"/>
      <c r="P165" s="52"/>
      <c r="Q165" s="52"/>
      <c r="R165" s="278">
        <f>R167</f>
        <v>1185080</v>
      </c>
      <c r="S165" s="295"/>
      <c r="T165" s="295"/>
      <c r="U165" s="295"/>
      <c r="V165" s="295"/>
      <c r="W165" s="278">
        <f>W167</f>
        <v>1300000</v>
      </c>
      <c r="X165" s="278">
        <f t="shared" ref="X165" si="39">X167</f>
        <v>1300000</v>
      </c>
      <c r="Y165" s="18"/>
    </row>
    <row r="166" spans="1:25" s="10" customFormat="1" ht="23.25" customHeight="1" x14ac:dyDescent="0.25">
      <c r="A166" s="29"/>
      <c r="B166" s="151" t="s">
        <v>128</v>
      </c>
      <c r="C166" s="71"/>
      <c r="D166" s="71"/>
      <c r="E166" s="71"/>
      <c r="F166" s="71"/>
      <c r="G166" s="71"/>
      <c r="H166" s="71"/>
      <c r="I166" s="71"/>
      <c r="J166" s="71"/>
      <c r="K166" s="378" t="s">
        <v>114</v>
      </c>
      <c r="L166" s="374">
        <v>200</v>
      </c>
      <c r="M166" s="17"/>
      <c r="N166" s="52"/>
      <c r="O166" s="52"/>
      <c r="P166" s="52"/>
      <c r="Q166" s="52"/>
      <c r="R166" s="268">
        <f>R167</f>
        <v>1185080</v>
      </c>
      <c r="S166" s="295"/>
      <c r="T166" s="295"/>
      <c r="U166" s="295"/>
      <c r="V166" s="295"/>
      <c r="W166" s="268">
        <f t="shared" ref="W166:X166" si="40">W167</f>
        <v>1300000</v>
      </c>
      <c r="X166" s="268">
        <f t="shared" si="40"/>
        <v>1300000</v>
      </c>
      <c r="Y166" s="18"/>
    </row>
    <row r="167" spans="1:25" s="10" customFormat="1" ht="26.25" customHeight="1" x14ac:dyDescent="0.25">
      <c r="A167" s="29"/>
      <c r="B167" s="229" t="s">
        <v>506</v>
      </c>
      <c r="C167" s="69"/>
      <c r="D167" s="69"/>
      <c r="E167" s="69"/>
      <c r="F167" s="69"/>
      <c r="G167" s="69"/>
      <c r="H167" s="69"/>
      <c r="I167" s="69"/>
      <c r="J167" s="69"/>
      <c r="K167" s="378" t="s">
        <v>114</v>
      </c>
      <c r="L167" s="377">
        <v>244</v>
      </c>
      <c r="M167" s="15"/>
      <c r="N167" s="51"/>
      <c r="O167" s="51"/>
      <c r="P167" s="51"/>
      <c r="Q167" s="51"/>
      <c r="R167" s="273">
        <f>'0'!V435+'0'!X435</f>
        <v>1185080</v>
      </c>
      <c r="S167" s="295"/>
      <c r="T167" s="295"/>
      <c r="U167" s="295"/>
      <c r="V167" s="295"/>
      <c r="W167" s="273">
        <f>'0'!AB435</f>
        <v>1300000</v>
      </c>
      <c r="X167" s="273">
        <f>'0'!AC435</f>
        <v>1300000</v>
      </c>
      <c r="Y167" s="18"/>
    </row>
    <row r="168" spans="1:25" s="10" customFormat="1" ht="39.75" customHeight="1" x14ac:dyDescent="0.25">
      <c r="A168" s="29"/>
      <c r="B168" s="63" t="s">
        <v>75</v>
      </c>
      <c r="C168" s="61"/>
      <c r="D168" s="61"/>
      <c r="E168" s="61"/>
      <c r="F168" s="61"/>
      <c r="G168" s="61"/>
      <c r="H168" s="61"/>
      <c r="I168" s="61"/>
      <c r="J168" s="61"/>
      <c r="K168" s="378" t="s">
        <v>633</v>
      </c>
      <c r="L168" s="348">
        <v>100</v>
      </c>
      <c r="M168" s="7"/>
      <c r="N168" s="47"/>
      <c r="O168" s="47"/>
      <c r="P168" s="47"/>
      <c r="Q168" s="47"/>
      <c r="R168" s="268">
        <f>'по нов.7'!R169+'по нов.7'!R170</f>
        <v>108000</v>
      </c>
      <c r="S168" s="295"/>
      <c r="T168" s="295"/>
      <c r="U168" s="295"/>
      <c r="V168" s="295"/>
      <c r="W168" s="268"/>
      <c r="X168" s="268"/>
      <c r="Y168" s="18"/>
    </row>
    <row r="169" spans="1:25" s="10" customFormat="1" x14ac:dyDescent="0.25">
      <c r="A169" s="29"/>
      <c r="B169" s="239" t="s">
        <v>490</v>
      </c>
      <c r="C169" s="61"/>
      <c r="D169" s="61"/>
      <c r="E169" s="61"/>
      <c r="F169" s="61"/>
      <c r="G169" s="61"/>
      <c r="H169" s="61"/>
      <c r="I169" s="61"/>
      <c r="J169" s="61"/>
      <c r="K169" s="378" t="s">
        <v>633</v>
      </c>
      <c r="L169" s="348">
        <v>111</v>
      </c>
      <c r="M169" s="7"/>
      <c r="N169" s="47"/>
      <c r="O169" s="47"/>
      <c r="P169" s="47"/>
      <c r="Q169" s="47"/>
      <c r="R169" s="268">
        <f>'0'!V422</f>
        <v>72340.66</v>
      </c>
      <c r="S169" s="295"/>
      <c r="T169" s="295"/>
      <c r="U169" s="295"/>
      <c r="V169" s="295"/>
      <c r="W169" s="268"/>
      <c r="X169" s="268"/>
      <c r="Y169" s="18"/>
    </row>
    <row r="170" spans="1:25" s="10" customFormat="1" ht="26.25" customHeight="1" thickBot="1" x14ac:dyDescent="0.3">
      <c r="A170" s="29"/>
      <c r="B170" s="239" t="s">
        <v>491</v>
      </c>
      <c r="C170" s="61"/>
      <c r="D170" s="61"/>
      <c r="E170" s="61"/>
      <c r="F170" s="61"/>
      <c r="G170" s="61"/>
      <c r="H170" s="61"/>
      <c r="I170" s="61"/>
      <c r="J170" s="61"/>
      <c r="K170" s="378" t="s">
        <v>633</v>
      </c>
      <c r="L170" s="348">
        <v>119</v>
      </c>
      <c r="M170" s="7"/>
      <c r="N170" s="47">
        <v>2801000</v>
      </c>
      <c r="O170" s="47">
        <v>0</v>
      </c>
      <c r="P170" s="47">
        <v>0</v>
      </c>
      <c r="Q170" s="47">
        <v>0</v>
      </c>
      <c r="R170" s="268">
        <f>'0'!V423</f>
        <v>35659.339999999997</v>
      </c>
      <c r="S170" s="295"/>
      <c r="T170" s="295"/>
      <c r="U170" s="295"/>
      <c r="V170" s="295"/>
      <c r="W170" s="268"/>
      <c r="X170" s="268"/>
      <c r="Y170" s="18"/>
    </row>
    <row r="171" spans="1:25" s="36" customFormat="1" ht="51.75" customHeight="1" thickBot="1" x14ac:dyDescent="0.3">
      <c r="A171" s="34"/>
      <c r="B171" s="197" t="s">
        <v>454</v>
      </c>
      <c r="C171" s="198"/>
      <c r="D171" s="199"/>
      <c r="E171" s="200"/>
      <c r="F171" s="200"/>
      <c r="G171" s="200"/>
      <c r="H171" s="200"/>
      <c r="I171" s="200"/>
      <c r="J171" s="201"/>
      <c r="K171" s="372" t="s">
        <v>115</v>
      </c>
      <c r="L171" s="352">
        <v>0</v>
      </c>
      <c r="M171" s="120"/>
      <c r="N171" s="121"/>
      <c r="O171" s="121"/>
      <c r="P171" s="121"/>
      <c r="Q171" s="121"/>
      <c r="R171" s="264">
        <f>R175</f>
        <v>709680</v>
      </c>
      <c r="S171" s="298"/>
      <c r="T171" s="298"/>
      <c r="U171" s="298"/>
      <c r="V171" s="298"/>
      <c r="W171" s="264">
        <f t="shared" ref="W171:X171" si="41">W175</f>
        <v>0</v>
      </c>
      <c r="X171" s="264">
        <f t="shared" si="41"/>
        <v>0</v>
      </c>
      <c r="Y171" s="35"/>
    </row>
    <row r="172" spans="1:25" s="10" customFormat="1" ht="12.75" hidden="1" customHeight="1" thickBot="1" x14ac:dyDescent="0.3">
      <c r="A172" s="29"/>
      <c r="B172" s="111" t="s">
        <v>58</v>
      </c>
      <c r="C172" s="104"/>
      <c r="D172" s="105"/>
      <c r="E172" s="106"/>
      <c r="F172" s="106"/>
      <c r="G172" s="106"/>
      <c r="H172" s="106"/>
      <c r="I172" s="106"/>
      <c r="J172" s="107"/>
      <c r="K172" s="360">
        <v>2190100</v>
      </c>
      <c r="L172" s="361">
        <v>111</v>
      </c>
      <c r="M172" s="17"/>
      <c r="N172" s="52"/>
      <c r="O172" s="52"/>
      <c r="P172" s="52"/>
      <c r="Q172" s="52"/>
      <c r="R172" s="278"/>
      <c r="S172" s="295"/>
      <c r="T172" s="295"/>
      <c r="U172" s="295"/>
      <c r="V172" s="295"/>
      <c r="W172" s="278"/>
      <c r="X172" s="278"/>
      <c r="Y172" s="18"/>
    </row>
    <row r="173" spans="1:25" s="10" customFormat="1" ht="51" customHeight="1" x14ac:dyDescent="0.25">
      <c r="A173" s="29"/>
      <c r="B173" s="63" t="s">
        <v>494</v>
      </c>
      <c r="C173" s="72"/>
      <c r="D173" s="73"/>
      <c r="E173" s="74"/>
      <c r="F173" s="74"/>
      <c r="G173" s="74"/>
      <c r="H173" s="74"/>
      <c r="I173" s="74"/>
      <c r="J173" s="75"/>
      <c r="K173" s="353" t="s">
        <v>116</v>
      </c>
      <c r="L173" s="354">
        <v>0</v>
      </c>
      <c r="M173" s="7"/>
      <c r="N173" s="47"/>
      <c r="O173" s="47"/>
      <c r="P173" s="47"/>
      <c r="Q173" s="47"/>
      <c r="R173" s="268">
        <f>R174</f>
        <v>709680</v>
      </c>
      <c r="S173" s="295"/>
      <c r="T173" s="295"/>
      <c r="U173" s="295"/>
      <c r="V173" s="295"/>
      <c r="W173" s="268">
        <f t="shared" ref="W173:X174" si="42">W174</f>
        <v>0</v>
      </c>
      <c r="X173" s="268">
        <f t="shared" si="42"/>
        <v>0</v>
      </c>
      <c r="Y173" s="18"/>
    </row>
    <row r="174" spans="1:25" s="10" customFormat="1" ht="26.25" customHeight="1" x14ac:dyDescent="0.25">
      <c r="A174" s="29"/>
      <c r="B174" s="151" t="s">
        <v>128</v>
      </c>
      <c r="C174" s="72"/>
      <c r="D174" s="73"/>
      <c r="E174" s="74"/>
      <c r="F174" s="74"/>
      <c r="G174" s="74"/>
      <c r="H174" s="74"/>
      <c r="I174" s="74"/>
      <c r="J174" s="75"/>
      <c r="K174" s="353" t="s">
        <v>116</v>
      </c>
      <c r="L174" s="354">
        <v>200</v>
      </c>
      <c r="M174" s="7"/>
      <c r="N174" s="47"/>
      <c r="O174" s="47"/>
      <c r="P174" s="47"/>
      <c r="Q174" s="47"/>
      <c r="R174" s="268">
        <f>R175</f>
        <v>709680</v>
      </c>
      <c r="S174" s="295"/>
      <c r="T174" s="295"/>
      <c r="U174" s="295"/>
      <c r="V174" s="295"/>
      <c r="W174" s="268">
        <f t="shared" si="42"/>
        <v>0</v>
      </c>
      <c r="X174" s="268">
        <f t="shared" si="42"/>
        <v>0</v>
      </c>
      <c r="Y174" s="18"/>
    </row>
    <row r="175" spans="1:25" s="10" customFormat="1" ht="24.75" customHeight="1" thickBot="1" x14ac:dyDescent="0.3">
      <c r="A175" s="29"/>
      <c r="B175" s="229" t="s">
        <v>506</v>
      </c>
      <c r="C175" s="80"/>
      <c r="D175" s="81"/>
      <c r="E175" s="82"/>
      <c r="F175" s="82"/>
      <c r="G175" s="82"/>
      <c r="H175" s="82"/>
      <c r="I175" s="82"/>
      <c r="J175" s="83"/>
      <c r="K175" s="353" t="s">
        <v>116</v>
      </c>
      <c r="L175" s="356">
        <v>244</v>
      </c>
      <c r="M175" s="15"/>
      <c r="N175" s="51"/>
      <c r="O175" s="51"/>
      <c r="P175" s="51"/>
      <c r="Q175" s="51"/>
      <c r="R175" s="273">
        <f>'0'!V178+'0'!X178</f>
        <v>709680</v>
      </c>
      <c r="S175" s="295"/>
      <c r="T175" s="295"/>
      <c r="U175" s="295"/>
      <c r="V175" s="295"/>
      <c r="W175" s="273">
        <f>'0'!AB178</f>
        <v>0</v>
      </c>
      <c r="X175" s="273">
        <f>'0'!AC178</f>
        <v>0</v>
      </c>
      <c r="Y175" s="18"/>
    </row>
    <row r="176" spans="1:25" s="36" customFormat="1" ht="40.5" customHeight="1" thickBot="1" x14ac:dyDescent="0.3">
      <c r="A176" s="34"/>
      <c r="B176" s="192" t="s">
        <v>455</v>
      </c>
      <c r="C176" s="129"/>
      <c r="D176" s="129"/>
      <c r="E176" s="129"/>
      <c r="F176" s="129"/>
      <c r="G176" s="129"/>
      <c r="H176" s="129"/>
      <c r="I176" s="129"/>
      <c r="J176" s="129"/>
      <c r="K176" s="351" t="s">
        <v>117</v>
      </c>
      <c r="L176" s="352">
        <v>0</v>
      </c>
      <c r="M176" s="120"/>
      <c r="N176" s="121"/>
      <c r="O176" s="121"/>
      <c r="P176" s="121"/>
      <c r="Q176" s="121"/>
      <c r="R176" s="264">
        <f>R179+R181+R183+R191+R194+R197+R200</f>
        <v>5187442.16</v>
      </c>
      <c r="S176" s="264">
        <f t="shared" ref="S176:X176" si="43">S179+S181+S183+S191+S194+S197+S200</f>
        <v>0</v>
      </c>
      <c r="T176" s="264">
        <f t="shared" si="43"/>
        <v>0</v>
      </c>
      <c r="U176" s="264">
        <f t="shared" si="43"/>
        <v>0</v>
      </c>
      <c r="V176" s="264">
        <f t="shared" si="43"/>
        <v>0</v>
      </c>
      <c r="W176" s="264">
        <f t="shared" si="43"/>
        <v>3788012.5</v>
      </c>
      <c r="X176" s="264">
        <f t="shared" si="43"/>
        <v>3946422.5</v>
      </c>
      <c r="Y176" s="35"/>
    </row>
    <row r="177" spans="1:25" s="10" customFormat="1" ht="51" customHeight="1" x14ac:dyDescent="0.25">
      <c r="A177" s="29"/>
      <c r="B177" s="109" t="s">
        <v>514</v>
      </c>
      <c r="C177" s="71"/>
      <c r="D177" s="71"/>
      <c r="E177" s="71"/>
      <c r="F177" s="71"/>
      <c r="G177" s="71"/>
      <c r="H177" s="71"/>
      <c r="I177" s="71"/>
      <c r="J177" s="71"/>
      <c r="K177" s="353" t="s">
        <v>132</v>
      </c>
      <c r="L177" s="361">
        <v>0</v>
      </c>
      <c r="M177" s="17"/>
      <c r="N177" s="52"/>
      <c r="O177" s="52"/>
      <c r="P177" s="52"/>
      <c r="Q177" s="52"/>
      <c r="R177" s="278">
        <f>R178</f>
        <v>245898.63</v>
      </c>
      <c r="S177" s="295"/>
      <c r="T177" s="295"/>
      <c r="U177" s="295"/>
      <c r="V177" s="295"/>
      <c r="W177" s="278">
        <f t="shared" ref="W177:X178" si="44">W178</f>
        <v>0</v>
      </c>
      <c r="X177" s="278">
        <f t="shared" si="44"/>
        <v>0</v>
      </c>
      <c r="Y177" s="18"/>
    </row>
    <row r="178" spans="1:25" s="10" customFormat="1" ht="16.5" customHeight="1" x14ac:dyDescent="0.25">
      <c r="A178" s="29"/>
      <c r="B178" s="63" t="s">
        <v>78</v>
      </c>
      <c r="C178" s="61"/>
      <c r="D178" s="61"/>
      <c r="E178" s="61"/>
      <c r="F178" s="61"/>
      <c r="G178" s="61"/>
      <c r="H178" s="61"/>
      <c r="I178" s="61"/>
      <c r="J178" s="61"/>
      <c r="K178" s="353" t="s">
        <v>132</v>
      </c>
      <c r="L178" s="354">
        <v>800</v>
      </c>
      <c r="M178" s="7"/>
      <c r="N178" s="47"/>
      <c r="O178" s="47"/>
      <c r="P178" s="47"/>
      <c r="Q178" s="47"/>
      <c r="R178" s="268">
        <f>R179</f>
        <v>245898.63</v>
      </c>
      <c r="S178" s="295"/>
      <c r="T178" s="295"/>
      <c r="U178" s="295"/>
      <c r="V178" s="295"/>
      <c r="W178" s="268">
        <f t="shared" si="44"/>
        <v>0</v>
      </c>
      <c r="X178" s="268">
        <f t="shared" si="44"/>
        <v>0</v>
      </c>
      <c r="Y178" s="18"/>
    </row>
    <row r="179" spans="1:25" s="10" customFormat="1" ht="40.5" customHeight="1" x14ac:dyDescent="0.25">
      <c r="A179" s="29"/>
      <c r="B179" s="239" t="s">
        <v>407</v>
      </c>
      <c r="C179" s="61"/>
      <c r="D179" s="61"/>
      <c r="E179" s="61"/>
      <c r="F179" s="61"/>
      <c r="G179" s="61"/>
      <c r="H179" s="61"/>
      <c r="I179" s="61"/>
      <c r="J179" s="61"/>
      <c r="K179" s="353" t="s">
        <v>132</v>
      </c>
      <c r="L179" s="354">
        <v>810</v>
      </c>
      <c r="M179" s="7"/>
      <c r="N179" s="47"/>
      <c r="O179" s="47"/>
      <c r="P179" s="47"/>
      <c r="Q179" s="47"/>
      <c r="R179" s="268">
        <f>'0'!V252+'0'!X252</f>
        <v>245898.63</v>
      </c>
      <c r="S179" s="295"/>
      <c r="T179" s="295"/>
      <c r="U179" s="295"/>
      <c r="V179" s="295"/>
      <c r="W179" s="268">
        <f>'0'!AB252</f>
        <v>0</v>
      </c>
      <c r="X179" s="268">
        <f>'0'!AD252</f>
        <v>0</v>
      </c>
      <c r="Y179" s="18"/>
    </row>
    <row r="180" spans="1:25" s="10" customFormat="1" ht="62.25" customHeight="1" x14ac:dyDescent="0.25">
      <c r="A180" s="29"/>
      <c r="B180" s="77" t="s">
        <v>504</v>
      </c>
      <c r="C180" s="61"/>
      <c r="D180" s="61"/>
      <c r="E180" s="61"/>
      <c r="F180" s="61"/>
      <c r="G180" s="61"/>
      <c r="H180" s="61"/>
      <c r="I180" s="61"/>
      <c r="J180" s="61"/>
      <c r="K180" s="353" t="s">
        <v>129</v>
      </c>
      <c r="L180" s="354">
        <v>0</v>
      </c>
      <c r="M180" s="7"/>
      <c r="N180" s="47"/>
      <c r="O180" s="47"/>
      <c r="P180" s="47"/>
      <c r="Q180" s="47"/>
      <c r="R180" s="268">
        <f>R181</f>
        <v>3633270</v>
      </c>
      <c r="S180" s="295"/>
      <c r="T180" s="295"/>
      <c r="U180" s="295"/>
      <c r="V180" s="295"/>
      <c r="W180" s="268">
        <f t="shared" ref="W180:X181" si="45">W181</f>
        <v>3785310</v>
      </c>
      <c r="X180" s="268">
        <f t="shared" si="45"/>
        <v>3943720</v>
      </c>
      <c r="Y180" s="18"/>
    </row>
    <row r="181" spans="1:25" s="10" customFormat="1" ht="18" customHeight="1" x14ac:dyDescent="0.25">
      <c r="A181" s="29"/>
      <c r="B181" s="63" t="s">
        <v>78</v>
      </c>
      <c r="C181" s="61"/>
      <c r="D181" s="61"/>
      <c r="E181" s="61"/>
      <c r="F181" s="61"/>
      <c r="G181" s="61"/>
      <c r="H181" s="61"/>
      <c r="I181" s="61"/>
      <c r="J181" s="61"/>
      <c r="K181" s="353" t="s">
        <v>129</v>
      </c>
      <c r="L181" s="354">
        <v>800</v>
      </c>
      <c r="M181" s="7"/>
      <c r="N181" s="47"/>
      <c r="O181" s="47"/>
      <c r="P181" s="47"/>
      <c r="Q181" s="47"/>
      <c r="R181" s="268">
        <f>R182</f>
        <v>3633270</v>
      </c>
      <c r="S181" s="295"/>
      <c r="T181" s="295"/>
      <c r="U181" s="295"/>
      <c r="V181" s="295"/>
      <c r="W181" s="268">
        <f t="shared" si="45"/>
        <v>3785310</v>
      </c>
      <c r="X181" s="268">
        <f t="shared" si="45"/>
        <v>3943720</v>
      </c>
      <c r="Y181" s="18"/>
    </row>
    <row r="182" spans="1:25" s="10" customFormat="1" ht="37.5" customHeight="1" x14ac:dyDescent="0.25">
      <c r="A182" s="29"/>
      <c r="B182" s="239" t="s">
        <v>407</v>
      </c>
      <c r="C182" s="61"/>
      <c r="D182" s="61"/>
      <c r="E182" s="61"/>
      <c r="F182" s="61"/>
      <c r="G182" s="61"/>
      <c r="H182" s="61"/>
      <c r="I182" s="61"/>
      <c r="J182" s="61"/>
      <c r="K182" s="353" t="s">
        <v>129</v>
      </c>
      <c r="L182" s="354">
        <v>810</v>
      </c>
      <c r="M182" s="7"/>
      <c r="N182" s="47">
        <v>79429000</v>
      </c>
      <c r="O182" s="47">
        <v>0</v>
      </c>
      <c r="P182" s="47">
        <v>0</v>
      </c>
      <c r="Q182" s="47">
        <v>0</v>
      </c>
      <c r="R182" s="268">
        <f>'0'!V259</f>
        <v>3633270</v>
      </c>
      <c r="S182" s="295"/>
      <c r="T182" s="295"/>
      <c r="U182" s="295"/>
      <c r="V182" s="295"/>
      <c r="W182" s="268">
        <f>'0'!AB259</f>
        <v>3785310</v>
      </c>
      <c r="X182" s="268">
        <f>'0'!AC259</f>
        <v>3943720</v>
      </c>
      <c r="Y182" s="18"/>
    </row>
    <row r="183" spans="1:25" s="10" customFormat="1" ht="40.5" customHeight="1" x14ac:dyDescent="0.25">
      <c r="A183" s="29"/>
      <c r="B183" s="62" t="s">
        <v>495</v>
      </c>
      <c r="C183" s="61"/>
      <c r="D183" s="61"/>
      <c r="E183" s="61"/>
      <c r="F183" s="61"/>
      <c r="G183" s="61"/>
      <c r="H183" s="61"/>
      <c r="I183" s="61"/>
      <c r="J183" s="61"/>
      <c r="K183" s="353" t="s">
        <v>130</v>
      </c>
      <c r="L183" s="354">
        <v>0</v>
      </c>
      <c r="M183" s="7"/>
      <c r="N183" s="47"/>
      <c r="O183" s="47"/>
      <c r="P183" s="47"/>
      <c r="Q183" s="47"/>
      <c r="R183" s="268">
        <f>R184</f>
        <v>759165</v>
      </c>
      <c r="S183" s="295"/>
      <c r="T183" s="295"/>
      <c r="U183" s="295"/>
      <c r="V183" s="295"/>
      <c r="W183" s="268">
        <f t="shared" ref="W183:X184" si="46">W184</f>
        <v>0</v>
      </c>
      <c r="X183" s="268">
        <f t="shared" si="46"/>
        <v>0</v>
      </c>
      <c r="Y183" s="18"/>
    </row>
    <row r="184" spans="1:25" s="10" customFormat="1" ht="27.75" customHeight="1" x14ac:dyDescent="0.25">
      <c r="A184" s="29"/>
      <c r="B184" s="151" t="s">
        <v>128</v>
      </c>
      <c r="C184" s="61"/>
      <c r="D184" s="61"/>
      <c r="E184" s="61"/>
      <c r="F184" s="61"/>
      <c r="G184" s="61"/>
      <c r="H184" s="61"/>
      <c r="I184" s="61"/>
      <c r="J184" s="61"/>
      <c r="K184" s="353" t="s">
        <v>130</v>
      </c>
      <c r="L184" s="354">
        <v>200</v>
      </c>
      <c r="M184" s="7"/>
      <c r="N184" s="47"/>
      <c r="O184" s="47"/>
      <c r="P184" s="47"/>
      <c r="Q184" s="47"/>
      <c r="R184" s="268">
        <f>R185</f>
        <v>759165</v>
      </c>
      <c r="S184" s="295"/>
      <c r="T184" s="295"/>
      <c r="U184" s="295"/>
      <c r="V184" s="295"/>
      <c r="W184" s="268">
        <f t="shared" si="46"/>
        <v>0</v>
      </c>
      <c r="X184" s="268">
        <f t="shared" si="46"/>
        <v>0</v>
      </c>
      <c r="Y184" s="18"/>
    </row>
    <row r="185" spans="1:25" s="10" customFormat="1" ht="29.25" customHeight="1" x14ac:dyDescent="0.25">
      <c r="A185" s="29"/>
      <c r="B185" s="229" t="s">
        <v>506</v>
      </c>
      <c r="C185" s="61"/>
      <c r="D185" s="61"/>
      <c r="E185" s="61"/>
      <c r="F185" s="61"/>
      <c r="G185" s="61"/>
      <c r="H185" s="61"/>
      <c r="I185" s="61"/>
      <c r="J185" s="61"/>
      <c r="K185" s="353" t="s">
        <v>130</v>
      </c>
      <c r="L185" s="354">
        <v>244</v>
      </c>
      <c r="M185" s="7"/>
      <c r="N185" s="47">
        <v>79429000</v>
      </c>
      <c r="O185" s="47">
        <v>0</v>
      </c>
      <c r="P185" s="47">
        <v>0</v>
      </c>
      <c r="Q185" s="47">
        <v>0</v>
      </c>
      <c r="R185" s="268">
        <f>'0'!V328+'0'!X328</f>
        <v>759165</v>
      </c>
      <c r="S185" s="295"/>
      <c r="T185" s="295"/>
      <c r="U185" s="295"/>
      <c r="V185" s="295"/>
      <c r="W185" s="268">
        <f>'0'!AB328</f>
        <v>0</v>
      </c>
      <c r="X185" s="268">
        <f>'0'!AC328</f>
        <v>0</v>
      </c>
      <c r="Y185" s="18"/>
    </row>
    <row r="186" spans="1:25" s="33" customFormat="1" ht="27" hidden="1" customHeight="1" x14ac:dyDescent="0.25">
      <c r="A186" s="31"/>
      <c r="B186" s="62"/>
      <c r="C186" s="76"/>
      <c r="D186" s="76"/>
      <c r="E186" s="76"/>
      <c r="F186" s="76"/>
      <c r="G186" s="76"/>
      <c r="H186" s="76"/>
      <c r="I186" s="76"/>
      <c r="J186" s="76"/>
      <c r="K186" s="353" t="s">
        <v>130</v>
      </c>
      <c r="L186" s="354"/>
      <c r="M186" s="7"/>
      <c r="N186" s="47"/>
      <c r="O186" s="47"/>
      <c r="P186" s="47"/>
      <c r="Q186" s="47"/>
      <c r="R186" s="268"/>
      <c r="S186" s="294"/>
      <c r="T186" s="294"/>
      <c r="U186" s="294"/>
      <c r="V186" s="294"/>
      <c r="W186" s="268"/>
      <c r="X186" s="268"/>
      <c r="Y186" s="32"/>
    </row>
    <row r="187" spans="1:25" s="33" customFormat="1" ht="27" hidden="1" customHeight="1" x14ac:dyDescent="0.25">
      <c r="A187" s="31"/>
      <c r="B187" s="62"/>
      <c r="C187" s="76"/>
      <c r="D187" s="76"/>
      <c r="E187" s="76"/>
      <c r="F187" s="76"/>
      <c r="G187" s="76"/>
      <c r="H187" s="76"/>
      <c r="I187" s="76"/>
      <c r="J187" s="76"/>
      <c r="K187" s="353" t="s">
        <v>130</v>
      </c>
      <c r="L187" s="354"/>
      <c r="M187" s="7"/>
      <c r="N187" s="47"/>
      <c r="O187" s="47"/>
      <c r="P187" s="47"/>
      <c r="Q187" s="47"/>
      <c r="R187" s="268"/>
      <c r="S187" s="294"/>
      <c r="T187" s="294"/>
      <c r="U187" s="294"/>
      <c r="V187" s="294"/>
      <c r="W187" s="268"/>
      <c r="X187" s="268"/>
      <c r="Y187" s="32"/>
    </row>
    <row r="188" spans="1:25" s="33" customFormat="1" ht="27" hidden="1" customHeight="1" x14ac:dyDescent="0.25">
      <c r="A188" s="31"/>
      <c r="B188" s="62"/>
      <c r="C188" s="76"/>
      <c r="D188" s="76"/>
      <c r="E188" s="76"/>
      <c r="F188" s="76"/>
      <c r="G188" s="76"/>
      <c r="H188" s="76"/>
      <c r="I188" s="76"/>
      <c r="J188" s="76"/>
      <c r="K188" s="353" t="s">
        <v>130</v>
      </c>
      <c r="L188" s="354"/>
      <c r="M188" s="7"/>
      <c r="N188" s="47"/>
      <c r="O188" s="47"/>
      <c r="P188" s="47"/>
      <c r="Q188" s="47"/>
      <c r="R188" s="268"/>
      <c r="S188" s="294"/>
      <c r="T188" s="294"/>
      <c r="U188" s="294"/>
      <c r="V188" s="294"/>
      <c r="W188" s="268"/>
      <c r="X188" s="268"/>
      <c r="Y188" s="32"/>
    </row>
    <row r="189" spans="1:25" s="33" customFormat="1" ht="27" hidden="1" customHeight="1" x14ac:dyDescent="0.25">
      <c r="A189" s="31"/>
      <c r="B189" s="62"/>
      <c r="C189" s="76"/>
      <c r="D189" s="76"/>
      <c r="E189" s="76"/>
      <c r="F189" s="76"/>
      <c r="G189" s="76"/>
      <c r="H189" s="76"/>
      <c r="I189" s="76"/>
      <c r="J189" s="76"/>
      <c r="K189" s="353" t="s">
        <v>130</v>
      </c>
      <c r="L189" s="354"/>
      <c r="M189" s="7"/>
      <c r="N189" s="47"/>
      <c r="O189" s="47"/>
      <c r="P189" s="47"/>
      <c r="Q189" s="47"/>
      <c r="R189" s="268"/>
      <c r="S189" s="294"/>
      <c r="T189" s="294"/>
      <c r="U189" s="294"/>
      <c r="V189" s="294"/>
      <c r="W189" s="268"/>
      <c r="X189" s="268"/>
      <c r="Y189" s="32"/>
    </row>
    <row r="190" spans="1:25" s="10" customFormat="1" ht="27" hidden="1" customHeight="1" x14ac:dyDescent="0.25">
      <c r="A190" s="29"/>
      <c r="B190" s="63"/>
      <c r="C190" s="61"/>
      <c r="D190" s="61"/>
      <c r="E190" s="61"/>
      <c r="F190" s="61"/>
      <c r="G190" s="61"/>
      <c r="H190" s="61"/>
      <c r="I190" s="61"/>
      <c r="J190" s="61"/>
      <c r="K190" s="353" t="s">
        <v>130</v>
      </c>
      <c r="L190" s="348"/>
      <c r="M190" s="7"/>
      <c r="N190" s="47"/>
      <c r="O190" s="47"/>
      <c r="P190" s="47"/>
      <c r="Q190" s="47"/>
      <c r="R190" s="268"/>
      <c r="S190" s="295"/>
      <c r="T190" s="295"/>
      <c r="U190" s="295"/>
      <c r="V190" s="295"/>
      <c r="W190" s="268"/>
      <c r="X190" s="268"/>
      <c r="Y190" s="18"/>
    </row>
    <row r="191" spans="1:25" s="10" customFormat="1" ht="56.25" customHeight="1" x14ac:dyDescent="0.25">
      <c r="A191" s="29"/>
      <c r="B191" s="63" t="s">
        <v>513</v>
      </c>
      <c r="C191" s="61"/>
      <c r="D191" s="61"/>
      <c r="E191" s="61"/>
      <c r="F191" s="61"/>
      <c r="G191" s="61"/>
      <c r="H191" s="61"/>
      <c r="I191" s="61"/>
      <c r="J191" s="61"/>
      <c r="K191" s="353" t="s">
        <v>131</v>
      </c>
      <c r="L191" s="387">
        <v>0</v>
      </c>
      <c r="M191" s="7"/>
      <c r="N191" s="47"/>
      <c r="O191" s="47"/>
      <c r="P191" s="47"/>
      <c r="Q191" s="47"/>
      <c r="R191" s="268">
        <f>R192</f>
        <v>80664.36</v>
      </c>
      <c r="S191" s="295"/>
      <c r="T191" s="295"/>
      <c r="U191" s="295"/>
      <c r="V191" s="295"/>
      <c r="W191" s="268">
        <f t="shared" ref="W191:X192" si="47">W192</f>
        <v>0</v>
      </c>
      <c r="X191" s="268">
        <f t="shared" si="47"/>
        <v>0</v>
      </c>
      <c r="Y191" s="18"/>
    </row>
    <row r="192" spans="1:25" s="10" customFormat="1" ht="27.75" customHeight="1" x14ac:dyDescent="0.25">
      <c r="A192" s="29"/>
      <c r="B192" s="151" t="s">
        <v>128</v>
      </c>
      <c r="C192" s="61"/>
      <c r="D192" s="61"/>
      <c r="E192" s="61"/>
      <c r="F192" s="61"/>
      <c r="G192" s="61"/>
      <c r="H192" s="61"/>
      <c r="I192" s="61"/>
      <c r="J192" s="61"/>
      <c r="K192" s="353" t="s">
        <v>131</v>
      </c>
      <c r="L192" s="354">
        <v>200</v>
      </c>
      <c r="M192" s="7"/>
      <c r="N192" s="47"/>
      <c r="O192" s="47"/>
      <c r="P192" s="47"/>
      <c r="Q192" s="47"/>
      <c r="R192" s="268">
        <f>R193</f>
        <v>80664.36</v>
      </c>
      <c r="S192" s="295"/>
      <c r="T192" s="295"/>
      <c r="U192" s="295"/>
      <c r="V192" s="295"/>
      <c r="W192" s="268">
        <f t="shared" si="47"/>
        <v>0</v>
      </c>
      <c r="X192" s="268">
        <f t="shared" si="47"/>
        <v>0</v>
      </c>
      <c r="Y192" s="18"/>
    </row>
    <row r="193" spans="1:29" s="10" customFormat="1" ht="25.5" customHeight="1" x14ac:dyDescent="0.25">
      <c r="A193" s="29"/>
      <c r="B193" s="229" t="s">
        <v>506</v>
      </c>
      <c r="C193" s="69"/>
      <c r="D193" s="69"/>
      <c r="E193" s="69"/>
      <c r="F193" s="69"/>
      <c r="G193" s="69"/>
      <c r="H193" s="69"/>
      <c r="I193" s="69"/>
      <c r="J193" s="69"/>
      <c r="K193" s="353" t="s">
        <v>131</v>
      </c>
      <c r="L193" s="356">
        <v>244</v>
      </c>
      <c r="M193" s="15"/>
      <c r="N193" s="51">
        <v>79429000</v>
      </c>
      <c r="O193" s="51">
        <v>0</v>
      </c>
      <c r="P193" s="51">
        <v>0</v>
      </c>
      <c r="Q193" s="51">
        <v>0</v>
      </c>
      <c r="R193" s="273">
        <f>'0'!V333+'0'!X333</f>
        <v>80664.36</v>
      </c>
      <c r="S193" s="295"/>
      <c r="T193" s="295"/>
      <c r="U193" s="295"/>
      <c r="V193" s="295"/>
      <c r="W193" s="273">
        <f>'0'!AB333</f>
        <v>0</v>
      </c>
      <c r="X193" s="273">
        <f>'0'!AC333</f>
        <v>0</v>
      </c>
      <c r="Y193" s="18"/>
    </row>
    <row r="194" spans="1:29" s="10" customFormat="1" ht="40.5" customHeight="1" x14ac:dyDescent="0.25">
      <c r="A194" s="29"/>
      <c r="B194" s="62" t="s">
        <v>496</v>
      </c>
      <c r="C194" s="61"/>
      <c r="D194" s="61"/>
      <c r="E194" s="61"/>
      <c r="F194" s="61"/>
      <c r="G194" s="61"/>
      <c r="H194" s="61"/>
      <c r="I194" s="61"/>
      <c r="J194" s="61"/>
      <c r="K194" s="353" t="s">
        <v>133</v>
      </c>
      <c r="L194" s="354">
        <v>0</v>
      </c>
      <c r="M194" s="7"/>
      <c r="N194" s="47"/>
      <c r="O194" s="47"/>
      <c r="P194" s="47"/>
      <c r="Q194" s="47"/>
      <c r="R194" s="268">
        <f>R195</f>
        <v>36000</v>
      </c>
      <c r="S194" s="295"/>
      <c r="T194" s="295"/>
      <c r="U194" s="295"/>
      <c r="V194" s="295"/>
      <c r="W194" s="268">
        <f t="shared" ref="W194:X195" si="48">W195</f>
        <v>0</v>
      </c>
      <c r="X194" s="268">
        <f t="shared" si="48"/>
        <v>0</v>
      </c>
      <c r="Y194" s="18"/>
    </row>
    <row r="195" spans="1:29" s="10" customFormat="1" ht="15.75" customHeight="1" x14ac:dyDescent="0.25">
      <c r="A195" s="29"/>
      <c r="B195" s="60" t="s">
        <v>82</v>
      </c>
      <c r="C195" s="61"/>
      <c r="D195" s="61"/>
      <c r="E195" s="61"/>
      <c r="F195" s="61"/>
      <c r="G195" s="61"/>
      <c r="H195" s="61"/>
      <c r="I195" s="61"/>
      <c r="J195" s="61"/>
      <c r="K195" s="353" t="s">
        <v>133</v>
      </c>
      <c r="L195" s="354">
        <v>200</v>
      </c>
      <c r="M195" s="7"/>
      <c r="N195" s="47"/>
      <c r="O195" s="47"/>
      <c r="P195" s="47"/>
      <c r="Q195" s="47"/>
      <c r="R195" s="268">
        <f>R196</f>
        <v>36000</v>
      </c>
      <c r="S195" s="295"/>
      <c r="T195" s="295"/>
      <c r="U195" s="295"/>
      <c r="V195" s="295"/>
      <c r="W195" s="268">
        <f t="shared" si="48"/>
        <v>0</v>
      </c>
      <c r="X195" s="268">
        <f t="shared" si="48"/>
        <v>0</v>
      </c>
      <c r="Y195" s="18"/>
    </row>
    <row r="196" spans="1:29" s="10" customFormat="1" ht="29.25" customHeight="1" x14ac:dyDescent="0.25">
      <c r="A196" s="29"/>
      <c r="B196" s="53" t="s">
        <v>81</v>
      </c>
      <c r="C196" s="61"/>
      <c r="D196" s="61"/>
      <c r="E196" s="61"/>
      <c r="F196" s="61"/>
      <c r="G196" s="61"/>
      <c r="H196" s="61"/>
      <c r="I196" s="61"/>
      <c r="J196" s="61"/>
      <c r="K196" s="353" t="s">
        <v>133</v>
      </c>
      <c r="L196" s="354">
        <v>244</v>
      </c>
      <c r="M196" s="7"/>
      <c r="N196" s="47">
        <v>79429000</v>
      </c>
      <c r="O196" s="47">
        <v>0</v>
      </c>
      <c r="P196" s="47">
        <v>0</v>
      </c>
      <c r="Q196" s="47">
        <v>0</v>
      </c>
      <c r="R196" s="268">
        <f>'0'!V305+'0'!X305</f>
        <v>36000</v>
      </c>
      <c r="S196" s="295"/>
      <c r="T196" s="295"/>
      <c r="U196" s="295"/>
      <c r="V196" s="295"/>
      <c r="W196" s="268">
        <f>'0'!AC300+'0'!AC301</f>
        <v>0</v>
      </c>
      <c r="X196" s="268">
        <f>'0'!AD300+'0'!AD301</f>
        <v>0</v>
      </c>
      <c r="Y196" s="18"/>
    </row>
    <row r="197" spans="1:29" s="10" customFormat="1" ht="40.5" customHeight="1" x14ac:dyDescent="0.25">
      <c r="A197" s="29"/>
      <c r="B197" s="62" t="s">
        <v>497</v>
      </c>
      <c r="C197" s="61"/>
      <c r="D197" s="61"/>
      <c r="E197" s="61"/>
      <c r="F197" s="61"/>
      <c r="G197" s="61"/>
      <c r="H197" s="61"/>
      <c r="I197" s="61"/>
      <c r="J197" s="61"/>
      <c r="K197" s="353" t="s">
        <v>349</v>
      </c>
      <c r="L197" s="354">
        <v>0</v>
      </c>
      <c r="M197" s="7"/>
      <c r="N197" s="47"/>
      <c r="O197" s="47"/>
      <c r="P197" s="47"/>
      <c r="Q197" s="47"/>
      <c r="R197" s="268">
        <f>R198</f>
        <v>429741.67000000004</v>
      </c>
      <c r="S197" s="268">
        <f t="shared" ref="S197:X197" si="49">S198</f>
        <v>0</v>
      </c>
      <c r="T197" s="268">
        <f t="shared" si="49"/>
        <v>0</v>
      </c>
      <c r="U197" s="268">
        <f t="shared" si="49"/>
        <v>0</v>
      </c>
      <c r="V197" s="268">
        <f t="shared" si="49"/>
        <v>0</v>
      </c>
      <c r="W197" s="268">
        <f t="shared" si="49"/>
        <v>0</v>
      </c>
      <c r="X197" s="268">
        <f t="shared" si="49"/>
        <v>0</v>
      </c>
      <c r="Y197" s="18"/>
    </row>
    <row r="198" spans="1:29" s="10" customFormat="1" ht="15.75" customHeight="1" x14ac:dyDescent="0.25">
      <c r="A198" s="29"/>
      <c r="B198" s="60" t="s">
        <v>82</v>
      </c>
      <c r="C198" s="61"/>
      <c r="D198" s="61"/>
      <c r="E198" s="61"/>
      <c r="F198" s="61"/>
      <c r="G198" s="61"/>
      <c r="H198" s="61"/>
      <c r="I198" s="61"/>
      <c r="J198" s="61"/>
      <c r="K198" s="353" t="s">
        <v>349</v>
      </c>
      <c r="L198" s="354">
        <v>200</v>
      </c>
      <c r="M198" s="7"/>
      <c r="N198" s="47"/>
      <c r="O198" s="47"/>
      <c r="P198" s="47"/>
      <c r="Q198" s="47"/>
      <c r="R198" s="268">
        <f>R199</f>
        <v>429741.67000000004</v>
      </c>
      <c r="S198" s="295"/>
      <c r="T198" s="295"/>
      <c r="U198" s="295"/>
      <c r="V198" s="295"/>
      <c r="W198" s="268">
        <f t="shared" ref="W198:X198" si="50">W199</f>
        <v>0</v>
      </c>
      <c r="X198" s="268">
        <f t="shared" si="50"/>
        <v>0</v>
      </c>
      <c r="Y198" s="18"/>
    </row>
    <row r="199" spans="1:29" s="10" customFormat="1" ht="29.25" customHeight="1" x14ac:dyDescent="0.25">
      <c r="A199" s="29"/>
      <c r="B199" s="53" t="s">
        <v>472</v>
      </c>
      <c r="C199" s="61"/>
      <c r="D199" s="61"/>
      <c r="E199" s="61"/>
      <c r="F199" s="61"/>
      <c r="G199" s="61"/>
      <c r="H199" s="61"/>
      <c r="I199" s="61"/>
      <c r="J199" s="61"/>
      <c r="K199" s="353" t="s">
        <v>349</v>
      </c>
      <c r="L199" s="354">
        <v>244</v>
      </c>
      <c r="M199" s="7"/>
      <c r="N199" s="47">
        <v>79429000</v>
      </c>
      <c r="O199" s="47">
        <v>0</v>
      </c>
      <c r="P199" s="47">
        <v>0</v>
      </c>
      <c r="Q199" s="47">
        <v>0</v>
      </c>
      <c r="R199" s="268">
        <f>'0'!V316+'0'!X316-'0'!V315</f>
        <v>429741.67000000004</v>
      </c>
      <c r="S199" s="295"/>
      <c r="T199" s="295"/>
      <c r="U199" s="295"/>
      <c r="V199" s="295"/>
      <c r="W199" s="268">
        <v>0</v>
      </c>
      <c r="X199" s="268">
        <f>'0'!AD311+'0'!AD312+'0'!AD314+'0'!AD315</f>
        <v>0</v>
      </c>
      <c r="Y199" s="18"/>
    </row>
    <row r="200" spans="1:29" s="10" customFormat="1" ht="51.6" customHeight="1" x14ac:dyDescent="0.25">
      <c r="A200" s="29"/>
      <c r="B200" s="62" t="s">
        <v>575</v>
      </c>
      <c r="C200" s="61"/>
      <c r="D200" s="61"/>
      <c r="E200" s="61"/>
      <c r="F200" s="61"/>
      <c r="G200" s="61"/>
      <c r="H200" s="61"/>
      <c r="I200" s="61"/>
      <c r="J200" s="61"/>
      <c r="K200" s="353" t="s">
        <v>574</v>
      </c>
      <c r="L200" s="354">
        <v>0</v>
      </c>
      <c r="M200" s="7"/>
      <c r="N200" s="47"/>
      <c r="O200" s="47"/>
      <c r="P200" s="47"/>
      <c r="Q200" s="47"/>
      <c r="R200" s="268">
        <f>R201</f>
        <v>2702.5</v>
      </c>
      <c r="S200" s="268">
        <f t="shared" ref="S200" si="51">S201</f>
        <v>0</v>
      </c>
      <c r="T200" s="268">
        <f t="shared" ref="T200" si="52">T201</f>
        <v>0</v>
      </c>
      <c r="U200" s="268">
        <f t="shared" ref="U200" si="53">U201</f>
        <v>0</v>
      </c>
      <c r="V200" s="268">
        <f t="shared" ref="V200" si="54">V201</f>
        <v>0</v>
      </c>
      <c r="W200" s="268">
        <f t="shared" ref="W200" si="55">W201</f>
        <v>2702.5</v>
      </c>
      <c r="X200" s="268">
        <f t="shared" ref="X200" si="56">X201</f>
        <v>2702.5</v>
      </c>
      <c r="Y200" s="18"/>
    </row>
    <row r="201" spans="1:29" s="10" customFormat="1" ht="29.25" customHeight="1" thickBot="1" x14ac:dyDescent="0.3">
      <c r="A201" s="29"/>
      <c r="B201" s="53" t="s">
        <v>472</v>
      </c>
      <c r="C201" s="61"/>
      <c r="D201" s="61"/>
      <c r="E201" s="61"/>
      <c r="F201" s="61"/>
      <c r="G201" s="61"/>
      <c r="H201" s="61"/>
      <c r="I201" s="61"/>
      <c r="J201" s="61"/>
      <c r="K201" s="353" t="s">
        <v>574</v>
      </c>
      <c r="L201" s="354">
        <v>244</v>
      </c>
      <c r="M201" s="7"/>
      <c r="N201" s="47">
        <v>79429000</v>
      </c>
      <c r="O201" s="47">
        <v>0</v>
      </c>
      <c r="P201" s="47">
        <v>0</v>
      </c>
      <c r="Q201" s="47">
        <v>0</v>
      </c>
      <c r="R201" s="268">
        <f>'0'!V315</f>
        <v>2702.5</v>
      </c>
      <c r="S201" s="295"/>
      <c r="T201" s="295"/>
      <c r="U201" s="295"/>
      <c r="V201" s="295"/>
      <c r="W201" s="268">
        <f>'0'!AC315</f>
        <v>2702.5</v>
      </c>
      <c r="X201" s="268">
        <f>'0'!AC315</f>
        <v>2702.5</v>
      </c>
      <c r="Y201" s="18"/>
    </row>
    <row r="202" spans="1:29" s="10" customFormat="1" ht="54" customHeight="1" thickBot="1" x14ac:dyDescent="0.3">
      <c r="A202" s="29"/>
      <c r="B202" s="202" t="s">
        <v>456</v>
      </c>
      <c r="C202" s="129"/>
      <c r="D202" s="129"/>
      <c r="E202" s="129"/>
      <c r="F202" s="129"/>
      <c r="G202" s="129"/>
      <c r="H202" s="129"/>
      <c r="I202" s="129"/>
      <c r="J202" s="129"/>
      <c r="K202" s="372" t="s">
        <v>489</v>
      </c>
      <c r="L202" s="373">
        <v>0</v>
      </c>
      <c r="M202" s="120"/>
      <c r="N202" s="121"/>
      <c r="O202" s="121"/>
      <c r="P202" s="121"/>
      <c r="Q202" s="121"/>
      <c r="R202" s="264">
        <f>R203+R208+R211+R217+R220+R223+R214</f>
        <v>25968471.68</v>
      </c>
      <c r="S202" s="295"/>
      <c r="T202" s="295"/>
      <c r="U202" s="295"/>
      <c r="V202" s="295"/>
      <c r="W202" s="264">
        <f>W203+W208+W211+W217+W220+W223</f>
        <v>0</v>
      </c>
      <c r="X202" s="264">
        <f>X203+X208+X211+X217+X220+X223</f>
        <v>0</v>
      </c>
      <c r="Y202" s="18"/>
    </row>
    <row r="203" spans="1:29" s="10" customFormat="1" ht="87.6" customHeight="1" x14ac:dyDescent="0.25">
      <c r="A203" s="29"/>
      <c r="B203" s="108" t="s">
        <v>520</v>
      </c>
      <c r="C203" s="71"/>
      <c r="D203" s="71"/>
      <c r="E203" s="71"/>
      <c r="F203" s="71"/>
      <c r="G203" s="71"/>
      <c r="H203" s="71"/>
      <c r="I203" s="71"/>
      <c r="J203" s="71"/>
      <c r="K203" s="378" t="s">
        <v>118</v>
      </c>
      <c r="L203" s="374">
        <v>0</v>
      </c>
      <c r="M203" s="17"/>
      <c r="N203" s="52">
        <v>2801000</v>
      </c>
      <c r="O203" s="52">
        <v>0</v>
      </c>
      <c r="P203" s="52">
        <v>0</v>
      </c>
      <c r="Q203" s="52">
        <v>0</v>
      </c>
      <c r="R203" s="278">
        <f>R204</f>
        <v>481800</v>
      </c>
      <c r="S203" s="295"/>
      <c r="T203" s="295"/>
      <c r="U203" s="295"/>
      <c r="V203" s="295"/>
      <c r="W203" s="278">
        <f t="shared" ref="W203:X204" si="57">W204</f>
        <v>0</v>
      </c>
      <c r="X203" s="278">
        <f t="shared" si="57"/>
        <v>0</v>
      </c>
      <c r="Y203" s="18"/>
    </row>
    <row r="204" spans="1:29" s="10" customFormat="1" ht="13.5" customHeight="1" x14ac:dyDescent="0.25">
      <c r="A204" s="29"/>
      <c r="B204" s="63" t="s">
        <v>74</v>
      </c>
      <c r="C204" s="61"/>
      <c r="D204" s="61"/>
      <c r="E204" s="61"/>
      <c r="F204" s="61"/>
      <c r="G204" s="61"/>
      <c r="H204" s="61"/>
      <c r="I204" s="61"/>
      <c r="J204" s="61"/>
      <c r="K204" s="378" t="s">
        <v>118</v>
      </c>
      <c r="L204" s="348">
        <v>500</v>
      </c>
      <c r="M204" s="7"/>
      <c r="N204" s="47">
        <v>2801000</v>
      </c>
      <c r="O204" s="47">
        <v>0</v>
      </c>
      <c r="P204" s="47">
        <v>0</v>
      </c>
      <c r="Q204" s="47">
        <v>0</v>
      </c>
      <c r="R204" s="268">
        <f>R205</f>
        <v>481800</v>
      </c>
      <c r="S204" s="295"/>
      <c r="T204" s="295"/>
      <c r="U204" s="295"/>
      <c r="V204" s="295"/>
      <c r="W204" s="268">
        <f t="shared" si="57"/>
        <v>0</v>
      </c>
      <c r="X204" s="268">
        <f t="shared" si="57"/>
        <v>0</v>
      </c>
      <c r="Y204" s="18"/>
      <c r="AC204" s="10" t="s">
        <v>582</v>
      </c>
    </row>
    <row r="205" spans="1:29" s="10" customFormat="1" ht="13.5" customHeight="1" x14ac:dyDescent="0.25">
      <c r="A205" s="29"/>
      <c r="B205" s="63" t="s">
        <v>63</v>
      </c>
      <c r="C205" s="61"/>
      <c r="D205" s="61"/>
      <c r="E205" s="61"/>
      <c r="F205" s="61"/>
      <c r="G205" s="61"/>
      <c r="H205" s="61"/>
      <c r="I205" s="61"/>
      <c r="J205" s="61"/>
      <c r="K205" s="378" t="s">
        <v>118</v>
      </c>
      <c r="L205" s="348">
        <v>540</v>
      </c>
      <c r="M205" s="7"/>
      <c r="N205" s="47">
        <v>2801000</v>
      </c>
      <c r="O205" s="47">
        <v>0</v>
      </c>
      <c r="P205" s="47">
        <v>0</v>
      </c>
      <c r="Q205" s="47">
        <v>0</v>
      </c>
      <c r="R205" s="268">
        <f>'0'!V44</f>
        <v>481800</v>
      </c>
      <c r="S205" s="295"/>
      <c r="T205" s="295"/>
      <c r="U205" s="295"/>
      <c r="V205" s="295"/>
      <c r="W205" s="268">
        <f>'0'!AB44</f>
        <v>0</v>
      </c>
      <c r="X205" s="268">
        <f>'0'!AC44</f>
        <v>0</v>
      </c>
      <c r="Y205" s="18"/>
    </row>
    <row r="206" spans="1:29" s="10" customFormat="1" ht="146.25" hidden="1" customHeight="1" x14ac:dyDescent="0.25">
      <c r="A206" s="29"/>
      <c r="B206" s="77" t="s">
        <v>90</v>
      </c>
      <c r="C206" s="61"/>
      <c r="D206" s="61"/>
      <c r="E206" s="61"/>
      <c r="F206" s="61"/>
      <c r="G206" s="61"/>
      <c r="H206" s="61"/>
      <c r="I206" s="61"/>
      <c r="J206" s="61"/>
      <c r="K206" s="388" t="s">
        <v>91</v>
      </c>
      <c r="L206" s="354">
        <v>0</v>
      </c>
      <c r="M206" s="7"/>
      <c r="N206" s="47"/>
      <c r="O206" s="47"/>
      <c r="P206" s="47"/>
      <c r="Q206" s="47"/>
      <c r="R206" s="268" t="e">
        <f>#REF!</f>
        <v>#REF!</v>
      </c>
      <c r="S206" s="295"/>
      <c r="T206" s="295"/>
      <c r="U206" s="295"/>
      <c r="V206" s="295"/>
      <c r="W206" s="268" t="e">
        <f>#REF!</f>
        <v>#REF!</v>
      </c>
      <c r="X206" s="268" t="e">
        <f>#REF!</f>
        <v>#REF!</v>
      </c>
      <c r="Y206" s="18"/>
    </row>
    <row r="207" spans="1:29" s="10" customFormat="1" ht="146.25" hidden="1" customHeight="1" x14ac:dyDescent="0.25">
      <c r="A207" s="29"/>
      <c r="B207" s="77" t="s">
        <v>90</v>
      </c>
      <c r="C207" s="61"/>
      <c r="D207" s="61"/>
      <c r="E207" s="61"/>
      <c r="F207" s="61"/>
      <c r="G207" s="61"/>
      <c r="H207" s="61"/>
      <c r="I207" s="61"/>
      <c r="J207" s="61"/>
      <c r="K207" s="388" t="s">
        <v>91</v>
      </c>
      <c r="L207" s="354">
        <v>0</v>
      </c>
      <c r="M207" s="7"/>
      <c r="N207" s="47"/>
      <c r="O207" s="47"/>
      <c r="P207" s="47"/>
      <c r="Q207" s="47"/>
      <c r="R207" s="268">
        <f>R208</f>
        <v>10637920</v>
      </c>
      <c r="S207" s="295"/>
      <c r="T207" s="295"/>
      <c r="U207" s="295"/>
      <c r="V207" s="295"/>
      <c r="W207" s="268">
        <f t="shared" ref="W207:X207" si="58">W208</f>
        <v>0</v>
      </c>
      <c r="X207" s="268">
        <f t="shared" si="58"/>
        <v>0</v>
      </c>
      <c r="Y207" s="18"/>
    </row>
    <row r="208" spans="1:29" s="10" customFormat="1" ht="99.6" customHeight="1" x14ac:dyDescent="0.25">
      <c r="A208" s="29"/>
      <c r="B208" s="86" t="s">
        <v>524</v>
      </c>
      <c r="C208" s="61"/>
      <c r="D208" s="61"/>
      <c r="E208" s="61"/>
      <c r="F208" s="61"/>
      <c r="G208" s="61"/>
      <c r="H208" s="61"/>
      <c r="I208" s="61"/>
      <c r="J208" s="61"/>
      <c r="K208" s="388" t="s">
        <v>119</v>
      </c>
      <c r="L208" s="354">
        <v>0</v>
      </c>
      <c r="M208" s="7"/>
      <c r="N208" s="47"/>
      <c r="O208" s="47"/>
      <c r="P208" s="47"/>
      <c r="Q208" s="47"/>
      <c r="R208" s="268">
        <f>R210</f>
        <v>10637920</v>
      </c>
      <c r="S208" s="295"/>
      <c r="T208" s="295"/>
      <c r="U208" s="295"/>
      <c r="V208" s="295"/>
      <c r="W208" s="268">
        <f t="shared" ref="W208:X208" si="59">W210</f>
        <v>0</v>
      </c>
      <c r="X208" s="268">
        <f t="shared" si="59"/>
        <v>0</v>
      </c>
      <c r="Y208" s="18"/>
    </row>
    <row r="209" spans="1:29" s="10" customFormat="1" ht="15" customHeight="1" x14ac:dyDescent="0.25">
      <c r="A209" s="29"/>
      <c r="B209" s="62" t="s">
        <v>74</v>
      </c>
      <c r="C209" s="61"/>
      <c r="D209" s="61"/>
      <c r="E209" s="61"/>
      <c r="F209" s="61"/>
      <c r="G209" s="61"/>
      <c r="H209" s="61"/>
      <c r="I209" s="61"/>
      <c r="J209" s="61"/>
      <c r="K209" s="388" t="s">
        <v>119</v>
      </c>
      <c r="L209" s="354">
        <v>500</v>
      </c>
      <c r="M209" s="7"/>
      <c r="N209" s="47"/>
      <c r="O209" s="47"/>
      <c r="P209" s="47"/>
      <c r="Q209" s="47"/>
      <c r="R209" s="268">
        <f>R210</f>
        <v>10637920</v>
      </c>
      <c r="S209" s="295"/>
      <c r="T209" s="295"/>
      <c r="U209" s="295"/>
      <c r="V209" s="295"/>
      <c r="W209" s="268">
        <f t="shared" ref="W209:X209" si="60">W210</f>
        <v>0</v>
      </c>
      <c r="X209" s="268">
        <f t="shared" si="60"/>
        <v>0</v>
      </c>
      <c r="Y209" s="18"/>
      <c r="AC209" s="10" t="s">
        <v>581</v>
      </c>
    </row>
    <row r="210" spans="1:29" s="10" customFormat="1" ht="18" customHeight="1" x14ac:dyDescent="0.25">
      <c r="A210" s="29"/>
      <c r="B210" s="62" t="s">
        <v>63</v>
      </c>
      <c r="C210" s="61"/>
      <c r="D210" s="61"/>
      <c r="E210" s="61"/>
      <c r="F210" s="61"/>
      <c r="G210" s="61"/>
      <c r="H210" s="61"/>
      <c r="I210" s="61"/>
      <c r="J210" s="61"/>
      <c r="K210" s="388" t="s">
        <v>119</v>
      </c>
      <c r="L210" s="354">
        <v>540</v>
      </c>
      <c r="M210" s="7"/>
      <c r="N210" s="47"/>
      <c r="O210" s="47"/>
      <c r="P210" s="47"/>
      <c r="Q210" s="47"/>
      <c r="R210" s="268">
        <f>'0'!V280</f>
        <v>10637920</v>
      </c>
      <c r="S210" s="295"/>
      <c r="T210" s="295"/>
      <c r="U210" s="295"/>
      <c r="V210" s="295"/>
      <c r="W210" s="268">
        <f>'0'!AB281</f>
        <v>0</v>
      </c>
      <c r="X210" s="268">
        <f>'0'!AC281</f>
        <v>0</v>
      </c>
      <c r="Y210" s="18"/>
    </row>
    <row r="211" spans="1:29" s="10" customFormat="1" ht="126" customHeight="1" x14ac:dyDescent="0.25">
      <c r="A211" s="29"/>
      <c r="B211" s="86" t="s">
        <v>577</v>
      </c>
      <c r="C211" s="61"/>
      <c r="D211" s="61"/>
      <c r="E211" s="61"/>
      <c r="F211" s="61"/>
      <c r="G211" s="61"/>
      <c r="H211" s="61"/>
      <c r="I211" s="61"/>
      <c r="J211" s="61"/>
      <c r="K211" s="388" t="s">
        <v>350</v>
      </c>
      <c r="L211" s="354">
        <v>0</v>
      </c>
      <c r="M211" s="7"/>
      <c r="N211" s="47"/>
      <c r="O211" s="47"/>
      <c r="P211" s="47"/>
      <c r="Q211" s="47"/>
      <c r="R211" s="268">
        <f>R212</f>
        <v>0</v>
      </c>
      <c r="S211" s="295"/>
      <c r="T211" s="295"/>
      <c r="U211" s="295"/>
      <c r="V211" s="295"/>
      <c r="W211" s="268">
        <f t="shared" ref="W211:X215" si="61">W212</f>
        <v>0</v>
      </c>
      <c r="X211" s="268">
        <f t="shared" si="61"/>
        <v>0</v>
      </c>
      <c r="Y211" s="18"/>
    </row>
    <row r="212" spans="1:29" s="10" customFormat="1" ht="15" customHeight="1" x14ac:dyDescent="0.25">
      <c r="A212" s="29"/>
      <c r="B212" s="62" t="s">
        <v>74</v>
      </c>
      <c r="C212" s="61"/>
      <c r="D212" s="61"/>
      <c r="E212" s="61"/>
      <c r="F212" s="61"/>
      <c r="G212" s="61"/>
      <c r="H212" s="61"/>
      <c r="I212" s="61"/>
      <c r="J212" s="61"/>
      <c r="K212" s="388" t="s">
        <v>350</v>
      </c>
      <c r="L212" s="354">
        <v>500</v>
      </c>
      <c r="M212" s="7"/>
      <c r="N212" s="47"/>
      <c r="O212" s="47"/>
      <c r="P212" s="47"/>
      <c r="Q212" s="47"/>
      <c r="R212" s="268">
        <f>R213</f>
        <v>0</v>
      </c>
      <c r="S212" s="295"/>
      <c r="T212" s="295"/>
      <c r="U212" s="295"/>
      <c r="V212" s="295"/>
      <c r="W212" s="268">
        <f t="shared" si="61"/>
        <v>0</v>
      </c>
      <c r="X212" s="268">
        <f t="shared" si="61"/>
        <v>0</v>
      </c>
      <c r="Y212" s="18"/>
    </row>
    <row r="213" spans="1:29" s="10" customFormat="1" ht="18" customHeight="1" x14ac:dyDescent="0.25">
      <c r="A213" s="29"/>
      <c r="B213" s="62" t="s">
        <v>63</v>
      </c>
      <c r="C213" s="61"/>
      <c r="D213" s="61"/>
      <c r="E213" s="61"/>
      <c r="F213" s="61"/>
      <c r="G213" s="61"/>
      <c r="H213" s="61"/>
      <c r="I213" s="61"/>
      <c r="J213" s="61"/>
      <c r="K213" s="388" t="s">
        <v>350</v>
      </c>
      <c r="L213" s="354">
        <v>540</v>
      </c>
      <c r="M213" s="7"/>
      <c r="N213" s="47"/>
      <c r="O213" s="47"/>
      <c r="P213" s="47"/>
      <c r="Q213" s="47"/>
      <c r="R213" s="268">
        <f>'0'!V45</f>
        <v>0</v>
      </c>
      <c r="S213" s="295"/>
      <c r="T213" s="295"/>
      <c r="U213" s="295"/>
      <c r="V213" s="295"/>
      <c r="W213" s="268">
        <f>'0'!AC45</f>
        <v>0</v>
      </c>
      <c r="X213" s="268">
        <f>'0'!AD45</f>
        <v>0</v>
      </c>
      <c r="Y213" s="18"/>
    </row>
    <row r="214" spans="1:29" s="10" customFormat="1" ht="126" customHeight="1" x14ac:dyDescent="0.25">
      <c r="A214" s="29"/>
      <c r="B214" s="86" t="s">
        <v>576</v>
      </c>
      <c r="C214" s="61"/>
      <c r="D214" s="61"/>
      <c r="E214" s="61"/>
      <c r="F214" s="61"/>
      <c r="G214" s="61"/>
      <c r="H214" s="61"/>
      <c r="I214" s="61"/>
      <c r="J214" s="61"/>
      <c r="K214" s="388" t="s">
        <v>573</v>
      </c>
      <c r="L214" s="354">
        <v>0</v>
      </c>
      <c r="M214" s="7"/>
      <c r="N214" s="47"/>
      <c r="O214" s="47"/>
      <c r="P214" s="47"/>
      <c r="Q214" s="47"/>
      <c r="R214" s="268">
        <f>R215</f>
        <v>605340</v>
      </c>
      <c r="S214" s="295"/>
      <c r="T214" s="295"/>
      <c r="U214" s="295"/>
      <c r="V214" s="295"/>
      <c r="W214" s="268">
        <f t="shared" si="61"/>
        <v>0</v>
      </c>
      <c r="X214" s="268">
        <f t="shared" si="61"/>
        <v>0</v>
      </c>
      <c r="Y214" s="18"/>
    </row>
    <row r="215" spans="1:29" s="10" customFormat="1" ht="15" customHeight="1" x14ac:dyDescent="0.25">
      <c r="A215" s="29"/>
      <c r="B215" s="62" t="s">
        <v>74</v>
      </c>
      <c r="C215" s="61"/>
      <c r="D215" s="61"/>
      <c r="E215" s="61"/>
      <c r="F215" s="61"/>
      <c r="G215" s="61"/>
      <c r="H215" s="61"/>
      <c r="I215" s="61"/>
      <c r="J215" s="61"/>
      <c r="K215" s="388" t="s">
        <v>573</v>
      </c>
      <c r="L215" s="354">
        <v>500</v>
      </c>
      <c r="M215" s="7"/>
      <c r="N215" s="47"/>
      <c r="O215" s="47"/>
      <c r="P215" s="47"/>
      <c r="Q215" s="47"/>
      <c r="R215" s="268">
        <f>R216</f>
        <v>605340</v>
      </c>
      <c r="S215" s="295"/>
      <c r="T215" s="295"/>
      <c r="U215" s="295"/>
      <c r="V215" s="295"/>
      <c r="W215" s="268">
        <f t="shared" si="61"/>
        <v>0</v>
      </c>
      <c r="X215" s="268">
        <f t="shared" si="61"/>
        <v>0</v>
      </c>
      <c r="Y215" s="18"/>
      <c r="AC215" s="10" t="s">
        <v>579</v>
      </c>
    </row>
    <row r="216" spans="1:29" s="10" customFormat="1" ht="18" customHeight="1" x14ac:dyDescent="0.25">
      <c r="A216" s="29"/>
      <c r="B216" s="62" t="s">
        <v>63</v>
      </c>
      <c r="C216" s="61"/>
      <c r="D216" s="61"/>
      <c r="E216" s="61"/>
      <c r="F216" s="61"/>
      <c r="G216" s="61"/>
      <c r="H216" s="61"/>
      <c r="I216" s="61"/>
      <c r="J216" s="61"/>
      <c r="K216" s="388" t="s">
        <v>573</v>
      </c>
      <c r="L216" s="354">
        <v>540</v>
      </c>
      <c r="M216" s="7"/>
      <c r="N216" s="47"/>
      <c r="O216" s="47"/>
      <c r="P216" s="47"/>
      <c r="Q216" s="47"/>
      <c r="R216" s="268">
        <f>'0'!V48</f>
        <v>605340</v>
      </c>
      <c r="S216" s="295"/>
      <c r="T216" s="295"/>
      <c r="U216" s="295"/>
      <c r="V216" s="295"/>
      <c r="W216" s="268">
        <f>'0'!AC48</f>
        <v>0</v>
      </c>
      <c r="X216" s="268">
        <f>'0'!AD48</f>
        <v>0</v>
      </c>
      <c r="Y216" s="18"/>
    </row>
    <row r="217" spans="1:29" s="10" customFormat="1" ht="126" customHeight="1" x14ac:dyDescent="0.25">
      <c r="A217" s="29"/>
      <c r="B217" s="86" t="s">
        <v>578</v>
      </c>
      <c r="C217" s="61"/>
      <c r="D217" s="61"/>
      <c r="E217" s="61"/>
      <c r="F217" s="61"/>
      <c r="G217" s="61"/>
      <c r="H217" s="61"/>
      <c r="I217" s="61"/>
      <c r="J217" s="61"/>
      <c r="K217" s="388" t="s">
        <v>351</v>
      </c>
      <c r="L217" s="354">
        <v>0</v>
      </c>
      <c r="M217" s="7"/>
      <c r="N217" s="47"/>
      <c r="O217" s="47"/>
      <c r="P217" s="47"/>
      <c r="Q217" s="47"/>
      <c r="R217" s="268">
        <f>R218</f>
        <v>13743411.68</v>
      </c>
      <c r="S217" s="295"/>
      <c r="T217" s="295"/>
      <c r="U217" s="295"/>
      <c r="V217" s="295"/>
      <c r="W217" s="268">
        <f t="shared" ref="W217:X218" si="62">W218</f>
        <v>0</v>
      </c>
      <c r="X217" s="268">
        <f t="shared" si="62"/>
        <v>0</v>
      </c>
      <c r="Y217" s="18"/>
    </row>
    <row r="218" spans="1:29" s="10" customFormat="1" ht="15" customHeight="1" x14ac:dyDescent="0.25">
      <c r="A218" s="29"/>
      <c r="B218" s="62" t="s">
        <v>74</v>
      </c>
      <c r="C218" s="61"/>
      <c r="D218" s="61"/>
      <c r="E218" s="61"/>
      <c r="F218" s="61"/>
      <c r="G218" s="61"/>
      <c r="H218" s="61"/>
      <c r="I218" s="61"/>
      <c r="J218" s="61"/>
      <c r="K218" s="388" t="s">
        <v>351</v>
      </c>
      <c r="L218" s="354">
        <v>500</v>
      </c>
      <c r="M218" s="7"/>
      <c r="N218" s="47"/>
      <c r="O218" s="47"/>
      <c r="P218" s="47"/>
      <c r="Q218" s="47"/>
      <c r="R218" s="268">
        <f>R219</f>
        <v>13743411.68</v>
      </c>
      <c r="S218" s="295"/>
      <c r="T218" s="295"/>
      <c r="U218" s="295"/>
      <c r="V218" s="295"/>
      <c r="W218" s="268">
        <f t="shared" si="62"/>
        <v>0</v>
      </c>
      <c r="X218" s="268">
        <f t="shared" si="62"/>
        <v>0</v>
      </c>
      <c r="Y218" s="18"/>
      <c r="AC218" s="10" t="s">
        <v>580</v>
      </c>
    </row>
    <row r="219" spans="1:29" s="10" customFormat="1" ht="18" customHeight="1" x14ac:dyDescent="0.25">
      <c r="A219" s="29"/>
      <c r="B219" s="62" t="s">
        <v>63</v>
      </c>
      <c r="C219" s="61"/>
      <c r="D219" s="61"/>
      <c r="E219" s="61"/>
      <c r="F219" s="61"/>
      <c r="G219" s="61"/>
      <c r="H219" s="61"/>
      <c r="I219" s="61"/>
      <c r="J219" s="61"/>
      <c r="K219" s="388" t="s">
        <v>351</v>
      </c>
      <c r="L219" s="354">
        <v>540</v>
      </c>
      <c r="M219" s="7"/>
      <c r="N219" s="47"/>
      <c r="O219" s="47"/>
      <c r="P219" s="47"/>
      <c r="Q219" s="47"/>
      <c r="R219" s="268">
        <f>'0'!V279</f>
        <v>13743411.68</v>
      </c>
      <c r="S219" s="295"/>
      <c r="T219" s="295"/>
      <c r="U219" s="295"/>
      <c r="V219" s="295"/>
      <c r="W219" s="268">
        <f>'0'!AC46</f>
        <v>0</v>
      </c>
      <c r="X219" s="268">
        <f>'0'!AD46</f>
        <v>0</v>
      </c>
      <c r="Y219" s="18"/>
    </row>
    <row r="220" spans="1:29" s="10" customFormat="1" ht="126" customHeight="1" x14ac:dyDescent="0.25">
      <c r="A220" s="29"/>
      <c r="B220" s="86" t="s">
        <v>353</v>
      </c>
      <c r="C220" s="61"/>
      <c r="D220" s="61"/>
      <c r="E220" s="61"/>
      <c r="F220" s="61"/>
      <c r="G220" s="61"/>
      <c r="H220" s="61"/>
      <c r="I220" s="61"/>
      <c r="J220" s="61"/>
      <c r="K220" s="388" t="s">
        <v>119</v>
      </c>
      <c r="L220" s="354">
        <v>0</v>
      </c>
      <c r="M220" s="7"/>
      <c r="N220" s="47"/>
      <c r="O220" s="47"/>
      <c r="P220" s="47"/>
      <c r="Q220" s="47"/>
      <c r="R220" s="268">
        <f>R221</f>
        <v>0</v>
      </c>
      <c r="S220" s="295"/>
      <c r="T220" s="295"/>
      <c r="U220" s="295"/>
      <c r="V220" s="295"/>
      <c r="W220" s="268">
        <f t="shared" ref="W220:X221" si="63">W221</f>
        <v>0</v>
      </c>
      <c r="X220" s="268">
        <f t="shared" si="63"/>
        <v>0</v>
      </c>
      <c r="Y220" s="18"/>
    </row>
    <row r="221" spans="1:29" s="10" customFormat="1" ht="0.75" customHeight="1" x14ac:dyDescent="0.25">
      <c r="A221" s="29"/>
      <c r="B221" s="62" t="s">
        <v>74</v>
      </c>
      <c r="C221" s="61"/>
      <c r="D221" s="61"/>
      <c r="E221" s="61"/>
      <c r="F221" s="61"/>
      <c r="G221" s="61"/>
      <c r="H221" s="61"/>
      <c r="I221" s="61"/>
      <c r="J221" s="61"/>
      <c r="K221" s="388" t="s">
        <v>119</v>
      </c>
      <c r="L221" s="354">
        <v>500</v>
      </c>
      <c r="M221" s="7"/>
      <c r="N221" s="47"/>
      <c r="O221" s="47"/>
      <c r="P221" s="47"/>
      <c r="Q221" s="47"/>
      <c r="R221" s="268">
        <f>R222</f>
        <v>0</v>
      </c>
      <c r="S221" s="295"/>
      <c r="T221" s="295"/>
      <c r="U221" s="295"/>
      <c r="V221" s="295"/>
      <c r="W221" s="268">
        <f t="shared" si="63"/>
        <v>0</v>
      </c>
      <c r="X221" s="268">
        <f t="shared" si="63"/>
        <v>0</v>
      </c>
      <c r="Y221" s="18"/>
    </row>
    <row r="222" spans="1:29" s="10" customFormat="1" ht="18" customHeight="1" x14ac:dyDescent="0.25">
      <c r="A222" s="29"/>
      <c r="B222" s="62" t="s">
        <v>63</v>
      </c>
      <c r="C222" s="61"/>
      <c r="D222" s="61"/>
      <c r="E222" s="61"/>
      <c r="F222" s="61"/>
      <c r="G222" s="61"/>
      <c r="H222" s="61"/>
      <c r="I222" s="61"/>
      <c r="J222" s="61"/>
      <c r="K222" s="388" t="s">
        <v>119</v>
      </c>
      <c r="L222" s="354">
        <v>540</v>
      </c>
      <c r="M222" s="7"/>
      <c r="N222" s="47"/>
      <c r="O222" s="47"/>
      <c r="P222" s="47"/>
      <c r="Q222" s="47"/>
      <c r="R222" s="268">
        <f>'0'!V47</f>
        <v>0</v>
      </c>
      <c r="S222" s="295"/>
      <c r="T222" s="295"/>
      <c r="U222" s="295"/>
      <c r="V222" s="295"/>
      <c r="W222" s="268">
        <f>'0'!AC47</f>
        <v>0</v>
      </c>
      <c r="X222" s="268">
        <f>'0'!AD47</f>
        <v>0</v>
      </c>
      <c r="Y222" s="18"/>
    </row>
    <row r="223" spans="1:29" s="10" customFormat="1" ht="114.75" customHeight="1" x14ac:dyDescent="0.25">
      <c r="A223" s="29"/>
      <c r="B223" s="86" t="s">
        <v>525</v>
      </c>
      <c r="C223" s="61"/>
      <c r="D223" s="61"/>
      <c r="E223" s="61"/>
      <c r="F223" s="61"/>
      <c r="G223" s="61"/>
      <c r="H223" s="61"/>
      <c r="I223" s="61"/>
      <c r="J223" s="61"/>
      <c r="K223" s="388" t="s">
        <v>351</v>
      </c>
      <c r="L223" s="354">
        <v>0</v>
      </c>
      <c r="M223" s="7"/>
      <c r="N223" s="47"/>
      <c r="O223" s="47"/>
      <c r="P223" s="47"/>
      <c r="Q223" s="47"/>
      <c r="R223" s="268">
        <f>R224</f>
        <v>500000</v>
      </c>
      <c r="S223" s="295"/>
      <c r="T223" s="295"/>
      <c r="U223" s="295"/>
      <c r="V223" s="295"/>
      <c r="W223" s="268">
        <f t="shared" ref="W223:X224" si="64">W224</f>
        <v>0</v>
      </c>
      <c r="X223" s="268">
        <f t="shared" si="64"/>
        <v>0</v>
      </c>
      <c r="Y223" s="18"/>
    </row>
    <row r="224" spans="1:29" s="10" customFormat="1" ht="15" customHeight="1" x14ac:dyDescent="0.25">
      <c r="A224" s="29"/>
      <c r="B224" s="62" t="s">
        <v>74</v>
      </c>
      <c r="C224" s="61"/>
      <c r="D224" s="61"/>
      <c r="E224" s="61"/>
      <c r="F224" s="61"/>
      <c r="G224" s="61"/>
      <c r="H224" s="61"/>
      <c r="I224" s="61"/>
      <c r="J224" s="61"/>
      <c r="K224" s="388" t="s">
        <v>351</v>
      </c>
      <c r="L224" s="354">
        <v>500</v>
      </c>
      <c r="M224" s="7"/>
      <c r="N224" s="47"/>
      <c r="O224" s="47"/>
      <c r="P224" s="47"/>
      <c r="Q224" s="47"/>
      <c r="R224" s="268">
        <f>R225</f>
        <v>500000</v>
      </c>
      <c r="S224" s="295"/>
      <c r="T224" s="295"/>
      <c r="U224" s="295"/>
      <c r="V224" s="295"/>
      <c r="W224" s="268">
        <f t="shared" si="64"/>
        <v>0</v>
      </c>
      <c r="X224" s="268">
        <f t="shared" si="64"/>
        <v>0</v>
      </c>
      <c r="Y224" s="18"/>
      <c r="AC224" s="10" t="s">
        <v>583</v>
      </c>
    </row>
    <row r="225" spans="1:25" s="10" customFormat="1" ht="18" customHeight="1" thickBot="1" x14ac:dyDescent="0.3">
      <c r="A225" s="29"/>
      <c r="B225" s="62" t="s">
        <v>63</v>
      </c>
      <c r="C225" s="61"/>
      <c r="D225" s="61"/>
      <c r="E225" s="61"/>
      <c r="F225" s="61"/>
      <c r="G225" s="61"/>
      <c r="H225" s="61"/>
      <c r="I225" s="61"/>
      <c r="J225" s="61"/>
      <c r="K225" s="388" t="s">
        <v>351</v>
      </c>
      <c r="L225" s="354">
        <v>540</v>
      </c>
      <c r="M225" s="7"/>
      <c r="N225" s="47"/>
      <c r="O225" s="47"/>
      <c r="P225" s="47"/>
      <c r="Q225" s="47"/>
      <c r="R225" s="268">
        <f>'0'!V255</f>
        <v>500000</v>
      </c>
      <c r="S225" s="295"/>
      <c r="T225" s="295"/>
      <c r="U225" s="295"/>
      <c r="V225" s="295"/>
      <c r="W225" s="268">
        <f>'0'!AB255</f>
        <v>0</v>
      </c>
      <c r="X225" s="268">
        <f>'0'!AC255</f>
        <v>0</v>
      </c>
      <c r="Y225" s="18"/>
    </row>
    <row r="226" spans="1:25" s="36" customFormat="1" ht="28.5" customHeight="1" thickBot="1" x14ac:dyDescent="0.3">
      <c r="A226" s="34"/>
      <c r="B226" s="197" t="s">
        <v>445</v>
      </c>
      <c r="C226" s="198"/>
      <c r="D226" s="199"/>
      <c r="E226" s="200"/>
      <c r="F226" s="200"/>
      <c r="G226" s="200"/>
      <c r="H226" s="200"/>
      <c r="I226" s="200"/>
      <c r="J226" s="201"/>
      <c r="K226" s="351" t="s">
        <v>121</v>
      </c>
      <c r="L226" s="352">
        <v>0</v>
      </c>
      <c r="M226" s="120"/>
      <c r="N226" s="121"/>
      <c r="O226" s="121"/>
      <c r="P226" s="121"/>
      <c r="Q226" s="121"/>
      <c r="R226" s="264">
        <f>R230+R227</f>
        <v>847000</v>
      </c>
      <c r="S226" s="298"/>
      <c r="T226" s="298"/>
      <c r="U226" s="298"/>
      <c r="V226" s="298"/>
      <c r="W226" s="264">
        <f>W230</f>
        <v>0</v>
      </c>
      <c r="X226" s="264">
        <f>X230</f>
        <v>0</v>
      </c>
      <c r="Y226" s="35"/>
    </row>
    <row r="227" spans="1:25" s="10" customFormat="1" ht="51.75" customHeight="1" x14ac:dyDescent="0.25">
      <c r="A227" s="29"/>
      <c r="B227" s="62" t="s">
        <v>428</v>
      </c>
      <c r="C227" s="61"/>
      <c r="D227" s="61"/>
      <c r="E227" s="61"/>
      <c r="F227" s="61"/>
      <c r="G227" s="61"/>
      <c r="H227" s="61"/>
      <c r="I227" s="61"/>
      <c r="J227" s="61"/>
      <c r="K227" s="355" t="s">
        <v>405</v>
      </c>
      <c r="L227" s="354">
        <v>0</v>
      </c>
      <c r="M227" s="7"/>
      <c r="N227" s="47"/>
      <c r="O227" s="47"/>
      <c r="P227" s="47"/>
      <c r="Q227" s="47"/>
      <c r="R227" s="268">
        <f>R228</f>
        <v>450000</v>
      </c>
      <c r="S227" s="295"/>
      <c r="T227" s="295"/>
      <c r="U227" s="295"/>
      <c r="V227" s="295"/>
      <c r="W227" s="268">
        <f t="shared" ref="W227:X228" si="65">W228</f>
        <v>0</v>
      </c>
      <c r="X227" s="268">
        <f t="shared" si="65"/>
        <v>0</v>
      </c>
      <c r="Y227" s="18"/>
    </row>
    <row r="228" spans="1:25" s="10" customFormat="1" ht="26.25" customHeight="1" x14ac:dyDescent="0.25">
      <c r="A228" s="29"/>
      <c r="B228" s="151" t="s">
        <v>128</v>
      </c>
      <c r="C228" s="61"/>
      <c r="D228" s="61"/>
      <c r="E228" s="61"/>
      <c r="F228" s="61"/>
      <c r="G228" s="61"/>
      <c r="H228" s="61"/>
      <c r="I228" s="61"/>
      <c r="J228" s="61"/>
      <c r="K228" s="355" t="s">
        <v>405</v>
      </c>
      <c r="L228" s="354">
        <v>200</v>
      </c>
      <c r="M228" s="7"/>
      <c r="N228" s="47"/>
      <c r="O228" s="47"/>
      <c r="P228" s="47"/>
      <c r="Q228" s="47"/>
      <c r="R228" s="268">
        <f>R229</f>
        <v>450000</v>
      </c>
      <c r="S228" s="295"/>
      <c r="T228" s="295"/>
      <c r="U228" s="295"/>
      <c r="V228" s="295"/>
      <c r="W228" s="268">
        <f t="shared" si="65"/>
        <v>0</v>
      </c>
      <c r="X228" s="268">
        <f t="shared" si="65"/>
        <v>0</v>
      </c>
      <c r="Y228" s="18"/>
    </row>
    <row r="229" spans="1:25" s="10" customFormat="1" ht="24.75" customHeight="1" x14ac:dyDescent="0.25">
      <c r="A229" s="29"/>
      <c r="B229" s="53" t="s">
        <v>472</v>
      </c>
      <c r="C229" s="69"/>
      <c r="D229" s="69"/>
      <c r="E229" s="69"/>
      <c r="F229" s="69"/>
      <c r="G229" s="69"/>
      <c r="H229" s="69"/>
      <c r="I229" s="69"/>
      <c r="J229" s="69"/>
      <c r="K229" s="355" t="s">
        <v>405</v>
      </c>
      <c r="L229" s="356">
        <v>244</v>
      </c>
      <c r="M229" s="15"/>
      <c r="N229" s="51">
        <v>79429000</v>
      </c>
      <c r="O229" s="51">
        <v>0</v>
      </c>
      <c r="P229" s="51">
        <v>0</v>
      </c>
      <c r="Q229" s="51">
        <v>0</v>
      </c>
      <c r="R229" s="273">
        <f>'0'!V192+'0'!X192</f>
        <v>450000</v>
      </c>
      <c r="S229" s="295"/>
      <c r="T229" s="295"/>
      <c r="U229" s="295"/>
      <c r="V229" s="295"/>
      <c r="W229" s="273">
        <f>'0'!AB269</f>
        <v>0</v>
      </c>
      <c r="X229" s="273">
        <f>'0'!AD269</f>
        <v>0</v>
      </c>
      <c r="Y229" s="18"/>
    </row>
    <row r="230" spans="1:25" s="10" customFormat="1" ht="60.75" customHeight="1" x14ac:dyDescent="0.25">
      <c r="A230" s="29"/>
      <c r="B230" s="62" t="s">
        <v>457</v>
      </c>
      <c r="C230" s="61"/>
      <c r="D230" s="61"/>
      <c r="E230" s="61"/>
      <c r="F230" s="61"/>
      <c r="G230" s="61"/>
      <c r="H230" s="61"/>
      <c r="I230" s="61"/>
      <c r="J230" s="61"/>
      <c r="K230" s="355" t="s">
        <v>120</v>
      </c>
      <c r="L230" s="354">
        <v>0</v>
      </c>
      <c r="M230" s="7"/>
      <c r="N230" s="47"/>
      <c r="O230" s="47"/>
      <c r="P230" s="47"/>
      <c r="Q230" s="47"/>
      <c r="R230" s="268">
        <f>R231</f>
        <v>397000</v>
      </c>
      <c r="S230" s="295"/>
      <c r="T230" s="295"/>
      <c r="U230" s="295"/>
      <c r="V230" s="295"/>
      <c r="W230" s="268">
        <f t="shared" ref="W230:X231" si="66">W231</f>
        <v>0</v>
      </c>
      <c r="X230" s="268">
        <f t="shared" si="66"/>
        <v>0</v>
      </c>
      <c r="Y230" s="18"/>
    </row>
    <row r="231" spans="1:25" s="10" customFormat="1" ht="26.25" customHeight="1" x14ac:dyDescent="0.25">
      <c r="A231" s="29"/>
      <c r="B231" s="151" t="s">
        <v>128</v>
      </c>
      <c r="C231" s="61"/>
      <c r="D231" s="61"/>
      <c r="E231" s="61"/>
      <c r="F231" s="61"/>
      <c r="G231" s="61"/>
      <c r="H231" s="61"/>
      <c r="I231" s="61"/>
      <c r="J231" s="61"/>
      <c r="K231" s="355" t="s">
        <v>120</v>
      </c>
      <c r="L231" s="354">
        <v>200</v>
      </c>
      <c r="M231" s="7"/>
      <c r="N231" s="47"/>
      <c r="O231" s="47"/>
      <c r="P231" s="47"/>
      <c r="Q231" s="47"/>
      <c r="R231" s="268">
        <f>R232</f>
        <v>397000</v>
      </c>
      <c r="S231" s="295"/>
      <c r="T231" s="295"/>
      <c r="U231" s="295"/>
      <c r="V231" s="295"/>
      <c r="W231" s="268">
        <f t="shared" si="66"/>
        <v>0</v>
      </c>
      <c r="X231" s="268">
        <f t="shared" si="66"/>
        <v>0</v>
      </c>
      <c r="Y231" s="18"/>
    </row>
    <row r="232" spans="1:25" s="10" customFormat="1" ht="24.75" customHeight="1" thickBot="1" x14ac:dyDescent="0.3">
      <c r="A232" s="29"/>
      <c r="B232" s="229" t="s">
        <v>506</v>
      </c>
      <c r="C232" s="69"/>
      <c r="D232" s="69"/>
      <c r="E232" s="69"/>
      <c r="F232" s="69"/>
      <c r="G232" s="69"/>
      <c r="H232" s="69"/>
      <c r="I232" s="69"/>
      <c r="J232" s="69"/>
      <c r="K232" s="355" t="s">
        <v>120</v>
      </c>
      <c r="L232" s="356">
        <v>244</v>
      </c>
      <c r="M232" s="15"/>
      <c r="N232" s="51">
        <v>79429000</v>
      </c>
      <c r="O232" s="51">
        <v>0</v>
      </c>
      <c r="P232" s="51">
        <v>0</v>
      </c>
      <c r="Q232" s="51">
        <v>0</v>
      </c>
      <c r="R232" s="273">
        <f>'0'!V272+'0'!X272</f>
        <v>397000</v>
      </c>
      <c r="S232" s="295"/>
      <c r="T232" s="295"/>
      <c r="U232" s="295"/>
      <c r="V232" s="295"/>
      <c r="W232" s="273">
        <f>'0'!AB272</f>
        <v>0</v>
      </c>
      <c r="X232" s="273">
        <f>'0'!AD272</f>
        <v>0</v>
      </c>
      <c r="Y232" s="18"/>
    </row>
    <row r="233" spans="1:25" s="36" customFormat="1" ht="28.5" customHeight="1" thickBot="1" x14ac:dyDescent="0.3">
      <c r="A233" s="34"/>
      <c r="B233" s="197" t="s">
        <v>458</v>
      </c>
      <c r="C233" s="198"/>
      <c r="D233" s="199"/>
      <c r="E233" s="200"/>
      <c r="F233" s="200"/>
      <c r="G233" s="200"/>
      <c r="H233" s="200"/>
      <c r="I233" s="200"/>
      <c r="J233" s="201"/>
      <c r="K233" s="351" t="s">
        <v>148</v>
      </c>
      <c r="L233" s="352">
        <v>0</v>
      </c>
      <c r="M233" s="120"/>
      <c r="N233" s="121"/>
      <c r="O233" s="121"/>
      <c r="P233" s="121"/>
      <c r="Q233" s="121"/>
      <c r="R233" s="264">
        <f>R234</f>
        <v>178200</v>
      </c>
      <c r="S233" s="298"/>
      <c r="T233" s="298"/>
      <c r="U233" s="298"/>
      <c r="V233" s="298"/>
      <c r="W233" s="264">
        <f t="shared" ref="W233:X235" si="67">W234</f>
        <v>0</v>
      </c>
      <c r="X233" s="264">
        <f t="shared" si="67"/>
        <v>0</v>
      </c>
      <c r="Y233" s="35"/>
    </row>
    <row r="234" spans="1:25" s="10" customFormat="1" ht="51.75" customHeight="1" x14ac:dyDescent="0.25">
      <c r="A234" s="29"/>
      <c r="B234" s="62" t="s">
        <v>459</v>
      </c>
      <c r="C234" s="61"/>
      <c r="D234" s="61"/>
      <c r="E234" s="61"/>
      <c r="F234" s="61"/>
      <c r="G234" s="61"/>
      <c r="H234" s="61"/>
      <c r="I234" s="61"/>
      <c r="J234" s="61"/>
      <c r="K234" s="355" t="s">
        <v>147</v>
      </c>
      <c r="L234" s="354">
        <v>0</v>
      </c>
      <c r="M234" s="7"/>
      <c r="N234" s="47"/>
      <c r="O234" s="47"/>
      <c r="P234" s="47"/>
      <c r="Q234" s="47"/>
      <c r="R234" s="268">
        <f>R235</f>
        <v>178200</v>
      </c>
      <c r="S234" s="295"/>
      <c r="T234" s="295"/>
      <c r="U234" s="295"/>
      <c r="V234" s="295"/>
      <c r="W234" s="268">
        <f t="shared" si="67"/>
        <v>0</v>
      </c>
      <c r="X234" s="268">
        <f t="shared" si="67"/>
        <v>0</v>
      </c>
      <c r="Y234" s="18"/>
    </row>
    <row r="235" spans="1:25" s="10" customFormat="1" ht="26.25" customHeight="1" x14ac:dyDescent="0.25">
      <c r="A235" s="29"/>
      <c r="B235" s="151" t="s">
        <v>128</v>
      </c>
      <c r="C235" s="61"/>
      <c r="D235" s="61"/>
      <c r="E235" s="61"/>
      <c r="F235" s="61"/>
      <c r="G235" s="61"/>
      <c r="H235" s="61"/>
      <c r="I235" s="61"/>
      <c r="J235" s="61"/>
      <c r="K235" s="355" t="s">
        <v>147</v>
      </c>
      <c r="L235" s="354">
        <v>200</v>
      </c>
      <c r="M235" s="7"/>
      <c r="N235" s="47"/>
      <c r="O235" s="47"/>
      <c r="P235" s="47"/>
      <c r="Q235" s="47"/>
      <c r="R235" s="268">
        <f>R236</f>
        <v>178200</v>
      </c>
      <c r="S235" s="295"/>
      <c r="T235" s="295"/>
      <c r="U235" s="295"/>
      <c r="V235" s="295"/>
      <c r="W235" s="268">
        <f t="shared" si="67"/>
        <v>0</v>
      </c>
      <c r="X235" s="268">
        <f t="shared" si="67"/>
        <v>0</v>
      </c>
      <c r="Y235" s="18"/>
    </row>
    <row r="236" spans="1:25" s="10" customFormat="1" ht="25.5" customHeight="1" thickBot="1" x14ac:dyDescent="0.3">
      <c r="A236" s="29"/>
      <c r="B236" s="101" t="s">
        <v>81</v>
      </c>
      <c r="C236" s="69"/>
      <c r="D236" s="69"/>
      <c r="E236" s="69"/>
      <c r="F236" s="69"/>
      <c r="G236" s="69"/>
      <c r="H236" s="69"/>
      <c r="I236" s="69"/>
      <c r="J236" s="69"/>
      <c r="K236" s="355" t="s">
        <v>147</v>
      </c>
      <c r="L236" s="356">
        <v>244</v>
      </c>
      <c r="M236" s="15"/>
      <c r="N236" s="51">
        <v>79429000</v>
      </c>
      <c r="O236" s="51">
        <v>0</v>
      </c>
      <c r="P236" s="51">
        <v>0</v>
      </c>
      <c r="Q236" s="51">
        <v>0</v>
      </c>
      <c r="R236" s="273">
        <f>'0'!V341+'0'!X341</f>
        <v>178200</v>
      </c>
      <c r="S236" s="295"/>
      <c r="T236" s="295"/>
      <c r="U236" s="295"/>
      <c r="V236" s="295"/>
      <c r="W236" s="273">
        <f>'0'!AC341</f>
        <v>0</v>
      </c>
      <c r="X236" s="273">
        <f>'0'!AD341</f>
        <v>0</v>
      </c>
      <c r="Y236" s="18"/>
    </row>
    <row r="237" spans="1:25" s="36" customFormat="1" ht="18.75" customHeight="1" thickBot="1" x14ac:dyDescent="0.3">
      <c r="A237" s="34"/>
      <c r="B237" s="197" t="s">
        <v>460</v>
      </c>
      <c r="C237" s="198"/>
      <c r="D237" s="199"/>
      <c r="E237" s="200"/>
      <c r="F237" s="200"/>
      <c r="G237" s="200"/>
      <c r="H237" s="200"/>
      <c r="I237" s="200"/>
      <c r="J237" s="201"/>
      <c r="K237" s="351" t="s">
        <v>149</v>
      </c>
      <c r="L237" s="352">
        <v>0</v>
      </c>
      <c r="M237" s="120"/>
      <c r="N237" s="121"/>
      <c r="O237" s="121"/>
      <c r="P237" s="121"/>
      <c r="Q237" s="121"/>
      <c r="R237" s="264">
        <f>R238</f>
        <v>1798502.93</v>
      </c>
      <c r="S237" s="298"/>
      <c r="T237" s="298"/>
      <c r="U237" s="298"/>
      <c r="V237" s="298"/>
      <c r="W237" s="264">
        <f t="shared" ref="W237:X238" si="68">W238</f>
        <v>0</v>
      </c>
      <c r="X237" s="264">
        <f t="shared" si="68"/>
        <v>0</v>
      </c>
      <c r="Y237" s="35"/>
    </row>
    <row r="238" spans="1:25" s="10" customFormat="1" ht="51.75" customHeight="1" x14ac:dyDescent="0.25">
      <c r="A238" s="29"/>
      <c r="B238" s="62" t="s">
        <v>510</v>
      </c>
      <c r="C238" s="61"/>
      <c r="D238" s="61"/>
      <c r="E238" s="61"/>
      <c r="F238" s="61"/>
      <c r="G238" s="61"/>
      <c r="H238" s="61"/>
      <c r="I238" s="61"/>
      <c r="J238" s="61"/>
      <c r="K238" s="389" t="s">
        <v>388</v>
      </c>
      <c r="L238" s="354">
        <v>0</v>
      </c>
      <c r="M238" s="7"/>
      <c r="N238" s="47"/>
      <c r="O238" s="47"/>
      <c r="P238" s="47"/>
      <c r="Q238" s="47"/>
      <c r="R238" s="268">
        <f>R239</f>
        <v>1798502.93</v>
      </c>
      <c r="S238" s="295"/>
      <c r="T238" s="295"/>
      <c r="U238" s="295"/>
      <c r="V238" s="295"/>
      <c r="W238" s="268">
        <f t="shared" si="68"/>
        <v>0</v>
      </c>
      <c r="X238" s="268">
        <f t="shared" si="68"/>
        <v>0</v>
      </c>
      <c r="Y238" s="18"/>
    </row>
    <row r="239" spans="1:25" s="10" customFormat="1" ht="36" customHeight="1" x14ac:dyDescent="0.25">
      <c r="A239" s="29"/>
      <c r="B239" s="63" t="s">
        <v>75</v>
      </c>
      <c r="C239" s="61"/>
      <c r="D239" s="61"/>
      <c r="E239" s="61"/>
      <c r="F239" s="61"/>
      <c r="G239" s="61"/>
      <c r="H239" s="61"/>
      <c r="I239" s="61"/>
      <c r="J239" s="61"/>
      <c r="K239" s="389" t="s">
        <v>388</v>
      </c>
      <c r="L239" s="348">
        <v>100</v>
      </c>
      <c r="M239" s="7"/>
      <c r="N239" s="47"/>
      <c r="O239" s="47"/>
      <c r="P239" s="47"/>
      <c r="Q239" s="47"/>
      <c r="R239" s="268">
        <f>R240+R241+R242+R243</f>
        <v>1798502.93</v>
      </c>
      <c r="S239" s="295"/>
      <c r="T239" s="295"/>
      <c r="U239" s="295"/>
      <c r="V239" s="295"/>
      <c r="W239" s="268">
        <f t="shared" ref="W239:X239" si="69">W240+W241</f>
        <v>0</v>
      </c>
      <c r="X239" s="268">
        <f t="shared" si="69"/>
        <v>0</v>
      </c>
      <c r="Y239" s="18"/>
    </row>
    <row r="240" spans="1:25" s="10" customFormat="1" ht="17.399999999999999" customHeight="1" x14ac:dyDescent="0.25">
      <c r="A240" s="29"/>
      <c r="B240" s="239" t="s">
        <v>138</v>
      </c>
      <c r="C240" s="61"/>
      <c r="D240" s="61"/>
      <c r="E240" s="61"/>
      <c r="F240" s="61"/>
      <c r="G240" s="61"/>
      <c r="H240" s="61"/>
      <c r="I240" s="61"/>
      <c r="J240" s="61"/>
      <c r="K240" s="389" t="s">
        <v>388</v>
      </c>
      <c r="L240" s="348">
        <v>111</v>
      </c>
      <c r="M240" s="7"/>
      <c r="N240" s="47"/>
      <c r="O240" s="47"/>
      <c r="P240" s="47"/>
      <c r="Q240" s="47"/>
      <c r="R240" s="268">
        <f>'0'!V439+'0'!X439+'0'!V441</f>
        <v>678215.5</v>
      </c>
      <c r="S240" s="295"/>
      <c r="T240" s="295"/>
      <c r="U240" s="295"/>
      <c r="V240" s="295"/>
      <c r="W240" s="268">
        <f>'0'!AB439</f>
        <v>0</v>
      </c>
      <c r="X240" s="268">
        <f>'0'!AC439</f>
        <v>0</v>
      </c>
      <c r="Y240" s="18"/>
    </row>
    <row r="241" spans="1:25" s="10" customFormat="1" ht="23.4" customHeight="1" x14ac:dyDescent="0.25">
      <c r="A241" s="29"/>
      <c r="B241" s="239" t="s">
        <v>134</v>
      </c>
      <c r="C241" s="61"/>
      <c r="D241" s="61"/>
      <c r="E241" s="61"/>
      <c r="F241" s="61"/>
      <c r="G241" s="61"/>
      <c r="H241" s="61"/>
      <c r="I241" s="61"/>
      <c r="J241" s="61"/>
      <c r="K241" s="389" t="s">
        <v>388</v>
      </c>
      <c r="L241" s="348">
        <v>119</v>
      </c>
      <c r="M241" s="7"/>
      <c r="N241" s="47">
        <v>79429000</v>
      </c>
      <c r="O241" s="47">
        <v>0</v>
      </c>
      <c r="P241" s="47">
        <v>0</v>
      </c>
      <c r="Q241" s="47">
        <v>0</v>
      </c>
      <c r="R241" s="268">
        <f>'0'!V440+'0'!X440+'0'!V442</f>
        <v>207252.43</v>
      </c>
      <c r="S241" s="295"/>
      <c r="T241" s="295"/>
      <c r="U241" s="295"/>
      <c r="V241" s="295"/>
      <c r="W241" s="268">
        <f>'0'!AB440</f>
        <v>0</v>
      </c>
      <c r="X241" s="268">
        <f>'0'!AC440</f>
        <v>0</v>
      </c>
      <c r="Y241" s="18"/>
    </row>
    <row r="242" spans="1:25" s="10" customFormat="1" ht="13.5" customHeight="1" x14ac:dyDescent="0.25">
      <c r="A242" s="29"/>
      <c r="B242" s="242" t="s">
        <v>138</v>
      </c>
      <c r="C242" s="61"/>
      <c r="D242" s="61"/>
      <c r="E242" s="61"/>
      <c r="F242" s="61"/>
      <c r="G242" s="61"/>
      <c r="H242" s="61"/>
      <c r="I242" s="61"/>
      <c r="J242" s="61"/>
      <c r="K242" s="390" t="s">
        <v>572</v>
      </c>
      <c r="L242" s="348">
        <v>111</v>
      </c>
      <c r="M242" s="7"/>
      <c r="N242" s="47"/>
      <c r="O242" s="47"/>
      <c r="P242" s="47"/>
      <c r="Q242" s="47"/>
      <c r="R242" s="268">
        <f>'0'!V437+'0'!X437</f>
        <v>665602.5</v>
      </c>
      <c r="S242" s="295"/>
      <c r="T242" s="295"/>
      <c r="U242" s="295"/>
      <c r="V242" s="295"/>
      <c r="W242" s="268">
        <v>0</v>
      </c>
      <c r="X242" s="268">
        <v>0</v>
      </c>
    </row>
    <row r="243" spans="1:25" s="10" customFormat="1" ht="13.5" customHeight="1" x14ac:dyDescent="0.25">
      <c r="A243" s="29"/>
      <c r="B243" s="242" t="s">
        <v>134</v>
      </c>
      <c r="C243" s="61"/>
      <c r="D243" s="61"/>
      <c r="E243" s="61"/>
      <c r="F243" s="61"/>
      <c r="G243" s="61"/>
      <c r="H243" s="61"/>
      <c r="I243" s="61"/>
      <c r="J243" s="61"/>
      <c r="K243" s="390" t="s">
        <v>572</v>
      </c>
      <c r="L243" s="348">
        <v>119</v>
      </c>
      <c r="M243" s="7"/>
      <c r="N243" s="47">
        <v>79429000</v>
      </c>
      <c r="O243" s="47">
        <v>0</v>
      </c>
      <c r="P243" s="47">
        <v>0</v>
      </c>
      <c r="Q243" s="47">
        <v>0</v>
      </c>
      <c r="R243" s="268">
        <f>'0'!V438+'0'!X438</f>
        <v>247432.5</v>
      </c>
      <c r="S243" s="295"/>
      <c r="T243" s="295"/>
      <c r="U243" s="295"/>
      <c r="V243" s="295"/>
      <c r="W243" s="268">
        <v>0</v>
      </c>
      <c r="X243" s="268">
        <v>0</v>
      </c>
    </row>
    <row r="244" spans="1:25" s="36" customFormat="1" ht="13.8" thickBot="1" x14ac:dyDescent="0.3">
      <c r="A244" s="170"/>
      <c r="B244" s="210" t="s">
        <v>22</v>
      </c>
      <c r="C244" s="211"/>
      <c r="D244" s="211"/>
      <c r="E244" s="211"/>
      <c r="F244" s="211"/>
      <c r="G244" s="211"/>
      <c r="H244" s="211"/>
      <c r="I244" s="211"/>
      <c r="J244" s="211"/>
      <c r="K244" s="391"/>
      <c r="L244" s="392"/>
      <c r="M244" s="212" t="s">
        <v>20</v>
      </c>
      <c r="N244" s="213">
        <v>1663111600</v>
      </c>
      <c r="O244" s="213">
        <v>726845000</v>
      </c>
      <c r="P244" s="213">
        <v>469429000</v>
      </c>
      <c r="Q244" s="214">
        <v>387241100</v>
      </c>
      <c r="R244" s="306">
        <f>R226+R202+R176+R171+R159+R132+R114+R107+R63+R38+R27+R233+R237+R46+R54</f>
        <v>60644464.370000005</v>
      </c>
      <c r="S244" s="306">
        <f t="shared" ref="S244:X244" si="70">S226+S202+S176+S171+S159+S132+S114+S107+S63+S38+S27+S233+S237+S46+S54</f>
        <v>0</v>
      </c>
      <c r="T244" s="306">
        <f t="shared" si="70"/>
        <v>0</v>
      </c>
      <c r="U244" s="306">
        <f t="shared" si="70"/>
        <v>0</v>
      </c>
      <c r="V244" s="306">
        <f t="shared" si="70"/>
        <v>0</v>
      </c>
      <c r="W244" s="306">
        <f t="shared" si="70"/>
        <v>28097254.5</v>
      </c>
      <c r="X244" s="306">
        <f t="shared" si="70"/>
        <v>28644374.5</v>
      </c>
      <c r="Y244" s="35"/>
    </row>
    <row r="245" spans="1:25" s="10" customFormat="1" ht="0.75" hidden="1" customHeight="1" x14ac:dyDescent="0.25">
      <c r="B245" s="203"/>
      <c r="C245" s="204">
        <v>11</v>
      </c>
      <c r="D245" s="204">
        <v>0</v>
      </c>
      <c r="E245" s="205"/>
      <c r="F245" s="205"/>
      <c r="G245" s="205"/>
      <c r="H245" s="205"/>
      <c r="I245" s="205"/>
      <c r="J245" s="205"/>
      <c r="K245" s="292"/>
      <c r="L245" s="292"/>
      <c r="R245" s="18"/>
      <c r="S245" s="18"/>
      <c r="T245" s="18"/>
      <c r="U245" s="18"/>
      <c r="V245" s="18"/>
      <c r="W245" s="18"/>
      <c r="X245" s="36"/>
      <c r="Y245" s="18"/>
    </row>
    <row r="246" spans="1:25" s="10" customFormat="1" ht="14.25" hidden="1" customHeight="1" x14ac:dyDescent="0.25">
      <c r="B246" s="68"/>
      <c r="C246" s="206">
        <v>11</v>
      </c>
      <c r="D246" s="206">
        <v>4</v>
      </c>
      <c r="E246" s="205"/>
      <c r="F246" s="205"/>
      <c r="G246" s="205"/>
      <c r="H246" s="205"/>
      <c r="I246" s="205"/>
      <c r="J246" s="205"/>
      <c r="K246" s="292"/>
      <c r="L246" s="292"/>
      <c r="R246" s="18">
        <v>32816600</v>
      </c>
      <c r="S246" s="18"/>
      <c r="T246" s="18"/>
      <c r="U246" s="18"/>
      <c r="V246" s="18"/>
      <c r="W246" s="18"/>
      <c r="Y246" s="18"/>
    </row>
    <row r="247" spans="1:25" s="10" customFormat="1" hidden="1" x14ac:dyDescent="0.25">
      <c r="B247" s="207"/>
      <c r="C247" s="205"/>
      <c r="D247" s="205"/>
      <c r="E247" s="205"/>
      <c r="F247" s="205"/>
      <c r="G247" s="205"/>
      <c r="H247" s="205"/>
      <c r="I247" s="205"/>
      <c r="J247" s="205"/>
      <c r="K247" s="292"/>
      <c r="L247" s="292"/>
      <c r="R247" s="18">
        <f>R244-R246</f>
        <v>27827864.370000005</v>
      </c>
      <c r="Y247" s="18"/>
    </row>
    <row r="248" spans="1:25" s="10" customFormat="1" ht="0.75" customHeight="1" x14ac:dyDescent="0.25">
      <c r="B248" s="208"/>
      <c r="C248" s="205"/>
      <c r="D248" s="205"/>
      <c r="E248" s="205"/>
      <c r="F248" s="205"/>
      <c r="G248" s="205"/>
      <c r="H248" s="205"/>
      <c r="I248" s="205"/>
      <c r="J248" s="205"/>
      <c r="K248" s="292"/>
      <c r="L248" s="292"/>
      <c r="R248" s="216">
        <v>32789840</v>
      </c>
      <c r="W248" s="220">
        <f>'0'!AB446</f>
        <v>26196640</v>
      </c>
      <c r="X248" s="220">
        <f>'0'!AC446</f>
        <v>26743760</v>
      </c>
      <c r="Y248" s="18"/>
    </row>
    <row r="249" spans="1:25" s="10" customFormat="1" hidden="1" x14ac:dyDescent="0.25">
      <c r="B249" s="209"/>
      <c r="C249" s="171"/>
      <c r="D249" s="171"/>
      <c r="E249" s="171"/>
      <c r="F249" s="171"/>
      <c r="G249" s="171"/>
      <c r="H249" s="171"/>
      <c r="I249" s="171"/>
      <c r="J249" s="171"/>
      <c r="K249" s="292"/>
      <c r="L249" s="292"/>
      <c r="R249" s="219">
        <f>R244-'0'!V446</f>
        <v>1820000.0000000075</v>
      </c>
      <c r="W249" s="18">
        <f>W244-W248</f>
        <v>1900614.5</v>
      </c>
      <c r="X249" s="18">
        <f>X244-X248</f>
        <v>1900614.5</v>
      </c>
      <c r="Y249" s="18"/>
    </row>
    <row r="250" spans="1:25" hidden="1" x14ac:dyDescent="0.25">
      <c r="B250" s="209"/>
      <c r="C250" s="44"/>
      <c r="D250" s="44"/>
      <c r="E250" s="44"/>
      <c r="F250" s="44"/>
      <c r="G250" s="44"/>
      <c r="H250" s="44"/>
      <c r="I250" s="44"/>
      <c r="J250" s="44"/>
      <c r="R250" s="131"/>
      <c r="X250" s="10"/>
    </row>
    <row r="251" spans="1:25" hidden="1" x14ac:dyDescent="0.25">
      <c r="B251" s="56"/>
      <c r="C251" s="44"/>
      <c r="D251" s="44"/>
      <c r="E251" s="44"/>
      <c r="F251" s="44"/>
      <c r="G251" s="44"/>
      <c r="H251" s="44"/>
      <c r="I251" s="44"/>
      <c r="J251" s="44"/>
      <c r="R251" s="131">
        <v>57588954.369999997</v>
      </c>
      <c r="W251" s="131">
        <v>26196640</v>
      </c>
      <c r="X251" s="131">
        <v>26743760</v>
      </c>
    </row>
    <row r="252" spans="1:25" hidden="1" x14ac:dyDescent="0.25">
      <c r="B252" s="56"/>
      <c r="C252" s="44"/>
      <c r="D252" s="44"/>
      <c r="E252" s="44"/>
      <c r="F252" s="44"/>
      <c r="G252" s="44"/>
      <c r="H252" s="44"/>
      <c r="I252" s="44"/>
      <c r="J252" s="44"/>
      <c r="R252" s="216">
        <v>26306020</v>
      </c>
      <c r="S252" s="215"/>
      <c r="T252" s="217"/>
      <c r="U252" s="217"/>
      <c r="V252" s="219">
        <v>25984100</v>
      </c>
      <c r="W252" s="219">
        <v>25984100</v>
      </c>
      <c r="X252" s="219">
        <v>26517920</v>
      </c>
    </row>
    <row r="253" spans="1:25" hidden="1" x14ac:dyDescent="0.25">
      <c r="B253" s="56"/>
      <c r="C253" s="44"/>
      <c r="D253" s="44"/>
      <c r="E253" s="44"/>
      <c r="F253" s="44"/>
      <c r="G253" s="44"/>
      <c r="H253" s="44"/>
      <c r="I253" s="44"/>
      <c r="J253" s="44"/>
      <c r="R253" s="131"/>
    </row>
    <row r="254" spans="1:25" hidden="1" x14ac:dyDescent="0.25">
      <c r="B254" s="56"/>
      <c r="C254" s="44"/>
      <c r="D254" s="44"/>
      <c r="E254" s="44"/>
      <c r="F254" s="44"/>
      <c r="G254" s="44"/>
      <c r="H254" s="44"/>
      <c r="I254" s="44"/>
      <c r="J254" s="44"/>
      <c r="R254" s="131">
        <f>R244-R252</f>
        <v>34338444.370000005</v>
      </c>
      <c r="S254" s="131">
        <f t="shared" ref="S254:X254" si="71">S244-S252</f>
        <v>0</v>
      </c>
      <c r="T254" s="131">
        <f t="shared" si="71"/>
        <v>0</v>
      </c>
      <c r="U254" s="131">
        <f t="shared" si="71"/>
        <v>0</v>
      </c>
      <c r="V254" s="131">
        <f t="shared" si="71"/>
        <v>-25984100</v>
      </c>
      <c r="W254" s="131">
        <f t="shared" si="71"/>
        <v>2113154.5</v>
      </c>
      <c r="X254" s="131">
        <f t="shared" si="71"/>
        <v>2126454.5</v>
      </c>
    </row>
    <row r="255" spans="1:25" hidden="1" x14ac:dyDescent="0.25">
      <c r="B255" s="56"/>
      <c r="C255" s="44"/>
      <c r="D255" s="44"/>
      <c r="E255" s="44"/>
      <c r="F255" s="44"/>
      <c r="G255" s="44"/>
      <c r="H255" s="44"/>
      <c r="I255" s="44"/>
      <c r="J255" s="44"/>
    </row>
    <row r="256" spans="1:25" hidden="1" x14ac:dyDescent="0.25">
      <c r="B256" s="56"/>
      <c r="C256" s="44"/>
      <c r="D256" s="44"/>
      <c r="E256" s="44"/>
      <c r="F256" s="44"/>
      <c r="G256" s="44"/>
      <c r="H256" s="44"/>
      <c r="I256" s="44"/>
      <c r="J256" s="44"/>
      <c r="W256" s="131">
        <f>W244-W251</f>
        <v>1900614.5</v>
      </c>
      <c r="X256" s="131">
        <f>X244-X251</f>
        <v>1900614.5</v>
      </c>
    </row>
    <row r="257" spans="2:26" hidden="1" x14ac:dyDescent="0.25">
      <c r="B257" s="56"/>
      <c r="C257" s="44"/>
      <c r="D257" s="44"/>
      <c r="E257" s="44"/>
      <c r="F257" s="44"/>
      <c r="G257" s="44"/>
      <c r="H257" s="44"/>
      <c r="I257" s="44"/>
      <c r="J257" s="44"/>
    </row>
    <row r="258" spans="2:26" hidden="1" x14ac:dyDescent="0.25">
      <c r="B258" s="56"/>
      <c r="C258" s="44"/>
      <c r="D258" s="44"/>
      <c r="E258" s="44"/>
      <c r="F258" s="44"/>
      <c r="G258" s="44"/>
      <c r="H258" s="44"/>
      <c r="I258" s="44"/>
      <c r="J258" s="44"/>
      <c r="W258" s="131">
        <v>28097254.5</v>
      </c>
      <c r="X258" s="131">
        <v>28644374.5</v>
      </c>
    </row>
    <row r="259" spans="2:26" hidden="1" x14ac:dyDescent="0.25">
      <c r="B259" s="56"/>
      <c r="C259" s="44"/>
      <c r="D259" s="44"/>
      <c r="E259" s="44"/>
      <c r="F259" s="44"/>
      <c r="G259" s="44"/>
      <c r="H259" s="44"/>
      <c r="I259" s="44"/>
      <c r="J259" s="44"/>
      <c r="W259" s="131">
        <f>W244-W258</f>
        <v>0</v>
      </c>
      <c r="X259" s="131">
        <f>X244-X258</f>
        <v>0</v>
      </c>
    </row>
    <row r="260" spans="2:26" hidden="1" x14ac:dyDescent="0.25">
      <c r="B260" s="56"/>
      <c r="C260" s="44"/>
      <c r="D260" s="44"/>
      <c r="E260" s="44"/>
      <c r="F260" s="44"/>
      <c r="G260" s="44"/>
      <c r="H260" s="44"/>
      <c r="I260" s="44"/>
      <c r="J260" s="44"/>
    </row>
    <row r="261" spans="2:26" hidden="1" x14ac:dyDescent="0.25">
      <c r="B261" s="56"/>
      <c r="C261" s="44"/>
      <c r="D261" s="44"/>
      <c r="E261" s="44"/>
      <c r="F261" s="44"/>
      <c r="G261" s="44"/>
      <c r="H261" s="44"/>
      <c r="I261" s="44"/>
      <c r="J261" s="44"/>
    </row>
    <row r="262" spans="2:26" ht="11.4" customHeight="1" x14ac:dyDescent="0.25">
      <c r="B262" s="56"/>
      <c r="C262" s="44"/>
      <c r="D262" s="44"/>
      <c r="E262" s="44"/>
      <c r="F262" s="44"/>
      <c r="G262" s="44"/>
      <c r="H262" s="44"/>
      <c r="I262" s="44"/>
      <c r="J262" s="44"/>
      <c r="Y262" s="27"/>
    </row>
    <row r="263" spans="2:26" ht="4.2" hidden="1" customHeight="1" x14ac:dyDescent="0.3">
      <c r="B263" s="56"/>
      <c r="C263" s="44"/>
      <c r="D263" s="44"/>
      <c r="E263" s="44"/>
      <c r="F263" s="44"/>
      <c r="G263" s="44"/>
      <c r="H263" s="44"/>
      <c r="I263" s="44"/>
      <c r="J263" s="44"/>
      <c r="R263" s="255">
        <v>60644464.370000012</v>
      </c>
      <c r="Y263" s="27"/>
    </row>
    <row r="264" spans="2:26" hidden="1" x14ac:dyDescent="0.25">
      <c r="B264" s="56"/>
      <c r="C264" s="44"/>
      <c r="D264" s="44"/>
      <c r="E264" s="44"/>
      <c r="F264" s="44"/>
      <c r="G264" s="44"/>
      <c r="H264" s="44"/>
      <c r="I264" s="44"/>
      <c r="J264" s="44"/>
      <c r="Y264" s="27"/>
    </row>
    <row r="265" spans="2:26" hidden="1" x14ac:dyDescent="0.25">
      <c r="B265" s="56"/>
      <c r="C265" s="44"/>
      <c r="D265" s="44"/>
      <c r="E265" s="44"/>
      <c r="F265" s="44"/>
      <c r="G265" s="44"/>
      <c r="H265" s="44"/>
      <c r="I265" s="44"/>
      <c r="J265" s="44"/>
      <c r="R265" s="131">
        <f>R244-R263</f>
        <v>0</v>
      </c>
      <c r="Y265" s="27"/>
    </row>
    <row r="266" spans="2:26" x14ac:dyDescent="0.25">
      <c r="B266" s="56"/>
      <c r="C266" s="44"/>
      <c r="D266" s="44"/>
      <c r="E266" s="44"/>
      <c r="F266" s="44"/>
      <c r="G266" s="44"/>
      <c r="H266" s="44"/>
      <c r="I266" s="44"/>
      <c r="J266" s="44"/>
      <c r="R266" s="131"/>
      <c r="Y266" s="27">
        <v>28644374.5</v>
      </c>
      <c r="Z266" s="27">
        <v>239340</v>
      </c>
    </row>
    <row r="267" spans="2:26" x14ac:dyDescent="0.25">
      <c r="B267" s="56"/>
      <c r="C267" s="44"/>
      <c r="D267" s="44"/>
      <c r="E267" s="44"/>
      <c r="F267" s="44"/>
      <c r="G267" s="44"/>
      <c r="H267" s="44"/>
      <c r="I267" s="44"/>
      <c r="J267" s="44"/>
      <c r="Y267" s="27"/>
    </row>
    <row r="268" spans="2:26" x14ac:dyDescent="0.25">
      <c r="B268" s="56"/>
      <c r="C268" s="44"/>
      <c r="D268" s="44"/>
      <c r="E268" s="44"/>
      <c r="F268" s="44"/>
      <c r="G268" s="44"/>
      <c r="H268" s="44"/>
      <c r="I268" s="44"/>
      <c r="J268" s="44"/>
      <c r="Y268" s="27"/>
    </row>
    <row r="269" spans="2:26" x14ac:dyDescent="0.25">
      <c r="B269" s="56"/>
      <c r="C269" s="44"/>
      <c r="D269" s="44"/>
      <c r="E269" s="44"/>
      <c r="F269" s="44"/>
      <c r="G269" s="44"/>
      <c r="H269" s="44"/>
      <c r="I269" s="44"/>
      <c r="J269" s="44"/>
      <c r="Y269" s="27"/>
    </row>
    <row r="270" spans="2:26" x14ac:dyDescent="0.25">
      <c r="C270" s="44"/>
      <c r="D270" s="44"/>
      <c r="E270" s="44"/>
      <c r="F270" s="44"/>
      <c r="G270" s="44"/>
      <c r="H270" s="44"/>
      <c r="I270" s="44"/>
      <c r="J270" s="44"/>
      <c r="Y270" s="27"/>
    </row>
    <row r="271" spans="2:26" x14ac:dyDescent="0.25">
      <c r="C271" s="44"/>
      <c r="D271" s="44"/>
      <c r="E271" s="44"/>
      <c r="F271" s="44"/>
      <c r="G271" s="44"/>
      <c r="H271" s="44"/>
      <c r="I271" s="44"/>
      <c r="J271" s="44"/>
      <c r="Y271" s="27"/>
    </row>
    <row r="272" spans="2:26" x14ac:dyDescent="0.25">
      <c r="B272" s="27"/>
      <c r="C272" s="44"/>
      <c r="D272" s="44"/>
      <c r="E272" s="44"/>
      <c r="F272" s="44"/>
      <c r="G272" s="44"/>
      <c r="H272" s="44"/>
      <c r="I272" s="44"/>
      <c r="J272" s="44"/>
      <c r="Y272" s="27"/>
    </row>
    <row r="273" spans="2:25" x14ac:dyDescent="0.25">
      <c r="B273" s="27"/>
      <c r="C273" s="44"/>
      <c r="D273" s="44"/>
      <c r="E273" s="44"/>
      <c r="F273" s="44"/>
      <c r="G273" s="44"/>
      <c r="H273" s="44"/>
      <c r="I273" s="44"/>
      <c r="J273" s="44"/>
      <c r="Y273" s="27"/>
    </row>
    <row r="274" spans="2:25" x14ac:dyDescent="0.25">
      <c r="B274" s="27"/>
      <c r="C274" s="44"/>
      <c r="D274" s="44"/>
      <c r="E274" s="44"/>
      <c r="F274" s="44"/>
      <c r="G274" s="44"/>
      <c r="H274" s="44"/>
      <c r="I274" s="44"/>
      <c r="J274" s="44"/>
      <c r="Y274" s="27"/>
    </row>
    <row r="275" spans="2:25" x14ac:dyDescent="0.25">
      <c r="B275" s="27"/>
      <c r="C275" s="44"/>
      <c r="D275" s="44"/>
      <c r="E275" s="44"/>
      <c r="F275" s="44"/>
      <c r="G275" s="44"/>
      <c r="H275" s="44"/>
      <c r="I275" s="44"/>
      <c r="J275" s="44"/>
      <c r="Y275" s="27"/>
    </row>
    <row r="276" spans="2:25" x14ac:dyDescent="0.25">
      <c r="B276" s="27"/>
      <c r="C276" s="44"/>
      <c r="D276" s="44"/>
      <c r="E276" s="44"/>
      <c r="F276" s="44"/>
      <c r="G276" s="44"/>
      <c r="H276" s="44"/>
      <c r="I276" s="44"/>
      <c r="J276" s="44"/>
      <c r="Y276" s="27"/>
    </row>
    <row r="277" spans="2:25" x14ac:dyDescent="0.25">
      <c r="B277" s="27"/>
      <c r="C277" s="44"/>
      <c r="D277" s="44"/>
      <c r="E277" s="44"/>
      <c r="F277" s="44"/>
      <c r="G277" s="44"/>
      <c r="H277" s="44"/>
      <c r="I277" s="44"/>
      <c r="J277" s="44"/>
      <c r="Y277" s="27"/>
    </row>
    <row r="278" spans="2:25" x14ac:dyDescent="0.25">
      <c r="B278" s="27"/>
      <c r="C278" s="44"/>
      <c r="D278" s="44"/>
      <c r="E278" s="44"/>
      <c r="F278" s="44"/>
      <c r="G278" s="44"/>
      <c r="H278" s="44"/>
      <c r="I278" s="44"/>
      <c r="J278" s="44"/>
      <c r="Y278" s="27"/>
    </row>
    <row r="279" spans="2:25" x14ac:dyDescent="0.25">
      <c r="B279" s="27"/>
      <c r="C279" s="44"/>
      <c r="D279" s="44"/>
      <c r="E279" s="44"/>
      <c r="F279" s="44"/>
      <c r="G279" s="44"/>
      <c r="H279" s="44"/>
      <c r="I279" s="44"/>
      <c r="J279" s="44"/>
      <c r="Y279" s="27"/>
    </row>
    <row r="280" spans="2:25" x14ac:dyDescent="0.25">
      <c r="B280" s="27"/>
      <c r="C280" s="44"/>
      <c r="D280" s="44"/>
      <c r="E280" s="44"/>
      <c r="F280" s="44"/>
      <c r="G280" s="44"/>
      <c r="H280" s="44"/>
      <c r="I280" s="44"/>
      <c r="J280" s="44"/>
      <c r="Y280" s="27"/>
    </row>
    <row r="281" spans="2:25" x14ac:dyDescent="0.25">
      <c r="B281" s="27"/>
      <c r="C281" s="44"/>
      <c r="D281" s="44"/>
      <c r="E281" s="44"/>
      <c r="F281" s="44"/>
      <c r="G281" s="44"/>
      <c r="H281" s="44"/>
      <c r="I281" s="44"/>
      <c r="J281" s="44"/>
      <c r="Y281" s="27"/>
    </row>
    <row r="282" spans="2:25" x14ac:dyDescent="0.25">
      <c r="B282" s="27"/>
      <c r="C282" s="44"/>
      <c r="D282" s="44"/>
      <c r="E282" s="44"/>
      <c r="F282" s="44"/>
      <c r="G282" s="44"/>
      <c r="H282" s="44"/>
      <c r="I282" s="44"/>
      <c r="J282" s="44"/>
      <c r="Y282" s="27"/>
    </row>
    <row r="283" spans="2:25" x14ac:dyDescent="0.25">
      <c r="B283" s="27"/>
      <c r="C283" s="44"/>
      <c r="D283" s="44"/>
      <c r="E283" s="44"/>
      <c r="F283" s="44"/>
      <c r="G283" s="44"/>
      <c r="H283" s="44"/>
      <c r="I283" s="44"/>
      <c r="J283" s="44"/>
      <c r="Y283" s="27"/>
    </row>
    <row r="284" spans="2:25" x14ac:dyDescent="0.25">
      <c r="B284" s="27"/>
      <c r="C284" s="44"/>
      <c r="D284" s="44"/>
      <c r="E284" s="44"/>
      <c r="F284" s="44"/>
      <c r="G284" s="44"/>
      <c r="H284" s="44"/>
      <c r="I284" s="44"/>
      <c r="J284" s="44"/>
      <c r="Y284" s="27"/>
    </row>
    <row r="285" spans="2:25" x14ac:dyDescent="0.25">
      <c r="B285" s="27"/>
      <c r="C285" s="44"/>
      <c r="D285" s="44"/>
      <c r="E285" s="44"/>
      <c r="F285" s="44"/>
      <c r="G285" s="44"/>
      <c r="H285" s="44"/>
      <c r="I285" s="44"/>
      <c r="J285" s="44"/>
      <c r="Y285" s="27"/>
    </row>
    <row r="286" spans="2:25" x14ac:dyDescent="0.25">
      <c r="B286" s="27"/>
      <c r="C286" s="44"/>
      <c r="D286" s="44"/>
      <c r="E286" s="44"/>
      <c r="F286" s="44"/>
      <c r="G286" s="44"/>
      <c r="H286" s="44"/>
      <c r="I286" s="44"/>
      <c r="J286" s="44"/>
      <c r="Y286" s="27"/>
    </row>
    <row r="287" spans="2:25" x14ac:dyDescent="0.25">
      <c r="B287" s="27"/>
      <c r="C287" s="44"/>
      <c r="D287" s="44"/>
      <c r="E287" s="44"/>
      <c r="F287" s="44"/>
      <c r="G287" s="44"/>
      <c r="H287" s="44"/>
      <c r="I287" s="44"/>
      <c r="J287" s="44"/>
      <c r="Y287" s="27"/>
    </row>
    <row r="288" spans="2:25" x14ac:dyDescent="0.25">
      <c r="B288" s="27"/>
      <c r="C288" s="44"/>
      <c r="D288" s="44"/>
      <c r="E288" s="44"/>
      <c r="F288" s="44"/>
      <c r="G288" s="44"/>
      <c r="H288" s="44"/>
      <c r="I288" s="44"/>
      <c r="J288" s="44"/>
      <c r="Y288" s="27"/>
    </row>
    <row r="289" spans="2:25" x14ac:dyDescent="0.25">
      <c r="B289" s="27"/>
      <c r="C289" s="44"/>
      <c r="D289" s="44"/>
      <c r="E289" s="44"/>
      <c r="F289" s="44"/>
      <c r="G289" s="44"/>
      <c r="H289" s="44"/>
      <c r="I289" s="44"/>
      <c r="J289" s="44"/>
      <c r="Y289" s="27"/>
    </row>
    <row r="290" spans="2:25" x14ac:dyDescent="0.25">
      <c r="B290" s="27"/>
      <c r="C290" s="44"/>
      <c r="D290" s="44"/>
      <c r="E290" s="44"/>
      <c r="F290" s="44"/>
      <c r="G290" s="44"/>
      <c r="H290" s="44"/>
      <c r="I290" s="44"/>
      <c r="J290" s="44"/>
      <c r="Y290" s="27"/>
    </row>
    <row r="291" spans="2:25" x14ac:dyDescent="0.25">
      <c r="B291" s="27"/>
      <c r="C291" s="44"/>
      <c r="D291" s="44"/>
      <c r="E291" s="44"/>
      <c r="F291" s="44"/>
      <c r="G291" s="44"/>
      <c r="H291" s="44"/>
      <c r="I291" s="44"/>
      <c r="J291" s="44"/>
      <c r="Y291" s="27"/>
    </row>
    <row r="292" spans="2:25" x14ac:dyDescent="0.25">
      <c r="B292" s="27"/>
      <c r="C292" s="44"/>
      <c r="D292" s="44"/>
      <c r="E292" s="44"/>
      <c r="F292" s="44"/>
      <c r="G292" s="44"/>
      <c r="H292" s="44"/>
      <c r="I292" s="44"/>
      <c r="J292" s="44"/>
      <c r="Y292" s="27"/>
    </row>
    <row r="293" spans="2:25" x14ac:dyDescent="0.25">
      <c r="B293" s="27"/>
      <c r="C293" s="44"/>
      <c r="D293" s="44"/>
      <c r="E293" s="44"/>
      <c r="F293" s="44"/>
      <c r="G293" s="44"/>
      <c r="H293" s="44"/>
      <c r="I293" s="44"/>
      <c r="J293" s="44"/>
      <c r="Y293" s="27"/>
    </row>
    <row r="294" spans="2:25" x14ac:dyDescent="0.25">
      <c r="B294" s="27"/>
      <c r="C294" s="44"/>
      <c r="D294" s="44"/>
      <c r="E294" s="44"/>
      <c r="F294" s="44"/>
      <c r="G294" s="44"/>
      <c r="H294" s="44"/>
      <c r="I294" s="44"/>
      <c r="J294" s="44"/>
      <c r="Y294" s="27"/>
    </row>
    <row r="295" spans="2:25" x14ac:dyDescent="0.25">
      <c r="B295" s="27"/>
      <c r="C295" s="44"/>
      <c r="D295" s="44"/>
      <c r="E295" s="44"/>
      <c r="F295" s="44"/>
      <c r="G295" s="44"/>
      <c r="H295" s="44"/>
      <c r="I295" s="44"/>
      <c r="J295" s="44"/>
      <c r="Y295" s="27"/>
    </row>
    <row r="296" spans="2:25" x14ac:dyDescent="0.25">
      <c r="B296" s="27"/>
      <c r="C296" s="44"/>
      <c r="D296" s="44"/>
      <c r="E296" s="44"/>
      <c r="F296" s="44"/>
      <c r="G296" s="44"/>
      <c r="H296" s="44"/>
      <c r="I296" s="44"/>
      <c r="J296" s="44"/>
      <c r="Y296" s="27"/>
    </row>
    <row r="297" spans="2:25" x14ac:dyDescent="0.25">
      <c r="B297" s="27"/>
      <c r="C297" s="44"/>
      <c r="D297" s="44"/>
      <c r="E297" s="44"/>
      <c r="F297" s="44"/>
      <c r="G297" s="44"/>
      <c r="H297" s="44"/>
      <c r="I297" s="44"/>
      <c r="J297" s="44"/>
      <c r="Y297" s="27"/>
    </row>
    <row r="298" spans="2:25" x14ac:dyDescent="0.25">
      <c r="B298" s="27"/>
      <c r="C298" s="44"/>
      <c r="D298" s="44"/>
      <c r="E298" s="44"/>
      <c r="F298" s="44"/>
      <c r="G298" s="44"/>
      <c r="H298" s="44"/>
      <c r="I298" s="44"/>
      <c r="J298" s="44"/>
      <c r="Y298" s="27"/>
    </row>
    <row r="299" spans="2:25" x14ac:dyDescent="0.25">
      <c r="B299" s="27"/>
      <c r="C299" s="44"/>
      <c r="D299" s="44"/>
      <c r="E299" s="44"/>
      <c r="F299" s="44"/>
      <c r="G299" s="44"/>
      <c r="H299" s="44"/>
      <c r="I299" s="44"/>
      <c r="J299" s="44"/>
      <c r="Y299" s="27"/>
    </row>
    <row r="300" spans="2:25" x14ac:dyDescent="0.25">
      <c r="B300" s="27"/>
      <c r="C300" s="44"/>
      <c r="D300" s="44"/>
      <c r="E300" s="44"/>
      <c r="F300" s="44"/>
      <c r="G300" s="44"/>
      <c r="H300" s="44"/>
      <c r="I300" s="44"/>
      <c r="J300" s="44"/>
      <c r="Y300" s="27"/>
    </row>
    <row r="301" spans="2:25" x14ac:dyDescent="0.25">
      <c r="B301" s="27"/>
      <c r="C301" s="44"/>
      <c r="D301" s="44"/>
      <c r="E301" s="44"/>
      <c r="F301" s="44"/>
      <c r="G301" s="44"/>
      <c r="H301" s="44"/>
      <c r="I301" s="44"/>
      <c r="J301" s="44"/>
      <c r="Y301" s="27"/>
    </row>
    <row r="302" spans="2:25" x14ac:dyDescent="0.25">
      <c r="B302" s="27"/>
      <c r="C302" s="44"/>
      <c r="D302" s="44"/>
      <c r="E302" s="44"/>
      <c r="F302" s="44"/>
      <c r="G302" s="44"/>
      <c r="H302" s="44"/>
      <c r="I302" s="44"/>
      <c r="J302" s="44"/>
      <c r="Y302" s="27"/>
    </row>
    <row r="317" spans="2:25" x14ac:dyDescent="0.25">
      <c r="B317" s="27"/>
      <c r="Y317" s="27"/>
    </row>
    <row r="318" spans="2:25" x14ac:dyDescent="0.25">
      <c r="B318" s="27"/>
      <c r="Y318" s="27"/>
    </row>
    <row r="319" spans="2:25" x14ac:dyDescent="0.25">
      <c r="B319" s="27"/>
      <c r="Y319" s="27"/>
    </row>
    <row r="320" spans="2:25" x14ac:dyDescent="0.25">
      <c r="B320" s="27"/>
      <c r="Y320" s="27"/>
    </row>
    <row r="321" spans="2:25" x14ac:dyDescent="0.25">
      <c r="B321" s="27"/>
      <c r="Y321" s="27"/>
    </row>
    <row r="322" spans="2:25" x14ac:dyDescent="0.25">
      <c r="B322" s="27"/>
      <c r="Y322" s="27"/>
    </row>
    <row r="323" spans="2:25" x14ac:dyDescent="0.25">
      <c r="B323" s="27"/>
      <c r="Y323" s="27"/>
    </row>
    <row r="324" spans="2:25" x14ac:dyDescent="0.25">
      <c r="B324" s="27"/>
      <c r="Y324" s="27"/>
    </row>
    <row r="325" spans="2:25" x14ac:dyDescent="0.25">
      <c r="B325" s="27"/>
      <c r="Y325" s="27"/>
    </row>
    <row r="326" spans="2:25" x14ac:dyDescent="0.25">
      <c r="B326" s="27"/>
      <c r="Y326" s="27"/>
    </row>
    <row r="327" spans="2:25" x14ac:dyDescent="0.25">
      <c r="B327" s="27"/>
      <c r="Y327" s="27"/>
    </row>
    <row r="328" spans="2:25" x14ac:dyDescent="0.25">
      <c r="B328" s="27"/>
      <c r="Y328" s="27"/>
    </row>
    <row r="329" spans="2:25" x14ac:dyDescent="0.25">
      <c r="B329" s="27"/>
      <c r="Y329" s="27"/>
    </row>
    <row r="330" spans="2:25" x14ac:dyDescent="0.25">
      <c r="B330" s="27"/>
      <c r="Y330" s="27"/>
    </row>
    <row r="331" spans="2:25" x14ac:dyDescent="0.25">
      <c r="B331" s="27"/>
      <c r="Y331" s="27"/>
    </row>
    <row r="332" spans="2:25" x14ac:dyDescent="0.25">
      <c r="B332" s="27"/>
      <c r="Y332" s="27"/>
    </row>
    <row r="333" spans="2:25" x14ac:dyDescent="0.25">
      <c r="B333" s="27"/>
      <c r="Y333" s="27"/>
    </row>
    <row r="334" spans="2:25" x14ac:dyDescent="0.25">
      <c r="B334" s="27"/>
      <c r="Y334" s="27"/>
    </row>
    <row r="335" spans="2:25" x14ac:dyDescent="0.25">
      <c r="B335" s="27"/>
      <c r="Y335" s="27"/>
    </row>
    <row r="336" spans="2:25" x14ac:dyDescent="0.25">
      <c r="B336" s="27"/>
      <c r="Y336" s="27"/>
    </row>
    <row r="337" spans="2:25" x14ac:dyDescent="0.25">
      <c r="B337" s="27"/>
      <c r="Y337" s="27"/>
    </row>
    <row r="338" spans="2:25" x14ac:dyDescent="0.25">
      <c r="B338" s="27"/>
      <c r="Y338" s="27"/>
    </row>
    <row r="339" spans="2:25" x14ac:dyDescent="0.25">
      <c r="B339" s="27"/>
      <c r="Y339" s="27"/>
    </row>
    <row r="340" spans="2:25" x14ac:dyDescent="0.25">
      <c r="B340" s="27"/>
      <c r="Y340" s="27"/>
    </row>
    <row r="341" spans="2:25" x14ac:dyDescent="0.25">
      <c r="B341" s="27"/>
      <c r="Y341" s="27"/>
    </row>
    <row r="342" spans="2:25" x14ac:dyDescent="0.25">
      <c r="B342" s="27"/>
      <c r="Y342" s="27"/>
    </row>
    <row r="343" spans="2:25" x14ac:dyDescent="0.25">
      <c r="B343" s="27"/>
      <c r="Y343" s="27"/>
    </row>
    <row r="344" spans="2:25" x14ac:dyDescent="0.25">
      <c r="B344" s="27"/>
      <c r="Y344" s="27"/>
    </row>
    <row r="345" spans="2:25" x14ac:dyDescent="0.25">
      <c r="B345" s="27"/>
      <c r="Y345" s="27"/>
    </row>
    <row r="346" spans="2:25" x14ac:dyDescent="0.25">
      <c r="B346" s="27"/>
      <c r="Y346" s="27"/>
    </row>
    <row r="347" spans="2:25" x14ac:dyDescent="0.25">
      <c r="B347" s="27"/>
      <c r="Y347" s="27"/>
    </row>
    <row r="348" spans="2:25" x14ac:dyDescent="0.25">
      <c r="B348" s="27"/>
      <c r="Y348" s="27"/>
    </row>
    <row r="349" spans="2:25" x14ac:dyDescent="0.25">
      <c r="B349" s="27"/>
      <c r="Y349" s="27"/>
    </row>
    <row r="350" spans="2:25" x14ac:dyDescent="0.25">
      <c r="B350" s="27"/>
      <c r="Y350" s="27"/>
    </row>
    <row r="351" spans="2:25" x14ac:dyDescent="0.25">
      <c r="B351" s="27"/>
      <c r="Y351" s="27"/>
    </row>
    <row r="352" spans="2:25" x14ac:dyDescent="0.25">
      <c r="B352" s="27"/>
      <c r="Y352" s="27"/>
    </row>
    <row r="353" spans="2:25" x14ac:dyDescent="0.25">
      <c r="B353" s="27"/>
      <c r="Y353" s="27"/>
    </row>
    <row r="354" spans="2:25" x14ac:dyDescent="0.25">
      <c r="B354" s="27"/>
      <c r="Y354" s="27"/>
    </row>
    <row r="355" spans="2:25" x14ac:dyDescent="0.25">
      <c r="B355" s="27"/>
      <c r="Y355" s="27"/>
    </row>
    <row r="356" spans="2:25" x14ac:dyDescent="0.25">
      <c r="B356" s="27"/>
      <c r="Y356" s="27"/>
    </row>
    <row r="357" spans="2:25" x14ac:dyDescent="0.25">
      <c r="B357" s="27"/>
      <c r="Y357" s="27"/>
    </row>
    <row r="358" spans="2:25" x14ac:dyDescent="0.25">
      <c r="B358" s="27"/>
      <c r="Y358" s="27"/>
    </row>
    <row r="359" spans="2:25" x14ac:dyDescent="0.25">
      <c r="B359" s="27"/>
      <c r="Y359" s="27"/>
    </row>
    <row r="360" spans="2:25" x14ac:dyDescent="0.25">
      <c r="B360" s="27"/>
      <c r="Y360" s="27"/>
    </row>
    <row r="361" spans="2:25" x14ac:dyDescent="0.25">
      <c r="B361" s="27"/>
      <c r="Y361" s="27"/>
    </row>
    <row r="362" spans="2:25" x14ac:dyDescent="0.25">
      <c r="B362" s="27"/>
      <c r="Y362" s="27"/>
    </row>
    <row r="363" spans="2:25" x14ac:dyDescent="0.25">
      <c r="B363" s="27"/>
      <c r="Y363" s="27"/>
    </row>
    <row r="364" spans="2:25" x14ac:dyDescent="0.25">
      <c r="B364" s="27"/>
      <c r="Y364" s="27"/>
    </row>
    <row r="365" spans="2:25" x14ac:dyDescent="0.25">
      <c r="B365" s="27"/>
      <c r="Y365" s="27"/>
    </row>
    <row r="366" spans="2:25" x14ac:dyDescent="0.25">
      <c r="B366" s="27"/>
      <c r="Y366" s="27"/>
    </row>
    <row r="367" spans="2:25" x14ac:dyDescent="0.25">
      <c r="B367" s="27"/>
      <c r="Y367" s="27"/>
    </row>
    <row r="368" spans="2:25" x14ac:dyDescent="0.25">
      <c r="B368" s="27"/>
      <c r="Y368" s="27"/>
    </row>
    <row r="369" spans="2:25" x14ac:dyDescent="0.25">
      <c r="B369" s="27"/>
      <c r="Y369" s="27"/>
    </row>
    <row r="370" spans="2:25" x14ac:dyDescent="0.25">
      <c r="B370" s="27"/>
      <c r="Y370" s="27"/>
    </row>
    <row r="371" spans="2:25" x14ac:dyDescent="0.25">
      <c r="B371" s="27"/>
      <c r="Y371" s="27"/>
    </row>
    <row r="372" spans="2:25" x14ac:dyDescent="0.25">
      <c r="B372" s="27"/>
      <c r="Y372" s="27"/>
    </row>
    <row r="373" spans="2:25" x14ac:dyDescent="0.25">
      <c r="B373" s="27"/>
      <c r="Y373" s="27"/>
    </row>
    <row r="374" spans="2:25" x14ac:dyDescent="0.25">
      <c r="B374" s="27"/>
      <c r="Y374" s="27"/>
    </row>
    <row r="375" spans="2:25" x14ac:dyDescent="0.25">
      <c r="B375" s="27"/>
      <c r="Y375" s="27"/>
    </row>
    <row r="376" spans="2:25" x14ac:dyDescent="0.25">
      <c r="B376" s="27"/>
      <c r="Y376" s="27"/>
    </row>
    <row r="377" spans="2:25" x14ac:dyDescent="0.25">
      <c r="B377" s="27"/>
      <c r="Y377" s="27"/>
    </row>
    <row r="378" spans="2:25" x14ac:dyDescent="0.25">
      <c r="B378" s="27"/>
      <c r="Y378" s="27"/>
    </row>
    <row r="379" spans="2:25" x14ac:dyDescent="0.25">
      <c r="B379" s="27"/>
      <c r="Y379" s="27"/>
    </row>
    <row r="380" spans="2:25" x14ac:dyDescent="0.25">
      <c r="B380" s="27"/>
      <c r="Y380" s="27"/>
    </row>
    <row r="381" spans="2:25" x14ac:dyDescent="0.25">
      <c r="B381" s="27"/>
      <c r="Y381" s="27"/>
    </row>
    <row r="382" spans="2:25" x14ac:dyDescent="0.25">
      <c r="B382" s="27"/>
      <c r="Y382" s="27"/>
    </row>
    <row r="383" spans="2:25" x14ac:dyDescent="0.25">
      <c r="B383" s="27"/>
      <c r="Y383" s="27"/>
    </row>
    <row r="384" spans="2:25" x14ac:dyDescent="0.25">
      <c r="B384" s="27"/>
      <c r="Y384" s="27"/>
    </row>
    <row r="385" spans="2:25" x14ac:dyDescent="0.25">
      <c r="B385" s="27"/>
      <c r="Y385" s="27"/>
    </row>
    <row r="386" spans="2:25" x14ac:dyDescent="0.25">
      <c r="B386" s="27"/>
      <c r="Y386" s="27"/>
    </row>
    <row r="387" spans="2:25" x14ac:dyDescent="0.25">
      <c r="B387" s="27"/>
      <c r="Y387" s="27"/>
    </row>
    <row r="388" spans="2:25" x14ac:dyDescent="0.25">
      <c r="B388" s="27"/>
      <c r="Y388" s="27"/>
    </row>
    <row r="389" spans="2:25" x14ac:dyDescent="0.25">
      <c r="B389" s="27"/>
      <c r="Y389" s="27"/>
    </row>
    <row r="390" spans="2:25" x14ac:dyDescent="0.25">
      <c r="B390" s="27"/>
      <c r="Y390" s="27"/>
    </row>
    <row r="391" spans="2:25" x14ac:dyDescent="0.25">
      <c r="B391" s="27"/>
      <c r="Y391" s="27"/>
    </row>
    <row r="392" spans="2:25" x14ac:dyDescent="0.25">
      <c r="B392" s="27"/>
      <c r="Y392" s="27"/>
    </row>
    <row r="393" spans="2:25" x14ac:dyDescent="0.25">
      <c r="B393" s="27"/>
      <c r="Y393" s="27"/>
    </row>
    <row r="394" spans="2:25" x14ac:dyDescent="0.25">
      <c r="B394" s="27"/>
      <c r="Y394" s="27"/>
    </row>
    <row r="395" spans="2:25" x14ac:dyDescent="0.25">
      <c r="B395" s="27"/>
      <c r="Y395" s="27"/>
    </row>
    <row r="396" spans="2:25" x14ac:dyDescent="0.25">
      <c r="B396" s="27"/>
      <c r="Y396" s="27"/>
    </row>
    <row r="397" spans="2:25" x14ac:dyDescent="0.25">
      <c r="B397" s="27"/>
      <c r="Y397" s="27"/>
    </row>
    <row r="398" spans="2:25" x14ac:dyDescent="0.25">
      <c r="B398" s="27"/>
      <c r="Y398" s="27"/>
    </row>
    <row r="399" spans="2:25" x14ac:dyDescent="0.25">
      <c r="B399" s="27"/>
      <c r="Y399" s="27"/>
    </row>
    <row r="400" spans="2:25" x14ac:dyDescent="0.25">
      <c r="B400" s="27"/>
      <c r="Y400" s="27"/>
    </row>
    <row r="401" spans="2:25" x14ac:dyDescent="0.25">
      <c r="B401" s="27"/>
      <c r="Y401" s="27"/>
    </row>
    <row r="402" spans="2:25" x14ac:dyDescent="0.25">
      <c r="B402" s="27"/>
      <c r="Y402" s="27"/>
    </row>
    <row r="403" spans="2:25" x14ac:dyDescent="0.25">
      <c r="B403" s="27"/>
      <c r="Y403" s="27"/>
    </row>
    <row r="404" spans="2:25" x14ac:dyDescent="0.25">
      <c r="B404" s="27"/>
      <c r="Y404" s="27"/>
    </row>
    <row r="405" spans="2:25" x14ac:dyDescent="0.25">
      <c r="B405" s="27"/>
      <c r="Y405" s="27"/>
    </row>
    <row r="406" spans="2:25" x14ac:dyDescent="0.25">
      <c r="B406" s="27"/>
      <c r="Y406" s="27"/>
    </row>
    <row r="407" spans="2:25" x14ac:dyDescent="0.25">
      <c r="B407" s="27"/>
      <c r="Y407" s="27"/>
    </row>
    <row r="408" spans="2:25" x14ac:dyDescent="0.25">
      <c r="B408" s="27"/>
      <c r="Y408" s="27"/>
    </row>
    <row r="409" spans="2:25" x14ac:dyDescent="0.25">
      <c r="B409" s="27"/>
      <c r="Y409" s="27"/>
    </row>
    <row r="410" spans="2:25" x14ac:dyDescent="0.25">
      <c r="B410" s="27"/>
      <c r="Y410" s="27"/>
    </row>
    <row r="411" spans="2:25" x14ac:dyDescent="0.25">
      <c r="B411" s="27"/>
      <c r="Y411" s="27"/>
    </row>
    <row r="412" spans="2:25" x14ac:dyDescent="0.25">
      <c r="B412" s="27"/>
      <c r="Y412" s="27"/>
    </row>
    <row r="413" spans="2:25" x14ac:dyDescent="0.25">
      <c r="B413" s="27"/>
      <c r="Y413" s="27"/>
    </row>
    <row r="414" spans="2:25" x14ac:dyDescent="0.25">
      <c r="B414" s="27"/>
      <c r="Y414" s="27"/>
    </row>
    <row r="415" spans="2:25" x14ac:dyDescent="0.25">
      <c r="B415" s="27"/>
      <c r="Y415" s="27"/>
    </row>
    <row r="416" spans="2:25" x14ac:dyDescent="0.25">
      <c r="B416" s="27"/>
      <c r="Y416" s="27"/>
    </row>
    <row r="417" spans="2:25" x14ac:dyDescent="0.25">
      <c r="B417" s="27"/>
      <c r="Y417" s="27"/>
    </row>
    <row r="418" spans="2:25" x14ac:dyDescent="0.25">
      <c r="B418" s="27"/>
      <c r="Y418" s="27"/>
    </row>
    <row r="419" spans="2:25" x14ac:dyDescent="0.25">
      <c r="B419" s="27"/>
      <c r="Y419" s="27"/>
    </row>
    <row r="420" spans="2:25" x14ac:dyDescent="0.25">
      <c r="B420" s="27"/>
      <c r="Y420" s="27"/>
    </row>
    <row r="421" spans="2:25" x14ac:dyDescent="0.25">
      <c r="B421" s="27"/>
      <c r="Y421" s="27"/>
    </row>
    <row r="422" spans="2:25" x14ac:dyDescent="0.25">
      <c r="B422" s="27"/>
      <c r="Y422" s="27"/>
    </row>
    <row r="423" spans="2:25" x14ac:dyDescent="0.25">
      <c r="B423" s="27"/>
      <c r="Y423" s="27"/>
    </row>
    <row r="424" spans="2:25" x14ac:dyDescent="0.25">
      <c r="B424" s="27"/>
      <c r="Y424" s="27"/>
    </row>
    <row r="425" spans="2:25" x14ac:dyDescent="0.25">
      <c r="B425" s="27"/>
      <c r="Y425" s="27"/>
    </row>
    <row r="426" spans="2:25" x14ac:dyDescent="0.25">
      <c r="B426" s="27"/>
      <c r="Y426" s="27"/>
    </row>
    <row r="427" spans="2:25" x14ac:dyDescent="0.25">
      <c r="B427" s="27"/>
      <c r="Y427" s="27"/>
    </row>
    <row r="428" spans="2:25" x14ac:dyDescent="0.25">
      <c r="B428" s="27"/>
      <c r="Y428" s="27"/>
    </row>
    <row r="429" spans="2:25" x14ac:dyDescent="0.25">
      <c r="B429" s="27"/>
      <c r="Y429" s="27"/>
    </row>
    <row r="430" spans="2:25" x14ac:dyDescent="0.25">
      <c r="B430" s="27"/>
      <c r="Y430" s="27"/>
    </row>
    <row r="431" spans="2:25" x14ac:dyDescent="0.25">
      <c r="B431" s="27"/>
      <c r="Y431" s="27"/>
    </row>
    <row r="432" spans="2:25" x14ac:dyDescent="0.25">
      <c r="B432" s="27"/>
      <c r="Y432" s="27"/>
    </row>
    <row r="433" spans="2:25" x14ac:dyDescent="0.25">
      <c r="B433" s="27"/>
      <c r="Y433" s="27"/>
    </row>
    <row r="434" spans="2:25" x14ac:dyDescent="0.25">
      <c r="B434" s="27"/>
      <c r="Y434" s="27"/>
    </row>
    <row r="435" spans="2:25" x14ac:dyDescent="0.25">
      <c r="B435" s="27"/>
      <c r="Y435" s="27"/>
    </row>
    <row r="436" spans="2:25" x14ac:dyDescent="0.25">
      <c r="B436" s="27"/>
      <c r="Y436" s="27"/>
    </row>
    <row r="437" spans="2:25" x14ac:dyDescent="0.25">
      <c r="B437" s="27"/>
      <c r="Y437" s="27"/>
    </row>
    <row r="438" spans="2:25" x14ac:dyDescent="0.25">
      <c r="B438" s="27"/>
      <c r="Y438" s="27"/>
    </row>
    <row r="439" spans="2:25" x14ac:dyDescent="0.25">
      <c r="B439" s="27"/>
      <c r="Y439" s="27"/>
    </row>
    <row r="440" spans="2:25" x14ac:dyDescent="0.25">
      <c r="B440" s="27"/>
      <c r="Y440" s="27"/>
    </row>
    <row r="441" spans="2:25" x14ac:dyDescent="0.25">
      <c r="B441" s="27"/>
      <c r="Y441" s="27"/>
    </row>
    <row r="442" spans="2:25" x14ac:dyDescent="0.25">
      <c r="B442" s="27"/>
      <c r="Y442" s="27"/>
    </row>
    <row r="443" spans="2:25" x14ac:dyDescent="0.25">
      <c r="B443" s="27"/>
      <c r="Y443" s="27"/>
    </row>
    <row r="444" spans="2:25" x14ac:dyDescent="0.25">
      <c r="B444" s="27"/>
      <c r="Y444" s="27"/>
    </row>
    <row r="445" spans="2:25" x14ac:dyDescent="0.25">
      <c r="B445" s="27"/>
      <c r="Y445" s="27"/>
    </row>
    <row r="446" spans="2:25" x14ac:dyDescent="0.25">
      <c r="B446" s="27"/>
      <c r="Y446" s="27"/>
    </row>
    <row r="447" spans="2:25" x14ac:dyDescent="0.25">
      <c r="B447" s="27"/>
      <c r="Y447" s="27"/>
    </row>
    <row r="448" spans="2:25" x14ac:dyDescent="0.25">
      <c r="B448" s="27"/>
      <c r="Y448" s="27"/>
    </row>
    <row r="449" spans="2:25" x14ac:dyDescent="0.25">
      <c r="B449" s="27"/>
      <c r="Y449" s="27"/>
    </row>
    <row r="450" spans="2:25" x14ac:dyDescent="0.25">
      <c r="B450" s="27"/>
      <c r="Y450" s="27"/>
    </row>
    <row r="451" spans="2:25" x14ac:dyDescent="0.25">
      <c r="B451" s="27"/>
      <c r="Y451" s="27"/>
    </row>
    <row r="452" spans="2:25" x14ac:dyDescent="0.25">
      <c r="B452" s="27"/>
      <c r="Y452" s="27"/>
    </row>
    <row r="453" spans="2:25" x14ac:dyDescent="0.25">
      <c r="B453" s="27"/>
      <c r="Y453" s="27"/>
    </row>
    <row r="454" spans="2:25" x14ac:dyDescent="0.25">
      <c r="B454" s="27"/>
      <c r="Y454" s="27"/>
    </row>
    <row r="455" spans="2:25" x14ac:dyDescent="0.25">
      <c r="B455" s="27"/>
      <c r="Y455" s="27"/>
    </row>
    <row r="456" spans="2:25" x14ac:dyDescent="0.25">
      <c r="B456" s="27"/>
      <c r="Y456" s="27"/>
    </row>
    <row r="457" spans="2:25" x14ac:dyDescent="0.25">
      <c r="B457" s="27"/>
      <c r="Y457" s="27"/>
    </row>
    <row r="458" spans="2:25" x14ac:dyDescent="0.25">
      <c r="B458" s="27"/>
      <c r="Y458" s="27"/>
    </row>
    <row r="459" spans="2:25" x14ac:dyDescent="0.25">
      <c r="B459" s="27"/>
      <c r="Y459" s="27"/>
    </row>
    <row r="460" spans="2:25" x14ac:dyDescent="0.25">
      <c r="B460" s="27"/>
      <c r="Y460" s="27"/>
    </row>
    <row r="461" spans="2:25" x14ac:dyDescent="0.25">
      <c r="B461" s="27"/>
      <c r="Y461" s="27"/>
    </row>
    <row r="462" spans="2:25" x14ac:dyDescent="0.25">
      <c r="B462" s="27"/>
      <c r="Y462" s="27"/>
    </row>
    <row r="463" spans="2:25" x14ac:dyDescent="0.25">
      <c r="B463" s="27"/>
      <c r="Y463" s="27"/>
    </row>
    <row r="464" spans="2:25" x14ac:dyDescent="0.25">
      <c r="B464" s="27"/>
      <c r="Y464" s="27"/>
    </row>
    <row r="465" spans="2:25" x14ac:dyDescent="0.25">
      <c r="B465" s="27"/>
      <c r="Y465" s="27"/>
    </row>
    <row r="466" spans="2:25" x14ac:dyDescent="0.25">
      <c r="B466" s="27"/>
      <c r="Y466" s="27"/>
    </row>
    <row r="467" spans="2:25" x14ac:dyDescent="0.25">
      <c r="B467" s="27"/>
      <c r="Y467" s="27"/>
    </row>
    <row r="468" spans="2:25" x14ac:dyDescent="0.25">
      <c r="B468" s="27"/>
      <c r="Y468" s="27"/>
    </row>
    <row r="469" spans="2:25" x14ac:dyDescent="0.25">
      <c r="B469" s="27"/>
      <c r="Y469" s="27"/>
    </row>
    <row r="470" spans="2:25" x14ac:dyDescent="0.25">
      <c r="B470" s="27"/>
      <c r="Y470" s="27"/>
    </row>
    <row r="471" spans="2:25" x14ac:dyDescent="0.25">
      <c r="B471" s="27"/>
      <c r="Y471" s="27"/>
    </row>
    <row r="472" spans="2:25" x14ac:dyDescent="0.25">
      <c r="B472" s="27"/>
      <c r="Y472" s="27"/>
    </row>
    <row r="473" spans="2:25" x14ac:dyDescent="0.25">
      <c r="B473" s="27"/>
      <c r="Y473" s="27"/>
    </row>
    <row r="474" spans="2:25" x14ac:dyDescent="0.25">
      <c r="B474" s="27"/>
      <c r="Y474" s="27"/>
    </row>
    <row r="475" spans="2:25" x14ac:dyDescent="0.25">
      <c r="B475" s="27"/>
      <c r="Y475" s="27"/>
    </row>
    <row r="476" spans="2:25" x14ac:dyDescent="0.25">
      <c r="B476" s="27"/>
      <c r="Y476" s="27"/>
    </row>
    <row r="477" spans="2:25" x14ac:dyDescent="0.25">
      <c r="B477" s="27"/>
      <c r="Y477" s="27"/>
    </row>
    <row r="478" spans="2:25" x14ac:dyDescent="0.25">
      <c r="B478" s="27"/>
      <c r="Y478" s="27"/>
    </row>
    <row r="479" spans="2:25" x14ac:dyDescent="0.25">
      <c r="B479" s="27"/>
      <c r="Y479" s="27"/>
    </row>
    <row r="480" spans="2:25" x14ac:dyDescent="0.25">
      <c r="B480" s="27"/>
      <c r="Y480" s="27"/>
    </row>
    <row r="481" spans="2:25" x14ac:dyDescent="0.25">
      <c r="B481" s="27"/>
      <c r="Y481" s="27"/>
    </row>
    <row r="482" spans="2:25" x14ac:dyDescent="0.25">
      <c r="B482" s="27"/>
      <c r="Y482" s="27"/>
    </row>
    <row r="483" spans="2:25" x14ac:dyDescent="0.25">
      <c r="B483" s="27"/>
      <c r="Y483" s="27"/>
    </row>
    <row r="484" spans="2:25" x14ac:dyDescent="0.25">
      <c r="B484" s="27"/>
      <c r="Y484" s="27"/>
    </row>
    <row r="485" spans="2:25" x14ac:dyDescent="0.25">
      <c r="B485" s="27"/>
      <c r="Y485" s="27"/>
    </row>
    <row r="486" spans="2:25" x14ac:dyDescent="0.25">
      <c r="B486" s="27"/>
      <c r="Y486" s="27"/>
    </row>
    <row r="487" spans="2:25" x14ac:dyDescent="0.25">
      <c r="B487" s="27"/>
      <c r="Y487" s="27"/>
    </row>
    <row r="488" spans="2:25" x14ac:dyDescent="0.25">
      <c r="B488" s="27"/>
      <c r="Y488" s="27"/>
    </row>
    <row r="489" spans="2:25" x14ac:dyDescent="0.25">
      <c r="B489" s="27"/>
      <c r="Y489" s="27"/>
    </row>
    <row r="490" spans="2:25" x14ac:dyDescent="0.25">
      <c r="B490" s="27"/>
      <c r="Y490" s="27"/>
    </row>
    <row r="491" spans="2:25" x14ac:dyDescent="0.25">
      <c r="B491" s="27"/>
      <c r="Y491" s="27"/>
    </row>
    <row r="492" spans="2:25" x14ac:dyDescent="0.25">
      <c r="B492" s="27"/>
      <c r="Y492" s="27"/>
    </row>
    <row r="493" spans="2:25" x14ac:dyDescent="0.25">
      <c r="B493" s="27"/>
      <c r="Y493" s="27"/>
    </row>
    <row r="494" spans="2:25" x14ac:dyDescent="0.25">
      <c r="B494" s="27"/>
      <c r="Y494" s="27"/>
    </row>
    <row r="495" spans="2:25" x14ac:dyDescent="0.25">
      <c r="B495" s="27"/>
      <c r="Y495" s="27"/>
    </row>
    <row r="496" spans="2:25" x14ac:dyDescent="0.25">
      <c r="B496" s="27"/>
      <c r="Y496" s="27"/>
    </row>
    <row r="497" spans="2:25" x14ac:dyDescent="0.25">
      <c r="B497" s="27"/>
      <c r="Y497" s="27"/>
    </row>
    <row r="498" spans="2:25" x14ac:dyDescent="0.25">
      <c r="B498" s="27"/>
      <c r="Y498" s="27"/>
    </row>
    <row r="499" spans="2:25" x14ac:dyDescent="0.25">
      <c r="B499" s="27"/>
      <c r="Y499" s="27"/>
    </row>
    <row r="500" spans="2:25" x14ac:dyDescent="0.25">
      <c r="B500" s="27"/>
      <c r="Y500" s="27"/>
    </row>
    <row r="501" spans="2:25" x14ac:dyDescent="0.25">
      <c r="B501" s="27"/>
      <c r="Y501" s="27"/>
    </row>
    <row r="502" spans="2:25" x14ac:dyDescent="0.25">
      <c r="B502" s="27"/>
      <c r="Y502" s="27"/>
    </row>
    <row r="503" spans="2:25" x14ac:dyDescent="0.25">
      <c r="B503" s="27"/>
      <c r="Y503" s="27"/>
    </row>
    <row r="504" spans="2:25" x14ac:dyDescent="0.25">
      <c r="B504" s="27"/>
      <c r="Y504" s="27"/>
    </row>
    <row r="505" spans="2:25" x14ac:dyDescent="0.25">
      <c r="B505" s="27"/>
      <c r="Y505" s="27"/>
    </row>
    <row r="506" spans="2:25" x14ac:dyDescent="0.25">
      <c r="B506" s="27"/>
      <c r="Y506" s="27"/>
    </row>
    <row r="507" spans="2:25" x14ac:dyDescent="0.25">
      <c r="B507" s="27"/>
      <c r="Y507" s="27"/>
    </row>
    <row r="508" spans="2:25" x14ac:dyDescent="0.25">
      <c r="B508" s="27"/>
      <c r="Y508" s="27"/>
    </row>
    <row r="509" spans="2:25" x14ac:dyDescent="0.25">
      <c r="B509" s="27"/>
      <c r="Y509" s="27"/>
    </row>
    <row r="510" spans="2:25" x14ac:dyDescent="0.25">
      <c r="B510" s="27"/>
      <c r="Y510" s="27"/>
    </row>
    <row r="511" spans="2:25" x14ac:dyDescent="0.25">
      <c r="B511" s="27"/>
      <c r="Y511" s="27"/>
    </row>
    <row r="512" spans="2:25" x14ac:dyDescent="0.25">
      <c r="B512" s="27"/>
      <c r="Y512" s="27"/>
    </row>
    <row r="513" spans="2:25" x14ac:dyDescent="0.25">
      <c r="B513" s="27"/>
      <c r="Y513" s="27"/>
    </row>
    <row r="514" spans="2:25" x14ac:dyDescent="0.25">
      <c r="B514" s="27"/>
      <c r="Y514" s="27"/>
    </row>
    <row r="515" spans="2:25" x14ac:dyDescent="0.25">
      <c r="B515" s="27"/>
      <c r="Y515" s="27"/>
    </row>
    <row r="516" spans="2:25" x14ac:dyDescent="0.25">
      <c r="B516" s="27"/>
      <c r="Y516" s="27"/>
    </row>
    <row r="517" spans="2:25" x14ac:dyDescent="0.25">
      <c r="B517" s="27"/>
      <c r="Y517" s="27"/>
    </row>
    <row r="518" spans="2:25" x14ac:dyDescent="0.25">
      <c r="B518" s="27"/>
      <c r="Y518" s="27"/>
    </row>
    <row r="519" spans="2:25" x14ac:dyDescent="0.25">
      <c r="B519" s="27"/>
      <c r="Y519" s="27"/>
    </row>
    <row r="520" spans="2:25" x14ac:dyDescent="0.25">
      <c r="B520" s="27"/>
      <c r="Y520" s="27"/>
    </row>
    <row r="521" spans="2:25" x14ac:dyDescent="0.25">
      <c r="B521" s="27"/>
      <c r="Y521" s="27"/>
    </row>
    <row r="522" spans="2:25" x14ac:dyDescent="0.25">
      <c r="B522" s="27"/>
      <c r="Y522" s="27"/>
    </row>
    <row r="523" spans="2:25" x14ac:dyDescent="0.25">
      <c r="B523" s="27"/>
      <c r="Y523" s="27"/>
    </row>
    <row r="524" spans="2:25" x14ac:dyDescent="0.25">
      <c r="B524" s="27"/>
      <c r="Y524" s="27"/>
    </row>
    <row r="525" spans="2:25" x14ac:dyDescent="0.25">
      <c r="B525" s="27"/>
      <c r="Y525" s="27"/>
    </row>
    <row r="526" spans="2:25" x14ac:dyDescent="0.25">
      <c r="B526" s="27"/>
      <c r="Y526" s="27"/>
    </row>
    <row r="527" spans="2:25" x14ac:dyDescent="0.25">
      <c r="B527" s="27"/>
      <c r="Y527" s="27"/>
    </row>
    <row r="528" spans="2:25" x14ac:dyDescent="0.25">
      <c r="B528" s="27"/>
      <c r="Y528" s="27"/>
    </row>
    <row r="529" spans="2:25" x14ac:dyDescent="0.25">
      <c r="B529" s="27"/>
      <c r="Y529" s="27"/>
    </row>
    <row r="530" spans="2:25" x14ac:dyDescent="0.25">
      <c r="B530" s="27"/>
      <c r="Y530" s="27"/>
    </row>
    <row r="531" spans="2:25" x14ac:dyDescent="0.25">
      <c r="B531" s="27"/>
      <c r="Y531" s="27"/>
    </row>
    <row r="532" spans="2:25" x14ac:dyDescent="0.25">
      <c r="B532" s="27"/>
      <c r="Y532" s="27"/>
    </row>
    <row r="533" spans="2:25" x14ac:dyDescent="0.25">
      <c r="B533" s="27"/>
      <c r="Y533" s="27"/>
    </row>
    <row r="534" spans="2:25" x14ac:dyDescent="0.25">
      <c r="B534" s="27"/>
      <c r="Y534" s="27"/>
    </row>
    <row r="535" spans="2:25" x14ac:dyDescent="0.25">
      <c r="B535" s="27"/>
      <c r="Y535" s="27"/>
    </row>
  </sheetData>
  <mergeCells count="11">
    <mergeCell ref="K4:L4"/>
    <mergeCell ref="W14:W16"/>
    <mergeCell ref="X14:X16"/>
    <mergeCell ref="B11:X11"/>
    <mergeCell ref="S14:S16"/>
    <mergeCell ref="S5:V5"/>
    <mergeCell ref="R14:R16"/>
    <mergeCell ref="B14:B16"/>
    <mergeCell ref="K14:K16"/>
    <mergeCell ref="L14:L16"/>
    <mergeCell ref="W4:X4"/>
  </mergeCells>
  <phoneticPr fontId="2" type="noConversion"/>
  <pageMargins left="0.74803149606299213" right="0" top="0" bottom="0" header="0.51181102362204722" footer="0.51181102362204722"/>
  <pageSetup scale="73" fitToHeight="1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777"/>
  <sheetViews>
    <sheetView zoomScaleNormal="100" workbookViewId="0">
      <selection sqref="A1:XFD36"/>
    </sheetView>
  </sheetViews>
  <sheetFormatPr defaultRowHeight="13.2" x14ac:dyDescent="0.25"/>
  <cols>
    <col min="1" max="1" width="0.5546875" style="509" customWidth="1"/>
    <col min="2" max="3" width="0" style="509" hidden="1" customWidth="1"/>
    <col min="4" max="4" width="10.77734375" style="509" hidden="1" customWidth="1"/>
    <col min="5" max="5" width="5" style="509" hidden="1" customWidth="1"/>
    <col min="6" max="6" width="0.33203125" style="509" hidden="1" customWidth="1"/>
    <col min="7" max="7" width="10.21875" style="509" hidden="1" customWidth="1"/>
    <col min="8" max="8" width="3.5546875" style="509" hidden="1" customWidth="1"/>
    <col min="9" max="9" width="3.6640625" style="509" hidden="1" customWidth="1"/>
    <col min="10" max="10" width="7" style="619" hidden="1" customWidth="1"/>
    <col min="11" max="11" width="0.33203125" style="509" hidden="1" customWidth="1"/>
    <col min="12" max="12" width="0.44140625" style="509" hidden="1" customWidth="1"/>
    <col min="13" max="13" width="8.5546875" style="509" hidden="1" customWidth="1"/>
    <col min="14" max="14" width="14" style="509" hidden="1" customWidth="1"/>
    <col min="15" max="15" width="11" style="509" hidden="1" customWidth="1"/>
    <col min="16" max="16" width="10.88671875" style="509" hidden="1" customWidth="1"/>
    <col min="17" max="17" width="25" style="511" hidden="1" customWidth="1"/>
    <col min="18" max="18" width="14.5546875" style="509" hidden="1" customWidth="1"/>
    <col min="19" max="20" width="12.109375" style="509" hidden="1" customWidth="1"/>
    <col min="21" max="21" width="11.44140625" style="509" hidden="1" customWidth="1"/>
    <col min="22" max="22" width="15.88671875" style="509" hidden="1" customWidth="1"/>
    <col min="23" max="23" width="20.33203125" style="509" hidden="1" customWidth="1"/>
    <col min="24" max="24" width="13.33203125" style="511" hidden="1" customWidth="1"/>
    <col min="25" max="25" width="15.5546875" style="511" hidden="1" customWidth="1"/>
    <col min="26" max="26" width="11" style="511" hidden="1" customWidth="1"/>
    <col min="27" max="27" width="13.6640625" style="511" hidden="1" customWidth="1"/>
    <col min="28" max="28" width="14.5546875" style="509" hidden="1" customWidth="1"/>
    <col min="29" max="29" width="15.44140625" style="509" hidden="1" customWidth="1"/>
    <col min="30" max="37" width="0" style="509" hidden="1" customWidth="1"/>
    <col min="38" max="40" width="1.5546875" style="509" hidden="1" customWidth="1"/>
    <col min="41" max="42" width="13.6640625" style="509" hidden="1" customWidth="1"/>
    <col min="43" max="43" width="12" style="509" customWidth="1"/>
    <col min="44" max="258" width="8.88671875" style="509"/>
    <col min="259" max="259" width="0.5546875" style="509" customWidth="1"/>
    <col min="260" max="261" width="0" style="509" hidden="1" customWidth="1"/>
    <col min="262" max="262" width="14.109375" style="509" customWidth="1"/>
    <col min="263" max="263" width="14.5546875" style="509" customWidth="1"/>
    <col min="264" max="264" width="0" style="509" hidden="1" customWidth="1"/>
    <col min="265" max="265" width="12.6640625" style="509" customWidth="1"/>
    <col min="266" max="266" width="9.6640625" style="509" customWidth="1"/>
    <col min="267" max="267" width="3.6640625" style="509" customWidth="1"/>
    <col min="268" max="268" width="13.5546875" style="509" customWidth="1"/>
    <col min="269" max="269" width="0.33203125" style="509" customWidth="1"/>
    <col min="270" max="279" width="0" style="509" hidden="1" customWidth="1"/>
    <col min="280" max="280" width="15.88671875" style="509" customWidth="1"/>
    <col min="281" max="281" width="21.33203125" style="509" customWidth="1"/>
    <col min="282" max="283" width="13.33203125" style="509" customWidth="1"/>
    <col min="284" max="284" width="14.5546875" style="509" customWidth="1"/>
    <col min="285" max="285" width="15.44140625" style="509" customWidth="1"/>
    <col min="286" max="293" width="0" style="509" hidden="1" customWidth="1"/>
    <col min="294" max="296" width="1.5546875" style="509" customWidth="1"/>
    <col min="297" max="298" width="13.6640625" style="509" bestFit="1" customWidth="1"/>
    <col min="299" max="299" width="12" style="509" customWidth="1"/>
    <col min="300" max="514" width="8.88671875" style="509"/>
    <col min="515" max="515" width="0.5546875" style="509" customWidth="1"/>
    <col min="516" max="517" width="0" style="509" hidden="1" customWidth="1"/>
    <col min="518" max="518" width="14.109375" style="509" customWidth="1"/>
    <col min="519" max="519" width="14.5546875" style="509" customWidth="1"/>
    <col min="520" max="520" width="0" style="509" hidden="1" customWidth="1"/>
    <col min="521" max="521" width="12.6640625" style="509" customWidth="1"/>
    <col min="522" max="522" width="9.6640625" style="509" customWidth="1"/>
    <col min="523" max="523" width="3.6640625" style="509" customWidth="1"/>
    <col min="524" max="524" width="13.5546875" style="509" customWidth="1"/>
    <col min="525" max="525" width="0.33203125" style="509" customWidth="1"/>
    <col min="526" max="535" width="0" style="509" hidden="1" customWidth="1"/>
    <col min="536" max="536" width="15.88671875" style="509" customWidth="1"/>
    <col min="537" max="537" width="21.33203125" style="509" customWidth="1"/>
    <col min="538" max="539" width="13.33203125" style="509" customWidth="1"/>
    <col min="540" max="540" width="14.5546875" style="509" customWidth="1"/>
    <col min="541" max="541" width="15.44140625" style="509" customWidth="1"/>
    <col min="542" max="549" width="0" style="509" hidden="1" customWidth="1"/>
    <col min="550" max="552" width="1.5546875" style="509" customWidth="1"/>
    <col min="553" max="554" width="13.6640625" style="509" bestFit="1" customWidth="1"/>
    <col min="555" max="555" width="12" style="509" customWidth="1"/>
    <col min="556" max="770" width="8.88671875" style="509"/>
    <col min="771" max="771" width="0.5546875" style="509" customWidth="1"/>
    <col min="772" max="773" width="0" style="509" hidden="1" customWidth="1"/>
    <col min="774" max="774" width="14.109375" style="509" customWidth="1"/>
    <col min="775" max="775" width="14.5546875" style="509" customWidth="1"/>
    <col min="776" max="776" width="0" style="509" hidden="1" customWidth="1"/>
    <col min="777" max="777" width="12.6640625" style="509" customWidth="1"/>
    <col min="778" max="778" width="9.6640625" style="509" customWidth="1"/>
    <col min="779" max="779" width="3.6640625" style="509" customWidth="1"/>
    <col min="780" max="780" width="13.5546875" style="509" customWidth="1"/>
    <col min="781" max="781" width="0.33203125" style="509" customWidth="1"/>
    <col min="782" max="791" width="0" style="509" hidden="1" customWidth="1"/>
    <col min="792" max="792" width="15.88671875" style="509" customWidth="1"/>
    <col min="793" max="793" width="21.33203125" style="509" customWidth="1"/>
    <col min="794" max="795" width="13.33203125" style="509" customWidth="1"/>
    <col min="796" max="796" width="14.5546875" style="509" customWidth="1"/>
    <col min="797" max="797" width="15.44140625" style="509" customWidth="1"/>
    <col min="798" max="805" width="0" style="509" hidden="1" customWidth="1"/>
    <col min="806" max="808" width="1.5546875" style="509" customWidth="1"/>
    <col min="809" max="810" width="13.6640625" style="509" bestFit="1" customWidth="1"/>
    <col min="811" max="811" width="12" style="509" customWidth="1"/>
    <col min="812" max="1026" width="8.88671875" style="509"/>
    <col min="1027" max="1027" width="0.5546875" style="509" customWidth="1"/>
    <col min="1028" max="1029" width="0" style="509" hidden="1" customWidth="1"/>
    <col min="1030" max="1030" width="14.109375" style="509" customWidth="1"/>
    <col min="1031" max="1031" width="14.5546875" style="509" customWidth="1"/>
    <col min="1032" max="1032" width="0" style="509" hidden="1" customWidth="1"/>
    <col min="1033" max="1033" width="12.6640625" style="509" customWidth="1"/>
    <col min="1034" max="1034" width="9.6640625" style="509" customWidth="1"/>
    <col min="1035" max="1035" width="3.6640625" style="509" customWidth="1"/>
    <col min="1036" max="1036" width="13.5546875" style="509" customWidth="1"/>
    <col min="1037" max="1037" width="0.33203125" style="509" customWidth="1"/>
    <col min="1038" max="1047" width="0" style="509" hidden="1" customWidth="1"/>
    <col min="1048" max="1048" width="15.88671875" style="509" customWidth="1"/>
    <col min="1049" max="1049" width="21.33203125" style="509" customWidth="1"/>
    <col min="1050" max="1051" width="13.33203125" style="509" customWidth="1"/>
    <col min="1052" max="1052" width="14.5546875" style="509" customWidth="1"/>
    <col min="1053" max="1053" width="15.44140625" style="509" customWidth="1"/>
    <col min="1054" max="1061" width="0" style="509" hidden="1" customWidth="1"/>
    <col min="1062" max="1064" width="1.5546875" style="509" customWidth="1"/>
    <col min="1065" max="1066" width="13.6640625" style="509" bestFit="1" customWidth="1"/>
    <col min="1067" max="1067" width="12" style="509" customWidth="1"/>
    <col min="1068" max="1282" width="8.88671875" style="509"/>
    <col min="1283" max="1283" width="0.5546875" style="509" customWidth="1"/>
    <col min="1284" max="1285" width="0" style="509" hidden="1" customWidth="1"/>
    <col min="1286" max="1286" width="14.109375" style="509" customWidth="1"/>
    <col min="1287" max="1287" width="14.5546875" style="509" customWidth="1"/>
    <col min="1288" max="1288" width="0" style="509" hidden="1" customWidth="1"/>
    <col min="1289" max="1289" width="12.6640625" style="509" customWidth="1"/>
    <col min="1290" max="1290" width="9.6640625" style="509" customWidth="1"/>
    <col min="1291" max="1291" width="3.6640625" style="509" customWidth="1"/>
    <col min="1292" max="1292" width="13.5546875" style="509" customWidth="1"/>
    <col min="1293" max="1293" width="0.33203125" style="509" customWidth="1"/>
    <col min="1294" max="1303" width="0" style="509" hidden="1" customWidth="1"/>
    <col min="1304" max="1304" width="15.88671875" style="509" customWidth="1"/>
    <col min="1305" max="1305" width="21.33203125" style="509" customWidth="1"/>
    <col min="1306" max="1307" width="13.33203125" style="509" customWidth="1"/>
    <col min="1308" max="1308" width="14.5546875" style="509" customWidth="1"/>
    <col min="1309" max="1309" width="15.44140625" style="509" customWidth="1"/>
    <col min="1310" max="1317" width="0" style="509" hidden="1" customWidth="1"/>
    <col min="1318" max="1320" width="1.5546875" style="509" customWidth="1"/>
    <col min="1321" max="1322" width="13.6640625" style="509" bestFit="1" customWidth="1"/>
    <col min="1323" max="1323" width="12" style="509" customWidth="1"/>
    <col min="1324" max="1538" width="8.88671875" style="509"/>
    <col min="1539" max="1539" width="0.5546875" style="509" customWidth="1"/>
    <col min="1540" max="1541" width="0" style="509" hidden="1" customWidth="1"/>
    <col min="1542" max="1542" width="14.109375" style="509" customWidth="1"/>
    <col min="1543" max="1543" width="14.5546875" style="509" customWidth="1"/>
    <col min="1544" max="1544" width="0" style="509" hidden="1" customWidth="1"/>
    <col min="1545" max="1545" width="12.6640625" style="509" customWidth="1"/>
    <col min="1546" max="1546" width="9.6640625" style="509" customWidth="1"/>
    <col min="1547" max="1547" width="3.6640625" style="509" customWidth="1"/>
    <col min="1548" max="1548" width="13.5546875" style="509" customWidth="1"/>
    <col min="1549" max="1549" width="0.33203125" style="509" customWidth="1"/>
    <col min="1550" max="1559" width="0" style="509" hidden="1" customWidth="1"/>
    <col min="1560" max="1560" width="15.88671875" style="509" customWidth="1"/>
    <col min="1561" max="1561" width="21.33203125" style="509" customWidth="1"/>
    <col min="1562" max="1563" width="13.33203125" style="509" customWidth="1"/>
    <col min="1564" max="1564" width="14.5546875" style="509" customWidth="1"/>
    <col min="1565" max="1565" width="15.44140625" style="509" customWidth="1"/>
    <col min="1566" max="1573" width="0" style="509" hidden="1" customWidth="1"/>
    <col min="1574" max="1576" width="1.5546875" style="509" customWidth="1"/>
    <col min="1577" max="1578" width="13.6640625" style="509" bestFit="1" customWidth="1"/>
    <col min="1579" max="1579" width="12" style="509" customWidth="1"/>
    <col min="1580" max="1794" width="8.88671875" style="509"/>
    <col min="1795" max="1795" width="0.5546875" style="509" customWidth="1"/>
    <col min="1796" max="1797" width="0" style="509" hidden="1" customWidth="1"/>
    <col min="1798" max="1798" width="14.109375" style="509" customWidth="1"/>
    <col min="1799" max="1799" width="14.5546875" style="509" customWidth="1"/>
    <col min="1800" max="1800" width="0" style="509" hidden="1" customWidth="1"/>
    <col min="1801" max="1801" width="12.6640625" style="509" customWidth="1"/>
    <col min="1802" max="1802" width="9.6640625" style="509" customWidth="1"/>
    <col min="1803" max="1803" width="3.6640625" style="509" customWidth="1"/>
    <col min="1804" max="1804" width="13.5546875" style="509" customWidth="1"/>
    <col min="1805" max="1805" width="0.33203125" style="509" customWidth="1"/>
    <col min="1806" max="1815" width="0" style="509" hidden="1" customWidth="1"/>
    <col min="1816" max="1816" width="15.88671875" style="509" customWidth="1"/>
    <col min="1817" max="1817" width="21.33203125" style="509" customWidth="1"/>
    <col min="1818" max="1819" width="13.33203125" style="509" customWidth="1"/>
    <col min="1820" max="1820" width="14.5546875" style="509" customWidth="1"/>
    <col min="1821" max="1821" width="15.44140625" style="509" customWidth="1"/>
    <col min="1822" max="1829" width="0" style="509" hidden="1" customWidth="1"/>
    <col min="1830" max="1832" width="1.5546875" style="509" customWidth="1"/>
    <col min="1833" max="1834" width="13.6640625" style="509" bestFit="1" customWidth="1"/>
    <col min="1835" max="1835" width="12" style="509" customWidth="1"/>
    <col min="1836" max="2050" width="8.88671875" style="509"/>
    <col min="2051" max="2051" width="0.5546875" style="509" customWidth="1"/>
    <col min="2052" max="2053" width="0" style="509" hidden="1" customWidth="1"/>
    <col min="2054" max="2054" width="14.109375" style="509" customWidth="1"/>
    <col min="2055" max="2055" width="14.5546875" style="509" customWidth="1"/>
    <col min="2056" max="2056" width="0" style="509" hidden="1" customWidth="1"/>
    <col min="2057" max="2057" width="12.6640625" style="509" customWidth="1"/>
    <col min="2058" max="2058" width="9.6640625" style="509" customWidth="1"/>
    <col min="2059" max="2059" width="3.6640625" style="509" customWidth="1"/>
    <col min="2060" max="2060" width="13.5546875" style="509" customWidth="1"/>
    <col min="2061" max="2061" width="0.33203125" style="509" customWidth="1"/>
    <col min="2062" max="2071" width="0" style="509" hidden="1" customWidth="1"/>
    <col min="2072" max="2072" width="15.88671875" style="509" customWidth="1"/>
    <col min="2073" max="2073" width="21.33203125" style="509" customWidth="1"/>
    <col min="2074" max="2075" width="13.33203125" style="509" customWidth="1"/>
    <col min="2076" max="2076" width="14.5546875" style="509" customWidth="1"/>
    <col min="2077" max="2077" width="15.44140625" style="509" customWidth="1"/>
    <col min="2078" max="2085" width="0" style="509" hidden="1" customWidth="1"/>
    <col min="2086" max="2088" width="1.5546875" style="509" customWidth="1"/>
    <col min="2089" max="2090" width="13.6640625" style="509" bestFit="1" customWidth="1"/>
    <col min="2091" max="2091" width="12" style="509" customWidth="1"/>
    <col min="2092" max="2306" width="8.88671875" style="509"/>
    <col min="2307" max="2307" width="0.5546875" style="509" customWidth="1"/>
    <col min="2308" max="2309" width="0" style="509" hidden="1" customWidth="1"/>
    <col min="2310" max="2310" width="14.109375" style="509" customWidth="1"/>
    <col min="2311" max="2311" width="14.5546875" style="509" customWidth="1"/>
    <col min="2312" max="2312" width="0" style="509" hidden="1" customWidth="1"/>
    <col min="2313" max="2313" width="12.6640625" style="509" customWidth="1"/>
    <col min="2314" max="2314" width="9.6640625" style="509" customWidth="1"/>
    <col min="2315" max="2315" width="3.6640625" style="509" customWidth="1"/>
    <col min="2316" max="2316" width="13.5546875" style="509" customWidth="1"/>
    <col min="2317" max="2317" width="0.33203125" style="509" customWidth="1"/>
    <col min="2318" max="2327" width="0" style="509" hidden="1" customWidth="1"/>
    <col min="2328" max="2328" width="15.88671875" style="509" customWidth="1"/>
    <col min="2329" max="2329" width="21.33203125" style="509" customWidth="1"/>
    <col min="2330" max="2331" width="13.33203125" style="509" customWidth="1"/>
    <col min="2332" max="2332" width="14.5546875" style="509" customWidth="1"/>
    <col min="2333" max="2333" width="15.44140625" style="509" customWidth="1"/>
    <col min="2334" max="2341" width="0" style="509" hidden="1" customWidth="1"/>
    <col min="2342" max="2344" width="1.5546875" style="509" customWidth="1"/>
    <col min="2345" max="2346" width="13.6640625" style="509" bestFit="1" customWidth="1"/>
    <col min="2347" max="2347" width="12" style="509" customWidth="1"/>
    <col min="2348" max="2562" width="8.88671875" style="509"/>
    <col min="2563" max="2563" width="0.5546875" style="509" customWidth="1"/>
    <col min="2564" max="2565" width="0" style="509" hidden="1" customWidth="1"/>
    <col min="2566" max="2566" width="14.109375" style="509" customWidth="1"/>
    <col min="2567" max="2567" width="14.5546875" style="509" customWidth="1"/>
    <col min="2568" max="2568" width="0" style="509" hidden="1" customWidth="1"/>
    <col min="2569" max="2569" width="12.6640625" style="509" customWidth="1"/>
    <col min="2570" max="2570" width="9.6640625" style="509" customWidth="1"/>
    <col min="2571" max="2571" width="3.6640625" style="509" customWidth="1"/>
    <col min="2572" max="2572" width="13.5546875" style="509" customWidth="1"/>
    <col min="2573" max="2573" width="0.33203125" style="509" customWidth="1"/>
    <col min="2574" max="2583" width="0" style="509" hidden="1" customWidth="1"/>
    <col min="2584" max="2584" width="15.88671875" style="509" customWidth="1"/>
    <col min="2585" max="2585" width="21.33203125" style="509" customWidth="1"/>
    <col min="2586" max="2587" width="13.33203125" style="509" customWidth="1"/>
    <col min="2588" max="2588" width="14.5546875" style="509" customWidth="1"/>
    <col min="2589" max="2589" width="15.44140625" style="509" customWidth="1"/>
    <col min="2590" max="2597" width="0" style="509" hidden="1" customWidth="1"/>
    <col min="2598" max="2600" width="1.5546875" style="509" customWidth="1"/>
    <col min="2601" max="2602" width="13.6640625" style="509" bestFit="1" customWidth="1"/>
    <col min="2603" max="2603" width="12" style="509" customWidth="1"/>
    <col min="2604" max="2818" width="8.88671875" style="509"/>
    <col min="2819" max="2819" width="0.5546875" style="509" customWidth="1"/>
    <col min="2820" max="2821" width="0" style="509" hidden="1" customWidth="1"/>
    <col min="2822" max="2822" width="14.109375" style="509" customWidth="1"/>
    <col min="2823" max="2823" width="14.5546875" style="509" customWidth="1"/>
    <col min="2824" max="2824" width="0" style="509" hidden="1" customWidth="1"/>
    <col min="2825" max="2825" width="12.6640625" style="509" customWidth="1"/>
    <col min="2826" max="2826" width="9.6640625" style="509" customWidth="1"/>
    <col min="2827" max="2827" width="3.6640625" style="509" customWidth="1"/>
    <col min="2828" max="2828" width="13.5546875" style="509" customWidth="1"/>
    <col min="2829" max="2829" width="0.33203125" style="509" customWidth="1"/>
    <col min="2830" max="2839" width="0" style="509" hidden="1" customWidth="1"/>
    <col min="2840" max="2840" width="15.88671875" style="509" customWidth="1"/>
    <col min="2841" max="2841" width="21.33203125" style="509" customWidth="1"/>
    <col min="2842" max="2843" width="13.33203125" style="509" customWidth="1"/>
    <col min="2844" max="2844" width="14.5546875" style="509" customWidth="1"/>
    <col min="2845" max="2845" width="15.44140625" style="509" customWidth="1"/>
    <col min="2846" max="2853" width="0" style="509" hidden="1" customWidth="1"/>
    <col min="2854" max="2856" width="1.5546875" style="509" customWidth="1"/>
    <col min="2857" max="2858" width="13.6640625" style="509" bestFit="1" customWidth="1"/>
    <col min="2859" max="2859" width="12" style="509" customWidth="1"/>
    <col min="2860" max="3074" width="8.88671875" style="509"/>
    <col min="3075" max="3075" width="0.5546875" style="509" customWidth="1"/>
    <col min="3076" max="3077" width="0" style="509" hidden="1" customWidth="1"/>
    <col min="3078" max="3078" width="14.109375" style="509" customWidth="1"/>
    <col min="3079" max="3079" width="14.5546875" style="509" customWidth="1"/>
    <col min="3080" max="3080" width="0" style="509" hidden="1" customWidth="1"/>
    <col min="3081" max="3081" width="12.6640625" style="509" customWidth="1"/>
    <col min="3082" max="3082" width="9.6640625" style="509" customWidth="1"/>
    <col min="3083" max="3083" width="3.6640625" style="509" customWidth="1"/>
    <col min="3084" max="3084" width="13.5546875" style="509" customWidth="1"/>
    <col min="3085" max="3085" width="0.33203125" style="509" customWidth="1"/>
    <col min="3086" max="3095" width="0" style="509" hidden="1" customWidth="1"/>
    <col min="3096" max="3096" width="15.88671875" style="509" customWidth="1"/>
    <col min="3097" max="3097" width="21.33203125" style="509" customWidth="1"/>
    <col min="3098" max="3099" width="13.33203125" style="509" customWidth="1"/>
    <col min="3100" max="3100" width="14.5546875" style="509" customWidth="1"/>
    <col min="3101" max="3101" width="15.44140625" style="509" customWidth="1"/>
    <col min="3102" max="3109" width="0" style="509" hidden="1" customWidth="1"/>
    <col min="3110" max="3112" width="1.5546875" style="509" customWidth="1"/>
    <col min="3113" max="3114" width="13.6640625" style="509" bestFit="1" customWidth="1"/>
    <col min="3115" max="3115" width="12" style="509" customWidth="1"/>
    <col min="3116" max="3330" width="8.88671875" style="509"/>
    <col min="3331" max="3331" width="0.5546875" style="509" customWidth="1"/>
    <col min="3332" max="3333" width="0" style="509" hidden="1" customWidth="1"/>
    <col min="3334" max="3334" width="14.109375" style="509" customWidth="1"/>
    <col min="3335" max="3335" width="14.5546875" style="509" customWidth="1"/>
    <col min="3336" max="3336" width="0" style="509" hidden="1" customWidth="1"/>
    <col min="3337" max="3337" width="12.6640625" style="509" customWidth="1"/>
    <col min="3338" max="3338" width="9.6640625" style="509" customWidth="1"/>
    <col min="3339" max="3339" width="3.6640625" style="509" customWidth="1"/>
    <col min="3340" max="3340" width="13.5546875" style="509" customWidth="1"/>
    <col min="3341" max="3341" width="0.33203125" style="509" customWidth="1"/>
    <col min="3342" max="3351" width="0" style="509" hidden="1" customWidth="1"/>
    <col min="3352" max="3352" width="15.88671875" style="509" customWidth="1"/>
    <col min="3353" max="3353" width="21.33203125" style="509" customWidth="1"/>
    <col min="3354" max="3355" width="13.33203125" style="509" customWidth="1"/>
    <col min="3356" max="3356" width="14.5546875" style="509" customWidth="1"/>
    <col min="3357" max="3357" width="15.44140625" style="509" customWidth="1"/>
    <col min="3358" max="3365" width="0" style="509" hidden="1" customWidth="1"/>
    <col min="3366" max="3368" width="1.5546875" style="509" customWidth="1"/>
    <col min="3369" max="3370" width="13.6640625" style="509" bestFit="1" customWidth="1"/>
    <col min="3371" max="3371" width="12" style="509" customWidth="1"/>
    <col min="3372" max="3586" width="8.88671875" style="509"/>
    <col min="3587" max="3587" width="0.5546875" style="509" customWidth="1"/>
    <col min="3588" max="3589" width="0" style="509" hidden="1" customWidth="1"/>
    <col min="3590" max="3590" width="14.109375" style="509" customWidth="1"/>
    <col min="3591" max="3591" width="14.5546875" style="509" customWidth="1"/>
    <col min="3592" max="3592" width="0" style="509" hidden="1" customWidth="1"/>
    <col min="3593" max="3593" width="12.6640625" style="509" customWidth="1"/>
    <col min="3594" max="3594" width="9.6640625" style="509" customWidth="1"/>
    <col min="3595" max="3595" width="3.6640625" style="509" customWidth="1"/>
    <col min="3596" max="3596" width="13.5546875" style="509" customWidth="1"/>
    <col min="3597" max="3597" width="0.33203125" style="509" customWidth="1"/>
    <col min="3598" max="3607" width="0" style="509" hidden="1" customWidth="1"/>
    <col min="3608" max="3608" width="15.88671875" style="509" customWidth="1"/>
    <col min="3609" max="3609" width="21.33203125" style="509" customWidth="1"/>
    <col min="3610" max="3611" width="13.33203125" style="509" customWidth="1"/>
    <col min="3612" max="3612" width="14.5546875" style="509" customWidth="1"/>
    <col min="3613" max="3613" width="15.44140625" style="509" customWidth="1"/>
    <col min="3614" max="3621" width="0" style="509" hidden="1" customWidth="1"/>
    <col min="3622" max="3624" width="1.5546875" style="509" customWidth="1"/>
    <col min="3625" max="3626" width="13.6640625" style="509" bestFit="1" customWidth="1"/>
    <col min="3627" max="3627" width="12" style="509" customWidth="1"/>
    <col min="3628" max="3842" width="8.88671875" style="509"/>
    <col min="3843" max="3843" width="0.5546875" style="509" customWidth="1"/>
    <col min="3844" max="3845" width="0" style="509" hidden="1" customWidth="1"/>
    <col min="3846" max="3846" width="14.109375" style="509" customWidth="1"/>
    <col min="3847" max="3847" width="14.5546875" style="509" customWidth="1"/>
    <col min="3848" max="3848" width="0" style="509" hidden="1" customWidth="1"/>
    <col min="3849" max="3849" width="12.6640625" style="509" customWidth="1"/>
    <col min="3850" max="3850" width="9.6640625" style="509" customWidth="1"/>
    <col min="3851" max="3851" width="3.6640625" style="509" customWidth="1"/>
    <col min="3852" max="3852" width="13.5546875" style="509" customWidth="1"/>
    <col min="3853" max="3853" width="0.33203125" style="509" customWidth="1"/>
    <col min="3854" max="3863" width="0" style="509" hidden="1" customWidth="1"/>
    <col min="3864" max="3864" width="15.88671875" style="509" customWidth="1"/>
    <col min="3865" max="3865" width="21.33203125" style="509" customWidth="1"/>
    <col min="3866" max="3867" width="13.33203125" style="509" customWidth="1"/>
    <col min="3868" max="3868" width="14.5546875" style="509" customWidth="1"/>
    <col min="3869" max="3869" width="15.44140625" style="509" customWidth="1"/>
    <col min="3870" max="3877" width="0" style="509" hidden="1" customWidth="1"/>
    <col min="3878" max="3880" width="1.5546875" style="509" customWidth="1"/>
    <col min="3881" max="3882" width="13.6640625" style="509" bestFit="1" customWidth="1"/>
    <col min="3883" max="3883" width="12" style="509" customWidth="1"/>
    <col min="3884" max="4098" width="8.88671875" style="509"/>
    <col min="4099" max="4099" width="0.5546875" style="509" customWidth="1"/>
    <col min="4100" max="4101" width="0" style="509" hidden="1" customWidth="1"/>
    <col min="4102" max="4102" width="14.109375" style="509" customWidth="1"/>
    <col min="4103" max="4103" width="14.5546875" style="509" customWidth="1"/>
    <col min="4104" max="4104" width="0" style="509" hidden="1" customWidth="1"/>
    <col min="4105" max="4105" width="12.6640625" style="509" customWidth="1"/>
    <col min="4106" max="4106" width="9.6640625" style="509" customWidth="1"/>
    <col min="4107" max="4107" width="3.6640625" style="509" customWidth="1"/>
    <col min="4108" max="4108" width="13.5546875" style="509" customWidth="1"/>
    <col min="4109" max="4109" width="0.33203125" style="509" customWidth="1"/>
    <col min="4110" max="4119" width="0" style="509" hidden="1" customWidth="1"/>
    <col min="4120" max="4120" width="15.88671875" style="509" customWidth="1"/>
    <col min="4121" max="4121" width="21.33203125" style="509" customWidth="1"/>
    <col min="4122" max="4123" width="13.33203125" style="509" customWidth="1"/>
    <col min="4124" max="4124" width="14.5546875" style="509" customWidth="1"/>
    <col min="4125" max="4125" width="15.44140625" style="509" customWidth="1"/>
    <col min="4126" max="4133" width="0" style="509" hidden="1" customWidth="1"/>
    <col min="4134" max="4136" width="1.5546875" style="509" customWidth="1"/>
    <col min="4137" max="4138" width="13.6640625" style="509" bestFit="1" customWidth="1"/>
    <col min="4139" max="4139" width="12" style="509" customWidth="1"/>
    <col min="4140" max="4354" width="8.88671875" style="509"/>
    <col min="4355" max="4355" width="0.5546875" style="509" customWidth="1"/>
    <col min="4356" max="4357" width="0" style="509" hidden="1" customWidth="1"/>
    <col min="4358" max="4358" width="14.109375" style="509" customWidth="1"/>
    <col min="4359" max="4359" width="14.5546875" style="509" customWidth="1"/>
    <col min="4360" max="4360" width="0" style="509" hidden="1" customWidth="1"/>
    <col min="4361" max="4361" width="12.6640625" style="509" customWidth="1"/>
    <col min="4362" max="4362" width="9.6640625" style="509" customWidth="1"/>
    <col min="4363" max="4363" width="3.6640625" style="509" customWidth="1"/>
    <col min="4364" max="4364" width="13.5546875" style="509" customWidth="1"/>
    <col min="4365" max="4365" width="0.33203125" style="509" customWidth="1"/>
    <col min="4366" max="4375" width="0" style="509" hidden="1" customWidth="1"/>
    <col min="4376" max="4376" width="15.88671875" style="509" customWidth="1"/>
    <col min="4377" max="4377" width="21.33203125" style="509" customWidth="1"/>
    <col min="4378" max="4379" width="13.33203125" style="509" customWidth="1"/>
    <col min="4380" max="4380" width="14.5546875" style="509" customWidth="1"/>
    <col min="4381" max="4381" width="15.44140625" style="509" customWidth="1"/>
    <col min="4382" max="4389" width="0" style="509" hidden="1" customWidth="1"/>
    <col min="4390" max="4392" width="1.5546875" style="509" customWidth="1"/>
    <col min="4393" max="4394" width="13.6640625" style="509" bestFit="1" customWidth="1"/>
    <col min="4395" max="4395" width="12" style="509" customWidth="1"/>
    <col min="4396" max="4610" width="8.88671875" style="509"/>
    <col min="4611" max="4611" width="0.5546875" style="509" customWidth="1"/>
    <col min="4612" max="4613" width="0" style="509" hidden="1" customWidth="1"/>
    <col min="4614" max="4614" width="14.109375" style="509" customWidth="1"/>
    <col min="4615" max="4615" width="14.5546875" style="509" customWidth="1"/>
    <col min="4616" max="4616" width="0" style="509" hidden="1" customWidth="1"/>
    <col min="4617" max="4617" width="12.6640625" style="509" customWidth="1"/>
    <col min="4618" max="4618" width="9.6640625" style="509" customWidth="1"/>
    <col min="4619" max="4619" width="3.6640625" style="509" customWidth="1"/>
    <col min="4620" max="4620" width="13.5546875" style="509" customWidth="1"/>
    <col min="4621" max="4621" width="0.33203125" style="509" customWidth="1"/>
    <col min="4622" max="4631" width="0" style="509" hidden="1" customWidth="1"/>
    <col min="4632" max="4632" width="15.88671875" style="509" customWidth="1"/>
    <col min="4633" max="4633" width="21.33203125" style="509" customWidth="1"/>
    <col min="4634" max="4635" width="13.33203125" style="509" customWidth="1"/>
    <col min="4636" max="4636" width="14.5546875" style="509" customWidth="1"/>
    <col min="4637" max="4637" width="15.44140625" style="509" customWidth="1"/>
    <col min="4638" max="4645" width="0" style="509" hidden="1" customWidth="1"/>
    <col min="4646" max="4648" width="1.5546875" style="509" customWidth="1"/>
    <col min="4649" max="4650" width="13.6640625" style="509" bestFit="1" customWidth="1"/>
    <col min="4651" max="4651" width="12" style="509" customWidth="1"/>
    <col min="4652" max="4866" width="8.88671875" style="509"/>
    <col min="4867" max="4867" width="0.5546875" style="509" customWidth="1"/>
    <col min="4868" max="4869" width="0" style="509" hidden="1" customWidth="1"/>
    <col min="4870" max="4870" width="14.109375" style="509" customWidth="1"/>
    <col min="4871" max="4871" width="14.5546875" style="509" customWidth="1"/>
    <col min="4872" max="4872" width="0" style="509" hidden="1" customWidth="1"/>
    <col min="4873" max="4873" width="12.6640625" style="509" customWidth="1"/>
    <col min="4874" max="4874" width="9.6640625" style="509" customWidth="1"/>
    <col min="4875" max="4875" width="3.6640625" style="509" customWidth="1"/>
    <col min="4876" max="4876" width="13.5546875" style="509" customWidth="1"/>
    <col min="4877" max="4877" width="0.33203125" style="509" customWidth="1"/>
    <col min="4878" max="4887" width="0" style="509" hidden="1" customWidth="1"/>
    <col min="4888" max="4888" width="15.88671875" style="509" customWidth="1"/>
    <col min="4889" max="4889" width="21.33203125" style="509" customWidth="1"/>
    <col min="4890" max="4891" width="13.33203125" style="509" customWidth="1"/>
    <col min="4892" max="4892" width="14.5546875" style="509" customWidth="1"/>
    <col min="4893" max="4893" width="15.44140625" style="509" customWidth="1"/>
    <col min="4894" max="4901" width="0" style="509" hidden="1" customWidth="1"/>
    <col min="4902" max="4904" width="1.5546875" style="509" customWidth="1"/>
    <col min="4905" max="4906" width="13.6640625" style="509" bestFit="1" customWidth="1"/>
    <col min="4907" max="4907" width="12" style="509" customWidth="1"/>
    <col min="4908" max="5122" width="8.88671875" style="509"/>
    <col min="5123" max="5123" width="0.5546875" style="509" customWidth="1"/>
    <col min="5124" max="5125" width="0" style="509" hidden="1" customWidth="1"/>
    <col min="5126" max="5126" width="14.109375" style="509" customWidth="1"/>
    <col min="5127" max="5127" width="14.5546875" style="509" customWidth="1"/>
    <col min="5128" max="5128" width="0" style="509" hidden="1" customWidth="1"/>
    <col min="5129" max="5129" width="12.6640625" style="509" customWidth="1"/>
    <col min="5130" max="5130" width="9.6640625" style="509" customWidth="1"/>
    <col min="5131" max="5131" width="3.6640625" style="509" customWidth="1"/>
    <col min="5132" max="5132" width="13.5546875" style="509" customWidth="1"/>
    <col min="5133" max="5133" width="0.33203125" style="509" customWidth="1"/>
    <col min="5134" max="5143" width="0" style="509" hidden="1" customWidth="1"/>
    <col min="5144" max="5144" width="15.88671875" style="509" customWidth="1"/>
    <col min="5145" max="5145" width="21.33203125" style="509" customWidth="1"/>
    <col min="5146" max="5147" width="13.33203125" style="509" customWidth="1"/>
    <col min="5148" max="5148" width="14.5546875" style="509" customWidth="1"/>
    <col min="5149" max="5149" width="15.44140625" style="509" customWidth="1"/>
    <col min="5150" max="5157" width="0" style="509" hidden="1" customWidth="1"/>
    <col min="5158" max="5160" width="1.5546875" style="509" customWidth="1"/>
    <col min="5161" max="5162" width="13.6640625" style="509" bestFit="1" customWidth="1"/>
    <col min="5163" max="5163" width="12" style="509" customWidth="1"/>
    <col min="5164" max="5378" width="8.88671875" style="509"/>
    <col min="5379" max="5379" width="0.5546875" style="509" customWidth="1"/>
    <col min="5380" max="5381" width="0" style="509" hidden="1" customWidth="1"/>
    <col min="5382" max="5382" width="14.109375" style="509" customWidth="1"/>
    <col min="5383" max="5383" width="14.5546875" style="509" customWidth="1"/>
    <col min="5384" max="5384" width="0" style="509" hidden="1" customWidth="1"/>
    <col min="5385" max="5385" width="12.6640625" style="509" customWidth="1"/>
    <col min="5386" max="5386" width="9.6640625" style="509" customWidth="1"/>
    <col min="5387" max="5387" width="3.6640625" style="509" customWidth="1"/>
    <col min="5388" max="5388" width="13.5546875" style="509" customWidth="1"/>
    <col min="5389" max="5389" width="0.33203125" style="509" customWidth="1"/>
    <col min="5390" max="5399" width="0" style="509" hidden="1" customWidth="1"/>
    <col min="5400" max="5400" width="15.88671875" style="509" customWidth="1"/>
    <col min="5401" max="5401" width="21.33203125" style="509" customWidth="1"/>
    <col min="5402" max="5403" width="13.33203125" style="509" customWidth="1"/>
    <col min="5404" max="5404" width="14.5546875" style="509" customWidth="1"/>
    <col min="5405" max="5405" width="15.44140625" style="509" customWidth="1"/>
    <col min="5406" max="5413" width="0" style="509" hidden="1" customWidth="1"/>
    <col min="5414" max="5416" width="1.5546875" style="509" customWidth="1"/>
    <col min="5417" max="5418" width="13.6640625" style="509" bestFit="1" customWidth="1"/>
    <col min="5419" max="5419" width="12" style="509" customWidth="1"/>
    <col min="5420" max="5634" width="8.88671875" style="509"/>
    <col min="5635" max="5635" width="0.5546875" style="509" customWidth="1"/>
    <col min="5636" max="5637" width="0" style="509" hidden="1" customWidth="1"/>
    <col min="5638" max="5638" width="14.109375" style="509" customWidth="1"/>
    <col min="5639" max="5639" width="14.5546875" style="509" customWidth="1"/>
    <col min="5640" max="5640" width="0" style="509" hidden="1" customWidth="1"/>
    <col min="5641" max="5641" width="12.6640625" style="509" customWidth="1"/>
    <col min="5642" max="5642" width="9.6640625" style="509" customWidth="1"/>
    <col min="5643" max="5643" width="3.6640625" style="509" customWidth="1"/>
    <col min="5644" max="5644" width="13.5546875" style="509" customWidth="1"/>
    <col min="5645" max="5645" width="0.33203125" style="509" customWidth="1"/>
    <col min="5646" max="5655" width="0" style="509" hidden="1" customWidth="1"/>
    <col min="5656" max="5656" width="15.88671875" style="509" customWidth="1"/>
    <col min="5657" max="5657" width="21.33203125" style="509" customWidth="1"/>
    <col min="5658" max="5659" width="13.33203125" style="509" customWidth="1"/>
    <col min="5660" max="5660" width="14.5546875" style="509" customWidth="1"/>
    <col min="5661" max="5661" width="15.44140625" style="509" customWidth="1"/>
    <col min="5662" max="5669" width="0" style="509" hidden="1" customWidth="1"/>
    <col min="5670" max="5672" width="1.5546875" style="509" customWidth="1"/>
    <col min="5673" max="5674" width="13.6640625" style="509" bestFit="1" customWidth="1"/>
    <col min="5675" max="5675" width="12" style="509" customWidth="1"/>
    <col min="5676" max="5890" width="8.88671875" style="509"/>
    <col min="5891" max="5891" width="0.5546875" style="509" customWidth="1"/>
    <col min="5892" max="5893" width="0" style="509" hidden="1" customWidth="1"/>
    <col min="5894" max="5894" width="14.109375" style="509" customWidth="1"/>
    <col min="5895" max="5895" width="14.5546875" style="509" customWidth="1"/>
    <col min="5896" max="5896" width="0" style="509" hidden="1" customWidth="1"/>
    <col min="5897" max="5897" width="12.6640625" style="509" customWidth="1"/>
    <col min="5898" max="5898" width="9.6640625" style="509" customWidth="1"/>
    <col min="5899" max="5899" width="3.6640625" style="509" customWidth="1"/>
    <col min="5900" max="5900" width="13.5546875" style="509" customWidth="1"/>
    <col min="5901" max="5901" width="0.33203125" style="509" customWidth="1"/>
    <col min="5902" max="5911" width="0" style="509" hidden="1" customWidth="1"/>
    <col min="5912" max="5912" width="15.88671875" style="509" customWidth="1"/>
    <col min="5913" max="5913" width="21.33203125" style="509" customWidth="1"/>
    <col min="5914" max="5915" width="13.33203125" style="509" customWidth="1"/>
    <col min="5916" max="5916" width="14.5546875" style="509" customWidth="1"/>
    <col min="5917" max="5917" width="15.44140625" style="509" customWidth="1"/>
    <col min="5918" max="5925" width="0" style="509" hidden="1" customWidth="1"/>
    <col min="5926" max="5928" width="1.5546875" style="509" customWidth="1"/>
    <col min="5929" max="5930" width="13.6640625" style="509" bestFit="1" customWidth="1"/>
    <col min="5931" max="5931" width="12" style="509" customWidth="1"/>
    <col min="5932" max="6146" width="8.88671875" style="509"/>
    <col min="6147" max="6147" width="0.5546875" style="509" customWidth="1"/>
    <col min="6148" max="6149" width="0" style="509" hidden="1" customWidth="1"/>
    <col min="6150" max="6150" width="14.109375" style="509" customWidth="1"/>
    <col min="6151" max="6151" width="14.5546875" style="509" customWidth="1"/>
    <col min="6152" max="6152" width="0" style="509" hidden="1" customWidth="1"/>
    <col min="6153" max="6153" width="12.6640625" style="509" customWidth="1"/>
    <col min="6154" max="6154" width="9.6640625" style="509" customWidth="1"/>
    <col min="6155" max="6155" width="3.6640625" style="509" customWidth="1"/>
    <col min="6156" max="6156" width="13.5546875" style="509" customWidth="1"/>
    <col min="6157" max="6157" width="0.33203125" style="509" customWidth="1"/>
    <col min="6158" max="6167" width="0" style="509" hidden="1" customWidth="1"/>
    <col min="6168" max="6168" width="15.88671875" style="509" customWidth="1"/>
    <col min="6169" max="6169" width="21.33203125" style="509" customWidth="1"/>
    <col min="6170" max="6171" width="13.33203125" style="509" customWidth="1"/>
    <col min="6172" max="6172" width="14.5546875" style="509" customWidth="1"/>
    <col min="6173" max="6173" width="15.44140625" style="509" customWidth="1"/>
    <col min="6174" max="6181" width="0" style="509" hidden="1" customWidth="1"/>
    <col min="6182" max="6184" width="1.5546875" style="509" customWidth="1"/>
    <col min="6185" max="6186" width="13.6640625" style="509" bestFit="1" customWidth="1"/>
    <col min="6187" max="6187" width="12" style="509" customWidth="1"/>
    <col min="6188" max="6402" width="8.88671875" style="509"/>
    <col min="6403" max="6403" width="0.5546875" style="509" customWidth="1"/>
    <col min="6404" max="6405" width="0" style="509" hidden="1" customWidth="1"/>
    <col min="6406" max="6406" width="14.109375" style="509" customWidth="1"/>
    <col min="6407" max="6407" width="14.5546875" style="509" customWidth="1"/>
    <col min="6408" max="6408" width="0" style="509" hidden="1" customWidth="1"/>
    <col min="6409" max="6409" width="12.6640625" style="509" customWidth="1"/>
    <col min="6410" max="6410" width="9.6640625" style="509" customWidth="1"/>
    <col min="6411" max="6411" width="3.6640625" style="509" customWidth="1"/>
    <col min="6412" max="6412" width="13.5546875" style="509" customWidth="1"/>
    <col min="6413" max="6413" width="0.33203125" style="509" customWidth="1"/>
    <col min="6414" max="6423" width="0" style="509" hidden="1" customWidth="1"/>
    <col min="6424" max="6424" width="15.88671875" style="509" customWidth="1"/>
    <col min="6425" max="6425" width="21.33203125" style="509" customWidth="1"/>
    <col min="6426" max="6427" width="13.33203125" style="509" customWidth="1"/>
    <col min="6428" max="6428" width="14.5546875" style="509" customWidth="1"/>
    <col min="6429" max="6429" width="15.44140625" style="509" customWidth="1"/>
    <col min="6430" max="6437" width="0" style="509" hidden="1" customWidth="1"/>
    <col min="6438" max="6440" width="1.5546875" style="509" customWidth="1"/>
    <col min="6441" max="6442" width="13.6640625" style="509" bestFit="1" customWidth="1"/>
    <col min="6443" max="6443" width="12" style="509" customWidth="1"/>
    <col min="6444" max="6658" width="8.88671875" style="509"/>
    <col min="6659" max="6659" width="0.5546875" style="509" customWidth="1"/>
    <col min="6660" max="6661" width="0" style="509" hidden="1" customWidth="1"/>
    <col min="6662" max="6662" width="14.109375" style="509" customWidth="1"/>
    <col min="6663" max="6663" width="14.5546875" style="509" customWidth="1"/>
    <col min="6664" max="6664" width="0" style="509" hidden="1" customWidth="1"/>
    <col min="6665" max="6665" width="12.6640625" style="509" customWidth="1"/>
    <col min="6666" max="6666" width="9.6640625" style="509" customWidth="1"/>
    <col min="6667" max="6667" width="3.6640625" style="509" customWidth="1"/>
    <col min="6668" max="6668" width="13.5546875" style="509" customWidth="1"/>
    <col min="6669" max="6669" width="0.33203125" style="509" customWidth="1"/>
    <col min="6670" max="6679" width="0" style="509" hidden="1" customWidth="1"/>
    <col min="6680" max="6680" width="15.88671875" style="509" customWidth="1"/>
    <col min="6681" max="6681" width="21.33203125" style="509" customWidth="1"/>
    <col min="6682" max="6683" width="13.33203125" style="509" customWidth="1"/>
    <col min="6684" max="6684" width="14.5546875" style="509" customWidth="1"/>
    <col min="6685" max="6685" width="15.44140625" style="509" customWidth="1"/>
    <col min="6686" max="6693" width="0" style="509" hidden="1" customWidth="1"/>
    <col min="6694" max="6696" width="1.5546875" style="509" customWidth="1"/>
    <col min="6697" max="6698" width="13.6640625" style="509" bestFit="1" customWidth="1"/>
    <col min="6699" max="6699" width="12" style="509" customWidth="1"/>
    <col min="6700" max="6914" width="8.88671875" style="509"/>
    <col min="6915" max="6915" width="0.5546875" style="509" customWidth="1"/>
    <col min="6916" max="6917" width="0" style="509" hidden="1" customWidth="1"/>
    <col min="6918" max="6918" width="14.109375" style="509" customWidth="1"/>
    <col min="6919" max="6919" width="14.5546875" style="509" customWidth="1"/>
    <col min="6920" max="6920" width="0" style="509" hidden="1" customWidth="1"/>
    <col min="6921" max="6921" width="12.6640625" style="509" customWidth="1"/>
    <col min="6922" max="6922" width="9.6640625" style="509" customWidth="1"/>
    <col min="6923" max="6923" width="3.6640625" style="509" customWidth="1"/>
    <col min="6924" max="6924" width="13.5546875" style="509" customWidth="1"/>
    <col min="6925" max="6925" width="0.33203125" style="509" customWidth="1"/>
    <col min="6926" max="6935" width="0" style="509" hidden="1" customWidth="1"/>
    <col min="6936" max="6936" width="15.88671875" style="509" customWidth="1"/>
    <col min="6937" max="6937" width="21.33203125" style="509" customWidth="1"/>
    <col min="6938" max="6939" width="13.33203125" style="509" customWidth="1"/>
    <col min="6940" max="6940" width="14.5546875" style="509" customWidth="1"/>
    <col min="6941" max="6941" width="15.44140625" style="509" customWidth="1"/>
    <col min="6942" max="6949" width="0" style="509" hidden="1" customWidth="1"/>
    <col min="6950" max="6952" width="1.5546875" style="509" customWidth="1"/>
    <col min="6953" max="6954" width="13.6640625" style="509" bestFit="1" customWidth="1"/>
    <col min="6955" max="6955" width="12" style="509" customWidth="1"/>
    <col min="6956" max="7170" width="8.88671875" style="509"/>
    <col min="7171" max="7171" width="0.5546875" style="509" customWidth="1"/>
    <col min="7172" max="7173" width="0" style="509" hidden="1" customWidth="1"/>
    <col min="7174" max="7174" width="14.109375" style="509" customWidth="1"/>
    <col min="7175" max="7175" width="14.5546875" style="509" customWidth="1"/>
    <col min="7176" max="7176" width="0" style="509" hidden="1" customWidth="1"/>
    <col min="7177" max="7177" width="12.6640625" style="509" customWidth="1"/>
    <col min="7178" max="7178" width="9.6640625" style="509" customWidth="1"/>
    <col min="7179" max="7179" width="3.6640625" style="509" customWidth="1"/>
    <col min="7180" max="7180" width="13.5546875" style="509" customWidth="1"/>
    <col min="7181" max="7181" width="0.33203125" style="509" customWidth="1"/>
    <col min="7182" max="7191" width="0" style="509" hidden="1" customWidth="1"/>
    <col min="7192" max="7192" width="15.88671875" style="509" customWidth="1"/>
    <col min="7193" max="7193" width="21.33203125" style="509" customWidth="1"/>
    <col min="7194" max="7195" width="13.33203125" style="509" customWidth="1"/>
    <col min="7196" max="7196" width="14.5546875" style="509" customWidth="1"/>
    <col min="7197" max="7197" width="15.44140625" style="509" customWidth="1"/>
    <col min="7198" max="7205" width="0" style="509" hidden="1" customWidth="1"/>
    <col min="7206" max="7208" width="1.5546875" style="509" customWidth="1"/>
    <col min="7209" max="7210" width="13.6640625" style="509" bestFit="1" customWidth="1"/>
    <col min="7211" max="7211" width="12" style="509" customWidth="1"/>
    <col min="7212" max="7426" width="8.88671875" style="509"/>
    <col min="7427" max="7427" width="0.5546875" style="509" customWidth="1"/>
    <col min="7428" max="7429" width="0" style="509" hidden="1" customWidth="1"/>
    <col min="7430" max="7430" width="14.109375" style="509" customWidth="1"/>
    <col min="7431" max="7431" width="14.5546875" style="509" customWidth="1"/>
    <col min="7432" max="7432" width="0" style="509" hidden="1" customWidth="1"/>
    <col min="7433" max="7433" width="12.6640625" style="509" customWidth="1"/>
    <col min="7434" max="7434" width="9.6640625" style="509" customWidth="1"/>
    <col min="7435" max="7435" width="3.6640625" style="509" customWidth="1"/>
    <col min="7436" max="7436" width="13.5546875" style="509" customWidth="1"/>
    <col min="7437" max="7437" width="0.33203125" style="509" customWidth="1"/>
    <col min="7438" max="7447" width="0" style="509" hidden="1" customWidth="1"/>
    <col min="7448" max="7448" width="15.88671875" style="509" customWidth="1"/>
    <col min="7449" max="7449" width="21.33203125" style="509" customWidth="1"/>
    <col min="7450" max="7451" width="13.33203125" style="509" customWidth="1"/>
    <col min="7452" max="7452" width="14.5546875" style="509" customWidth="1"/>
    <col min="7453" max="7453" width="15.44140625" style="509" customWidth="1"/>
    <col min="7454" max="7461" width="0" style="509" hidden="1" customWidth="1"/>
    <col min="7462" max="7464" width="1.5546875" style="509" customWidth="1"/>
    <col min="7465" max="7466" width="13.6640625" style="509" bestFit="1" customWidth="1"/>
    <col min="7467" max="7467" width="12" style="509" customWidth="1"/>
    <col min="7468" max="7682" width="8.88671875" style="509"/>
    <col min="7683" max="7683" width="0.5546875" style="509" customWidth="1"/>
    <col min="7684" max="7685" width="0" style="509" hidden="1" customWidth="1"/>
    <col min="7686" max="7686" width="14.109375" style="509" customWidth="1"/>
    <col min="7687" max="7687" width="14.5546875" style="509" customWidth="1"/>
    <col min="7688" max="7688" width="0" style="509" hidden="1" customWidth="1"/>
    <col min="7689" max="7689" width="12.6640625" style="509" customWidth="1"/>
    <col min="7690" max="7690" width="9.6640625" style="509" customWidth="1"/>
    <col min="7691" max="7691" width="3.6640625" style="509" customWidth="1"/>
    <col min="7692" max="7692" width="13.5546875" style="509" customWidth="1"/>
    <col min="7693" max="7693" width="0.33203125" style="509" customWidth="1"/>
    <col min="7694" max="7703" width="0" style="509" hidden="1" customWidth="1"/>
    <col min="7704" max="7704" width="15.88671875" style="509" customWidth="1"/>
    <col min="7705" max="7705" width="21.33203125" style="509" customWidth="1"/>
    <col min="7706" max="7707" width="13.33203125" style="509" customWidth="1"/>
    <col min="7708" max="7708" width="14.5546875" style="509" customWidth="1"/>
    <col min="7709" max="7709" width="15.44140625" style="509" customWidth="1"/>
    <col min="7710" max="7717" width="0" style="509" hidden="1" customWidth="1"/>
    <col min="7718" max="7720" width="1.5546875" style="509" customWidth="1"/>
    <col min="7721" max="7722" width="13.6640625" style="509" bestFit="1" customWidth="1"/>
    <col min="7723" max="7723" width="12" style="509" customWidth="1"/>
    <col min="7724" max="7938" width="8.88671875" style="509"/>
    <col min="7939" max="7939" width="0.5546875" style="509" customWidth="1"/>
    <col min="7940" max="7941" width="0" style="509" hidden="1" customWidth="1"/>
    <col min="7942" max="7942" width="14.109375" style="509" customWidth="1"/>
    <col min="7943" max="7943" width="14.5546875" style="509" customWidth="1"/>
    <col min="7944" max="7944" width="0" style="509" hidden="1" customWidth="1"/>
    <col min="7945" max="7945" width="12.6640625" style="509" customWidth="1"/>
    <col min="7946" max="7946" width="9.6640625" style="509" customWidth="1"/>
    <col min="7947" max="7947" width="3.6640625" style="509" customWidth="1"/>
    <col min="7948" max="7948" width="13.5546875" style="509" customWidth="1"/>
    <col min="7949" max="7949" width="0.33203125" style="509" customWidth="1"/>
    <col min="7950" max="7959" width="0" style="509" hidden="1" customWidth="1"/>
    <col min="7960" max="7960" width="15.88671875" style="509" customWidth="1"/>
    <col min="7961" max="7961" width="21.33203125" style="509" customWidth="1"/>
    <col min="7962" max="7963" width="13.33203125" style="509" customWidth="1"/>
    <col min="7964" max="7964" width="14.5546875" style="509" customWidth="1"/>
    <col min="7965" max="7965" width="15.44140625" style="509" customWidth="1"/>
    <col min="7966" max="7973" width="0" style="509" hidden="1" customWidth="1"/>
    <col min="7974" max="7976" width="1.5546875" style="509" customWidth="1"/>
    <col min="7977" max="7978" width="13.6640625" style="509" bestFit="1" customWidth="1"/>
    <col min="7979" max="7979" width="12" style="509" customWidth="1"/>
    <col min="7980" max="8194" width="8.88671875" style="509"/>
    <col min="8195" max="8195" width="0.5546875" style="509" customWidth="1"/>
    <col min="8196" max="8197" width="0" style="509" hidden="1" customWidth="1"/>
    <col min="8198" max="8198" width="14.109375" style="509" customWidth="1"/>
    <col min="8199" max="8199" width="14.5546875" style="509" customWidth="1"/>
    <col min="8200" max="8200" width="0" style="509" hidden="1" customWidth="1"/>
    <col min="8201" max="8201" width="12.6640625" style="509" customWidth="1"/>
    <col min="8202" max="8202" width="9.6640625" style="509" customWidth="1"/>
    <col min="8203" max="8203" width="3.6640625" style="509" customWidth="1"/>
    <col min="8204" max="8204" width="13.5546875" style="509" customWidth="1"/>
    <col min="8205" max="8205" width="0.33203125" style="509" customWidth="1"/>
    <col min="8206" max="8215" width="0" style="509" hidden="1" customWidth="1"/>
    <col min="8216" max="8216" width="15.88671875" style="509" customWidth="1"/>
    <col min="8217" max="8217" width="21.33203125" style="509" customWidth="1"/>
    <col min="8218" max="8219" width="13.33203125" style="509" customWidth="1"/>
    <col min="8220" max="8220" width="14.5546875" style="509" customWidth="1"/>
    <col min="8221" max="8221" width="15.44140625" style="509" customWidth="1"/>
    <col min="8222" max="8229" width="0" style="509" hidden="1" customWidth="1"/>
    <col min="8230" max="8232" width="1.5546875" style="509" customWidth="1"/>
    <col min="8233" max="8234" width="13.6640625" style="509" bestFit="1" customWidth="1"/>
    <col min="8235" max="8235" width="12" style="509" customWidth="1"/>
    <col min="8236" max="8450" width="8.88671875" style="509"/>
    <col min="8451" max="8451" width="0.5546875" style="509" customWidth="1"/>
    <col min="8452" max="8453" width="0" style="509" hidden="1" customWidth="1"/>
    <col min="8454" max="8454" width="14.109375" style="509" customWidth="1"/>
    <col min="8455" max="8455" width="14.5546875" style="509" customWidth="1"/>
    <col min="8456" max="8456" width="0" style="509" hidden="1" customWidth="1"/>
    <col min="8457" max="8457" width="12.6640625" style="509" customWidth="1"/>
    <col min="8458" max="8458" width="9.6640625" style="509" customWidth="1"/>
    <col min="8459" max="8459" width="3.6640625" style="509" customWidth="1"/>
    <col min="8460" max="8460" width="13.5546875" style="509" customWidth="1"/>
    <col min="8461" max="8461" width="0.33203125" style="509" customWidth="1"/>
    <col min="8462" max="8471" width="0" style="509" hidden="1" customWidth="1"/>
    <col min="8472" max="8472" width="15.88671875" style="509" customWidth="1"/>
    <col min="8473" max="8473" width="21.33203125" style="509" customWidth="1"/>
    <col min="8474" max="8475" width="13.33203125" style="509" customWidth="1"/>
    <col min="8476" max="8476" width="14.5546875" style="509" customWidth="1"/>
    <col min="8477" max="8477" width="15.44140625" style="509" customWidth="1"/>
    <col min="8478" max="8485" width="0" style="509" hidden="1" customWidth="1"/>
    <col min="8486" max="8488" width="1.5546875" style="509" customWidth="1"/>
    <col min="8489" max="8490" width="13.6640625" style="509" bestFit="1" customWidth="1"/>
    <col min="8491" max="8491" width="12" style="509" customWidth="1"/>
    <col min="8492" max="8706" width="8.88671875" style="509"/>
    <col min="8707" max="8707" width="0.5546875" style="509" customWidth="1"/>
    <col min="8708" max="8709" width="0" style="509" hidden="1" customWidth="1"/>
    <col min="8710" max="8710" width="14.109375" style="509" customWidth="1"/>
    <col min="8711" max="8711" width="14.5546875" style="509" customWidth="1"/>
    <col min="8712" max="8712" width="0" style="509" hidden="1" customWidth="1"/>
    <col min="8713" max="8713" width="12.6640625" style="509" customWidth="1"/>
    <col min="8714" max="8714" width="9.6640625" style="509" customWidth="1"/>
    <col min="8715" max="8715" width="3.6640625" style="509" customWidth="1"/>
    <col min="8716" max="8716" width="13.5546875" style="509" customWidth="1"/>
    <col min="8717" max="8717" width="0.33203125" style="509" customWidth="1"/>
    <col min="8718" max="8727" width="0" style="509" hidden="1" customWidth="1"/>
    <col min="8728" max="8728" width="15.88671875" style="509" customWidth="1"/>
    <col min="8729" max="8729" width="21.33203125" style="509" customWidth="1"/>
    <col min="8730" max="8731" width="13.33203125" style="509" customWidth="1"/>
    <col min="8732" max="8732" width="14.5546875" style="509" customWidth="1"/>
    <col min="8733" max="8733" width="15.44140625" style="509" customWidth="1"/>
    <col min="8734" max="8741" width="0" style="509" hidden="1" customWidth="1"/>
    <col min="8742" max="8744" width="1.5546875" style="509" customWidth="1"/>
    <col min="8745" max="8746" width="13.6640625" style="509" bestFit="1" customWidth="1"/>
    <col min="8747" max="8747" width="12" style="509" customWidth="1"/>
    <col min="8748" max="8962" width="8.88671875" style="509"/>
    <col min="8963" max="8963" width="0.5546875" style="509" customWidth="1"/>
    <col min="8964" max="8965" width="0" style="509" hidden="1" customWidth="1"/>
    <col min="8966" max="8966" width="14.109375" style="509" customWidth="1"/>
    <col min="8967" max="8967" width="14.5546875" style="509" customWidth="1"/>
    <col min="8968" max="8968" width="0" style="509" hidden="1" customWidth="1"/>
    <col min="8969" max="8969" width="12.6640625" style="509" customWidth="1"/>
    <col min="8970" max="8970" width="9.6640625" style="509" customWidth="1"/>
    <col min="8971" max="8971" width="3.6640625" style="509" customWidth="1"/>
    <col min="8972" max="8972" width="13.5546875" style="509" customWidth="1"/>
    <col min="8973" max="8973" width="0.33203125" style="509" customWidth="1"/>
    <col min="8974" max="8983" width="0" style="509" hidden="1" customWidth="1"/>
    <col min="8984" max="8984" width="15.88671875" style="509" customWidth="1"/>
    <col min="8985" max="8985" width="21.33203125" style="509" customWidth="1"/>
    <col min="8986" max="8987" width="13.33203125" style="509" customWidth="1"/>
    <col min="8988" max="8988" width="14.5546875" style="509" customWidth="1"/>
    <col min="8989" max="8989" width="15.44140625" style="509" customWidth="1"/>
    <col min="8990" max="8997" width="0" style="509" hidden="1" customWidth="1"/>
    <col min="8998" max="9000" width="1.5546875" style="509" customWidth="1"/>
    <col min="9001" max="9002" width="13.6640625" style="509" bestFit="1" customWidth="1"/>
    <col min="9003" max="9003" width="12" style="509" customWidth="1"/>
    <col min="9004" max="9218" width="8.88671875" style="509"/>
    <col min="9219" max="9219" width="0.5546875" style="509" customWidth="1"/>
    <col min="9220" max="9221" width="0" style="509" hidden="1" customWidth="1"/>
    <col min="9222" max="9222" width="14.109375" style="509" customWidth="1"/>
    <col min="9223" max="9223" width="14.5546875" style="509" customWidth="1"/>
    <col min="9224" max="9224" width="0" style="509" hidden="1" customWidth="1"/>
    <col min="9225" max="9225" width="12.6640625" style="509" customWidth="1"/>
    <col min="9226" max="9226" width="9.6640625" style="509" customWidth="1"/>
    <col min="9227" max="9227" width="3.6640625" style="509" customWidth="1"/>
    <col min="9228" max="9228" width="13.5546875" style="509" customWidth="1"/>
    <col min="9229" max="9229" width="0.33203125" style="509" customWidth="1"/>
    <col min="9230" max="9239" width="0" style="509" hidden="1" customWidth="1"/>
    <col min="9240" max="9240" width="15.88671875" style="509" customWidth="1"/>
    <col min="9241" max="9241" width="21.33203125" style="509" customWidth="1"/>
    <col min="9242" max="9243" width="13.33203125" style="509" customWidth="1"/>
    <col min="9244" max="9244" width="14.5546875" style="509" customWidth="1"/>
    <col min="9245" max="9245" width="15.44140625" style="509" customWidth="1"/>
    <col min="9246" max="9253" width="0" style="509" hidden="1" customWidth="1"/>
    <col min="9254" max="9256" width="1.5546875" style="509" customWidth="1"/>
    <col min="9257" max="9258" width="13.6640625" style="509" bestFit="1" customWidth="1"/>
    <col min="9259" max="9259" width="12" style="509" customWidth="1"/>
    <col min="9260" max="9474" width="8.88671875" style="509"/>
    <col min="9475" max="9475" width="0.5546875" style="509" customWidth="1"/>
    <col min="9476" max="9477" width="0" style="509" hidden="1" customWidth="1"/>
    <col min="9478" max="9478" width="14.109375" style="509" customWidth="1"/>
    <col min="9479" max="9479" width="14.5546875" style="509" customWidth="1"/>
    <col min="9480" max="9480" width="0" style="509" hidden="1" customWidth="1"/>
    <col min="9481" max="9481" width="12.6640625" style="509" customWidth="1"/>
    <col min="9482" max="9482" width="9.6640625" style="509" customWidth="1"/>
    <col min="9483" max="9483" width="3.6640625" style="509" customWidth="1"/>
    <col min="9484" max="9484" width="13.5546875" style="509" customWidth="1"/>
    <col min="9485" max="9485" width="0.33203125" style="509" customWidth="1"/>
    <col min="9486" max="9495" width="0" style="509" hidden="1" customWidth="1"/>
    <col min="9496" max="9496" width="15.88671875" style="509" customWidth="1"/>
    <col min="9497" max="9497" width="21.33203125" style="509" customWidth="1"/>
    <col min="9498" max="9499" width="13.33203125" style="509" customWidth="1"/>
    <col min="9500" max="9500" width="14.5546875" style="509" customWidth="1"/>
    <col min="9501" max="9501" width="15.44140625" style="509" customWidth="1"/>
    <col min="9502" max="9509" width="0" style="509" hidden="1" customWidth="1"/>
    <col min="9510" max="9512" width="1.5546875" style="509" customWidth="1"/>
    <col min="9513" max="9514" width="13.6640625" style="509" bestFit="1" customWidth="1"/>
    <col min="9515" max="9515" width="12" style="509" customWidth="1"/>
    <col min="9516" max="9730" width="8.88671875" style="509"/>
    <col min="9731" max="9731" width="0.5546875" style="509" customWidth="1"/>
    <col min="9732" max="9733" width="0" style="509" hidden="1" customWidth="1"/>
    <col min="9734" max="9734" width="14.109375" style="509" customWidth="1"/>
    <col min="9735" max="9735" width="14.5546875" style="509" customWidth="1"/>
    <col min="9736" max="9736" width="0" style="509" hidden="1" customWidth="1"/>
    <col min="9737" max="9737" width="12.6640625" style="509" customWidth="1"/>
    <col min="9738" max="9738" width="9.6640625" style="509" customWidth="1"/>
    <col min="9739" max="9739" width="3.6640625" style="509" customWidth="1"/>
    <col min="9740" max="9740" width="13.5546875" style="509" customWidth="1"/>
    <col min="9741" max="9741" width="0.33203125" style="509" customWidth="1"/>
    <col min="9742" max="9751" width="0" style="509" hidden="1" customWidth="1"/>
    <col min="9752" max="9752" width="15.88671875" style="509" customWidth="1"/>
    <col min="9753" max="9753" width="21.33203125" style="509" customWidth="1"/>
    <col min="9754" max="9755" width="13.33203125" style="509" customWidth="1"/>
    <col min="9756" max="9756" width="14.5546875" style="509" customWidth="1"/>
    <col min="9757" max="9757" width="15.44140625" style="509" customWidth="1"/>
    <col min="9758" max="9765" width="0" style="509" hidden="1" customWidth="1"/>
    <col min="9766" max="9768" width="1.5546875" style="509" customWidth="1"/>
    <col min="9769" max="9770" width="13.6640625" style="509" bestFit="1" customWidth="1"/>
    <col min="9771" max="9771" width="12" style="509" customWidth="1"/>
    <col min="9772" max="9986" width="8.88671875" style="509"/>
    <col min="9987" max="9987" width="0.5546875" style="509" customWidth="1"/>
    <col min="9988" max="9989" width="0" style="509" hidden="1" customWidth="1"/>
    <col min="9990" max="9990" width="14.109375" style="509" customWidth="1"/>
    <col min="9991" max="9991" width="14.5546875" style="509" customWidth="1"/>
    <col min="9992" max="9992" width="0" style="509" hidden="1" customWidth="1"/>
    <col min="9993" max="9993" width="12.6640625" style="509" customWidth="1"/>
    <col min="9994" max="9994" width="9.6640625" style="509" customWidth="1"/>
    <col min="9995" max="9995" width="3.6640625" style="509" customWidth="1"/>
    <col min="9996" max="9996" width="13.5546875" style="509" customWidth="1"/>
    <col min="9997" max="9997" width="0.33203125" style="509" customWidth="1"/>
    <col min="9998" max="10007" width="0" style="509" hidden="1" customWidth="1"/>
    <col min="10008" max="10008" width="15.88671875" style="509" customWidth="1"/>
    <col min="10009" max="10009" width="21.33203125" style="509" customWidth="1"/>
    <col min="10010" max="10011" width="13.33203125" style="509" customWidth="1"/>
    <col min="10012" max="10012" width="14.5546875" style="509" customWidth="1"/>
    <col min="10013" max="10013" width="15.44140625" style="509" customWidth="1"/>
    <col min="10014" max="10021" width="0" style="509" hidden="1" customWidth="1"/>
    <col min="10022" max="10024" width="1.5546875" style="509" customWidth="1"/>
    <col min="10025" max="10026" width="13.6640625" style="509" bestFit="1" customWidth="1"/>
    <col min="10027" max="10027" width="12" style="509" customWidth="1"/>
    <col min="10028" max="10242" width="8.88671875" style="509"/>
    <col min="10243" max="10243" width="0.5546875" style="509" customWidth="1"/>
    <col min="10244" max="10245" width="0" style="509" hidden="1" customWidth="1"/>
    <col min="10246" max="10246" width="14.109375" style="509" customWidth="1"/>
    <col min="10247" max="10247" width="14.5546875" style="509" customWidth="1"/>
    <col min="10248" max="10248" width="0" style="509" hidden="1" customWidth="1"/>
    <col min="10249" max="10249" width="12.6640625" style="509" customWidth="1"/>
    <col min="10250" max="10250" width="9.6640625" style="509" customWidth="1"/>
    <col min="10251" max="10251" width="3.6640625" style="509" customWidth="1"/>
    <col min="10252" max="10252" width="13.5546875" style="509" customWidth="1"/>
    <col min="10253" max="10253" width="0.33203125" style="509" customWidth="1"/>
    <col min="10254" max="10263" width="0" style="509" hidden="1" customWidth="1"/>
    <col min="10264" max="10264" width="15.88671875" style="509" customWidth="1"/>
    <col min="10265" max="10265" width="21.33203125" style="509" customWidth="1"/>
    <col min="10266" max="10267" width="13.33203125" style="509" customWidth="1"/>
    <col min="10268" max="10268" width="14.5546875" style="509" customWidth="1"/>
    <col min="10269" max="10269" width="15.44140625" style="509" customWidth="1"/>
    <col min="10270" max="10277" width="0" style="509" hidden="1" customWidth="1"/>
    <col min="10278" max="10280" width="1.5546875" style="509" customWidth="1"/>
    <col min="10281" max="10282" width="13.6640625" style="509" bestFit="1" customWidth="1"/>
    <col min="10283" max="10283" width="12" style="509" customWidth="1"/>
    <col min="10284" max="10498" width="8.88671875" style="509"/>
    <col min="10499" max="10499" width="0.5546875" style="509" customWidth="1"/>
    <col min="10500" max="10501" width="0" style="509" hidden="1" customWidth="1"/>
    <col min="10502" max="10502" width="14.109375" style="509" customWidth="1"/>
    <col min="10503" max="10503" width="14.5546875" style="509" customWidth="1"/>
    <col min="10504" max="10504" width="0" style="509" hidden="1" customWidth="1"/>
    <col min="10505" max="10505" width="12.6640625" style="509" customWidth="1"/>
    <col min="10506" max="10506" width="9.6640625" style="509" customWidth="1"/>
    <col min="10507" max="10507" width="3.6640625" style="509" customWidth="1"/>
    <col min="10508" max="10508" width="13.5546875" style="509" customWidth="1"/>
    <col min="10509" max="10509" width="0.33203125" style="509" customWidth="1"/>
    <col min="10510" max="10519" width="0" style="509" hidden="1" customWidth="1"/>
    <col min="10520" max="10520" width="15.88671875" style="509" customWidth="1"/>
    <col min="10521" max="10521" width="21.33203125" style="509" customWidth="1"/>
    <col min="10522" max="10523" width="13.33203125" style="509" customWidth="1"/>
    <col min="10524" max="10524" width="14.5546875" style="509" customWidth="1"/>
    <col min="10525" max="10525" width="15.44140625" style="509" customWidth="1"/>
    <col min="10526" max="10533" width="0" style="509" hidden="1" customWidth="1"/>
    <col min="10534" max="10536" width="1.5546875" style="509" customWidth="1"/>
    <col min="10537" max="10538" width="13.6640625" style="509" bestFit="1" customWidth="1"/>
    <col min="10539" max="10539" width="12" style="509" customWidth="1"/>
    <col min="10540" max="10754" width="8.88671875" style="509"/>
    <col min="10755" max="10755" width="0.5546875" style="509" customWidth="1"/>
    <col min="10756" max="10757" width="0" style="509" hidden="1" customWidth="1"/>
    <col min="10758" max="10758" width="14.109375" style="509" customWidth="1"/>
    <col min="10759" max="10759" width="14.5546875" style="509" customWidth="1"/>
    <col min="10760" max="10760" width="0" style="509" hidden="1" customWidth="1"/>
    <col min="10761" max="10761" width="12.6640625" style="509" customWidth="1"/>
    <col min="10762" max="10762" width="9.6640625" style="509" customWidth="1"/>
    <col min="10763" max="10763" width="3.6640625" style="509" customWidth="1"/>
    <col min="10764" max="10764" width="13.5546875" style="509" customWidth="1"/>
    <col min="10765" max="10765" width="0.33203125" style="509" customWidth="1"/>
    <col min="10766" max="10775" width="0" style="509" hidden="1" customWidth="1"/>
    <col min="10776" max="10776" width="15.88671875" style="509" customWidth="1"/>
    <col min="10777" max="10777" width="21.33203125" style="509" customWidth="1"/>
    <col min="10778" max="10779" width="13.33203125" style="509" customWidth="1"/>
    <col min="10780" max="10780" width="14.5546875" style="509" customWidth="1"/>
    <col min="10781" max="10781" width="15.44140625" style="509" customWidth="1"/>
    <col min="10782" max="10789" width="0" style="509" hidden="1" customWidth="1"/>
    <col min="10790" max="10792" width="1.5546875" style="509" customWidth="1"/>
    <col min="10793" max="10794" width="13.6640625" style="509" bestFit="1" customWidth="1"/>
    <col min="10795" max="10795" width="12" style="509" customWidth="1"/>
    <col min="10796" max="11010" width="8.88671875" style="509"/>
    <col min="11011" max="11011" width="0.5546875" style="509" customWidth="1"/>
    <col min="11012" max="11013" width="0" style="509" hidden="1" customWidth="1"/>
    <col min="11014" max="11014" width="14.109375" style="509" customWidth="1"/>
    <col min="11015" max="11015" width="14.5546875" style="509" customWidth="1"/>
    <col min="11016" max="11016" width="0" style="509" hidden="1" customWidth="1"/>
    <col min="11017" max="11017" width="12.6640625" style="509" customWidth="1"/>
    <col min="11018" max="11018" width="9.6640625" style="509" customWidth="1"/>
    <col min="11019" max="11019" width="3.6640625" style="509" customWidth="1"/>
    <col min="11020" max="11020" width="13.5546875" style="509" customWidth="1"/>
    <col min="11021" max="11021" width="0.33203125" style="509" customWidth="1"/>
    <col min="11022" max="11031" width="0" style="509" hidden="1" customWidth="1"/>
    <col min="11032" max="11032" width="15.88671875" style="509" customWidth="1"/>
    <col min="11033" max="11033" width="21.33203125" style="509" customWidth="1"/>
    <col min="11034" max="11035" width="13.33203125" style="509" customWidth="1"/>
    <col min="11036" max="11036" width="14.5546875" style="509" customWidth="1"/>
    <col min="11037" max="11037" width="15.44140625" style="509" customWidth="1"/>
    <col min="11038" max="11045" width="0" style="509" hidden="1" customWidth="1"/>
    <col min="11046" max="11048" width="1.5546875" style="509" customWidth="1"/>
    <col min="11049" max="11050" width="13.6640625" style="509" bestFit="1" customWidth="1"/>
    <col min="11051" max="11051" width="12" style="509" customWidth="1"/>
    <col min="11052" max="11266" width="8.88671875" style="509"/>
    <col min="11267" max="11267" width="0.5546875" style="509" customWidth="1"/>
    <col min="11268" max="11269" width="0" style="509" hidden="1" customWidth="1"/>
    <col min="11270" max="11270" width="14.109375" style="509" customWidth="1"/>
    <col min="11271" max="11271" width="14.5546875" style="509" customWidth="1"/>
    <col min="11272" max="11272" width="0" style="509" hidden="1" customWidth="1"/>
    <col min="11273" max="11273" width="12.6640625" style="509" customWidth="1"/>
    <col min="11274" max="11274" width="9.6640625" style="509" customWidth="1"/>
    <col min="11275" max="11275" width="3.6640625" style="509" customWidth="1"/>
    <col min="11276" max="11276" width="13.5546875" style="509" customWidth="1"/>
    <col min="11277" max="11277" width="0.33203125" style="509" customWidth="1"/>
    <col min="11278" max="11287" width="0" style="509" hidden="1" customWidth="1"/>
    <col min="11288" max="11288" width="15.88671875" style="509" customWidth="1"/>
    <col min="11289" max="11289" width="21.33203125" style="509" customWidth="1"/>
    <col min="11290" max="11291" width="13.33203125" style="509" customWidth="1"/>
    <col min="11292" max="11292" width="14.5546875" style="509" customWidth="1"/>
    <col min="11293" max="11293" width="15.44140625" style="509" customWidth="1"/>
    <col min="11294" max="11301" width="0" style="509" hidden="1" customWidth="1"/>
    <col min="11302" max="11304" width="1.5546875" style="509" customWidth="1"/>
    <col min="11305" max="11306" width="13.6640625" style="509" bestFit="1" customWidth="1"/>
    <col min="11307" max="11307" width="12" style="509" customWidth="1"/>
    <col min="11308" max="11522" width="8.88671875" style="509"/>
    <col min="11523" max="11523" width="0.5546875" style="509" customWidth="1"/>
    <col min="11524" max="11525" width="0" style="509" hidden="1" customWidth="1"/>
    <col min="11526" max="11526" width="14.109375" style="509" customWidth="1"/>
    <col min="11527" max="11527" width="14.5546875" style="509" customWidth="1"/>
    <col min="11528" max="11528" width="0" style="509" hidden="1" customWidth="1"/>
    <col min="11529" max="11529" width="12.6640625" style="509" customWidth="1"/>
    <col min="11530" max="11530" width="9.6640625" style="509" customWidth="1"/>
    <col min="11531" max="11531" width="3.6640625" style="509" customWidth="1"/>
    <col min="11532" max="11532" width="13.5546875" style="509" customWidth="1"/>
    <col min="11533" max="11533" width="0.33203125" style="509" customWidth="1"/>
    <col min="11534" max="11543" width="0" style="509" hidden="1" customWidth="1"/>
    <col min="11544" max="11544" width="15.88671875" style="509" customWidth="1"/>
    <col min="11545" max="11545" width="21.33203125" style="509" customWidth="1"/>
    <col min="11546" max="11547" width="13.33203125" style="509" customWidth="1"/>
    <col min="11548" max="11548" width="14.5546875" style="509" customWidth="1"/>
    <col min="11549" max="11549" width="15.44140625" style="509" customWidth="1"/>
    <col min="11550" max="11557" width="0" style="509" hidden="1" customWidth="1"/>
    <col min="11558" max="11560" width="1.5546875" style="509" customWidth="1"/>
    <col min="11561" max="11562" width="13.6640625" style="509" bestFit="1" customWidth="1"/>
    <col min="11563" max="11563" width="12" style="509" customWidth="1"/>
    <col min="11564" max="11778" width="8.88671875" style="509"/>
    <col min="11779" max="11779" width="0.5546875" style="509" customWidth="1"/>
    <col min="11780" max="11781" width="0" style="509" hidden="1" customWidth="1"/>
    <col min="11782" max="11782" width="14.109375" style="509" customWidth="1"/>
    <col min="11783" max="11783" width="14.5546875" style="509" customWidth="1"/>
    <col min="11784" max="11784" width="0" style="509" hidden="1" customWidth="1"/>
    <col min="11785" max="11785" width="12.6640625" style="509" customWidth="1"/>
    <col min="11786" max="11786" width="9.6640625" style="509" customWidth="1"/>
    <col min="11787" max="11787" width="3.6640625" style="509" customWidth="1"/>
    <col min="11788" max="11788" width="13.5546875" style="509" customWidth="1"/>
    <col min="11789" max="11789" width="0.33203125" style="509" customWidth="1"/>
    <col min="11790" max="11799" width="0" style="509" hidden="1" customWidth="1"/>
    <col min="11800" max="11800" width="15.88671875" style="509" customWidth="1"/>
    <col min="11801" max="11801" width="21.33203125" style="509" customWidth="1"/>
    <col min="11802" max="11803" width="13.33203125" style="509" customWidth="1"/>
    <col min="11804" max="11804" width="14.5546875" style="509" customWidth="1"/>
    <col min="11805" max="11805" width="15.44140625" style="509" customWidth="1"/>
    <col min="11806" max="11813" width="0" style="509" hidden="1" customWidth="1"/>
    <col min="11814" max="11816" width="1.5546875" style="509" customWidth="1"/>
    <col min="11817" max="11818" width="13.6640625" style="509" bestFit="1" customWidth="1"/>
    <col min="11819" max="11819" width="12" style="509" customWidth="1"/>
    <col min="11820" max="12034" width="8.88671875" style="509"/>
    <col min="12035" max="12035" width="0.5546875" style="509" customWidth="1"/>
    <col min="12036" max="12037" width="0" style="509" hidden="1" customWidth="1"/>
    <col min="12038" max="12038" width="14.109375" style="509" customWidth="1"/>
    <col min="12039" max="12039" width="14.5546875" style="509" customWidth="1"/>
    <col min="12040" max="12040" width="0" style="509" hidden="1" customWidth="1"/>
    <col min="12041" max="12041" width="12.6640625" style="509" customWidth="1"/>
    <col min="12042" max="12042" width="9.6640625" style="509" customWidth="1"/>
    <col min="12043" max="12043" width="3.6640625" style="509" customWidth="1"/>
    <col min="12044" max="12044" width="13.5546875" style="509" customWidth="1"/>
    <col min="12045" max="12045" width="0.33203125" style="509" customWidth="1"/>
    <col min="12046" max="12055" width="0" style="509" hidden="1" customWidth="1"/>
    <col min="12056" max="12056" width="15.88671875" style="509" customWidth="1"/>
    <col min="12057" max="12057" width="21.33203125" style="509" customWidth="1"/>
    <col min="12058" max="12059" width="13.33203125" style="509" customWidth="1"/>
    <col min="12060" max="12060" width="14.5546875" style="509" customWidth="1"/>
    <col min="12061" max="12061" width="15.44140625" style="509" customWidth="1"/>
    <col min="12062" max="12069" width="0" style="509" hidden="1" customWidth="1"/>
    <col min="12070" max="12072" width="1.5546875" style="509" customWidth="1"/>
    <col min="12073" max="12074" width="13.6640625" style="509" bestFit="1" customWidth="1"/>
    <col min="12075" max="12075" width="12" style="509" customWidth="1"/>
    <col min="12076" max="12290" width="8.88671875" style="509"/>
    <col min="12291" max="12291" width="0.5546875" style="509" customWidth="1"/>
    <col min="12292" max="12293" width="0" style="509" hidden="1" customWidth="1"/>
    <col min="12294" max="12294" width="14.109375" style="509" customWidth="1"/>
    <col min="12295" max="12295" width="14.5546875" style="509" customWidth="1"/>
    <col min="12296" max="12296" width="0" style="509" hidden="1" customWidth="1"/>
    <col min="12297" max="12297" width="12.6640625" style="509" customWidth="1"/>
    <col min="12298" max="12298" width="9.6640625" style="509" customWidth="1"/>
    <col min="12299" max="12299" width="3.6640625" style="509" customWidth="1"/>
    <col min="12300" max="12300" width="13.5546875" style="509" customWidth="1"/>
    <col min="12301" max="12301" width="0.33203125" style="509" customWidth="1"/>
    <col min="12302" max="12311" width="0" style="509" hidden="1" customWidth="1"/>
    <col min="12312" max="12312" width="15.88671875" style="509" customWidth="1"/>
    <col min="12313" max="12313" width="21.33203125" style="509" customWidth="1"/>
    <col min="12314" max="12315" width="13.33203125" style="509" customWidth="1"/>
    <col min="12316" max="12316" width="14.5546875" style="509" customWidth="1"/>
    <col min="12317" max="12317" width="15.44140625" style="509" customWidth="1"/>
    <col min="12318" max="12325" width="0" style="509" hidden="1" customWidth="1"/>
    <col min="12326" max="12328" width="1.5546875" style="509" customWidth="1"/>
    <col min="12329" max="12330" width="13.6640625" style="509" bestFit="1" customWidth="1"/>
    <col min="12331" max="12331" width="12" style="509" customWidth="1"/>
    <col min="12332" max="12546" width="8.88671875" style="509"/>
    <col min="12547" max="12547" width="0.5546875" style="509" customWidth="1"/>
    <col min="12548" max="12549" width="0" style="509" hidden="1" customWidth="1"/>
    <col min="12550" max="12550" width="14.109375" style="509" customWidth="1"/>
    <col min="12551" max="12551" width="14.5546875" style="509" customWidth="1"/>
    <col min="12552" max="12552" width="0" style="509" hidden="1" customWidth="1"/>
    <col min="12553" max="12553" width="12.6640625" style="509" customWidth="1"/>
    <col min="12554" max="12554" width="9.6640625" style="509" customWidth="1"/>
    <col min="12555" max="12555" width="3.6640625" style="509" customWidth="1"/>
    <col min="12556" max="12556" width="13.5546875" style="509" customWidth="1"/>
    <col min="12557" max="12557" width="0.33203125" style="509" customWidth="1"/>
    <col min="12558" max="12567" width="0" style="509" hidden="1" customWidth="1"/>
    <col min="12568" max="12568" width="15.88671875" style="509" customWidth="1"/>
    <col min="12569" max="12569" width="21.33203125" style="509" customWidth="1"/>
    <col min="12570" max="12571" width="13.33203125" style="509" customWidth="1"/>
    <col min="12572" max="12572" width="14.5546875" style="509" customWidth="1"/>
    <col min="12573" max="12573" width="15.44140625" style="509" customWidth="1"/>
    <col min="12574" max="12581" width="0" style="509" hidden="1" customWidth="1"/>
    <col min="12582" max="12584" width="1.5546875" style="509" customWidth="1"/>
    <col min="12585" max="12586" width="13.6640625" style="509" bestFit="1" customWidth="1"/>
    <col min="12587" max="12587" width="12" style="509" customWidth="1"/>
    <col min="12588" max="12802" width="8.88671875" style="509"/>
    <col min="12803" max="12803" width="0.5546875" style="509" customWidth="1"/>
    <col min="12804" max="12805" width="0" style="509" hidden="1" customWidth="1"/>
    <col min="12806" max="12806" width="14.109375" style="509" customWidth="1"/>
    <col min="12807" max="12807" width="14.5546875" style="509" customWidth="1"/>
    <col min="12808" max="12808" width="0" style="509" hidden="1" customWidth="1"/>
    <col min="12809" max="12809" width="12.6640625" style="509" customWidth="1"/>
    <col min="12810" max="12810" width="9.6640625" style="509" customWidth="1"/>
    <col min="12811" max="12811" width="3.6640625" style="509" customWidth="1"/>
    <col min="12812" max="12812" width="13.5546875" style="509" customWidth="1"/>
    <col min="12813" max="12813" width="0.33203125" style="509" customWidth="1"/>
    <col min="12814" max="12823" width="0" style="509" hidden="1" customWidth="1"/>
    <col min="12824" max="12824" width="15.88671875" style="509" customWidth="1"/>
    <col min="12825" max="12825" width="21.33203125" style="509" customWidth="1"/>
    <col min="12826" max="12827" width="13.33203125" style="509" customWidth="1"/>
    <col min="12828" max="12828" width="14.5546875" style="509" customWidth="1"/>
    <col min="12829" max="12829" width="15.44140625" style="509" customWidth="1"/>
    <col min="12830" max="12837" width="0" style="509" hidden="1" customWidth="1"/>
    <col min="12838" max="12840" width="1.5546875" style="509" customWidth="1"/>
    <col min="12841" max="12842" width="13.6640625" style="509" bestFit="1" customWidth="1"/>
    <col min="12843" max="12843" width="12" style="509" customWidth="1"/>
    <col min="12844" max="13058" width="8.88671875" style="509"/>
    <col min="13059" max="13059" width="0.5546875" style="509" customWidth="1"/>
    <col min="13060" max="13061" width="0" style="509" hidden="1" customWidth="1"/>
    <col min="13062" max="13062" width="14.109375" style="509" customWidth="1"/>
    <col min="13063" max="13063" width="14.5546875" style="509" customWidth="1"/>
    <col min="13064" max="13064" width="0" style="509" hidden="1" customWidth="1"/>
    <col min="13065" max="13065" width="12.6640625" style="509" customWidth="1"/>
    <col min="13066" max="13066" width="9.6640625" style="509" customWidth="1"/>
    <col min="13067" max="13067" width="3.6640625" style="509" customWidth="1"/>
    <col min="13068" max="13068" width="13.5546875" style="509" customWidth="1"/>
    <col min="13069" max="13069" width="0.33203125" style="509" customWidth="1"/>
    <col min="13070" max="13079" width="0" style="509" hidden="1" customWidth="1"/>
    <col min="13080" max="13080" width="15.88671875" style="509" customWidth="1"/>
    <col min="13081" max="13081" width="21.33203125" style="509" customWidth="1"/>
    <col min="13082" max="13083" width="13.33203125" style="509" customWidth="1"/>
    <col min="13084" max="13084" width="14.5546875" style="509" customWidth="1"/>
    <col min="13085" max="13085" width="15.44140625" style="509" customWidth="1"/>
    <col min="13086" max="13093" width="0" style="509" hidden="1" customWidth="1"/>
    <col min="13094" max="13096" width="1.5546875" style="509" customWidth="1"/>
    <col min="13097" max="13098" width="13.6640625" style="509" bestFit="1" customWidth="1"/>
    <col min="13099" max="13099" width="12" style="509" customWidth="1"/>
    <col min="13100" max="13314" width="8.88671875" style="509"/>
    <col min="13315" max="13315" width="0.5546875" style="509" customWidth="1"/>
    <col min="13316" max="13317" width="0" style="509" hidden="1" customWidth="1"/>
    <col min="13318" max="13318" width="14.109375" style="509" customWidth="1"/>
    <col min="13319" max="13319" width="14.5546875" style="509" customWidth="1"/>
    <col min="13320" max="13320" width="0" style="509" hidden="1" customWidth="1"/>
    <col min="13321" max="13321" width="12.6640625" style="509" customWidth="1"/>
    <col min="13322" max="13322" width="9.6640625" style="509" customWidth="1"/>
    <col min="13323" max="13323" width="3.6640625" style="509" customWidth="1"/>
    <col min="13324" max="13324" width="13.5546875" style="509" customWidth="1"/>
    <col min="13325" max="13325" width="0.33203125" style="509" customWidth="1"/>
    <col min="13326" max="13335" width="0" style="509" hidden="1" customWidth="1"/>
    <col min="13336" max="13336" width="15.88671875" style="509" customWidth="1"/>
    <col min="13337" max="13337" width="21.33203125" style="509" customWidth="1"/>
    <col min="13338" max="13339" width="13.33203125" style="509" customWidth="1"/>
    <col min="13340" max="13340" width="14.5546875" style="509" customWidth="1"/>
    <col min="13341" max="13341" width="15.44140625" style="509" customWidth="1"/>
    <col min="13342" max="13349" width="0" style="509" hidden="1" customWidth="1"/>
    <col min="13350" max="13352" width="1.5546875" style="509" customWidth="1"/>
    <col min="13353" max="13354" width="13.6640625" style="509" bestFit="1" customWidth="1"/>
    <col min="13355" max="13355" width="12" style="509" customWidth="1"/>
    <col min="13356" max="13570" width="8.88671875" style="509"/>
    <col min="13571" max="13571" width="0.5546875" style="509" customWidth="1"/>
    <col min="13572" max="13573" width="0" style="509" hidden="1" customWidth="1"/>
    <col min="13574" max="13574" width="14.109375" style="509" customWidth="1"/>
    <col min="13575" max="13575" width="14.5546875" style="509" customWidth="1"/>
    <col min="13576" max="13576" width="0" style="509" hidden="1" customWidth="1"/>
    <col min="13577" max="13577" width="12.6640625" style="509" customWidth="1"/>
    <col min="13578" max="13578" width="9.6640625" style="509" customWidth="1"/>
    <col min="13579" max="13579" width="3.6640625" style="509" customWidth="1"/>
    <col min="13580" max="13580" width="13.5546875" style="509" customWidth="1"/>
    <col min="13581" max="13581" width="0.33203125" style="509" customWidth="1"/>
    <col min="13582" max="13591" width="0" style="509" hidden="1" customWidth="1"/>
    <col min="13592" max="13592" width="15.88671875" style="509" customWidth="1"/>
    <col min="13593" max="13593" width="21.33203125" style="509" customWidth="1"/>
    <col min="13594" max="13595" width="13.33203125" style="509" customWidth="1"/>
    <col min="13596" max="13596" width="14.5546875" style="509" customWidth="1"/>
    <col min="13597" max="13597" width="15.44140625" style="509" customWidth="1"/>
    <col min="13598" max="13605" width="0" style="509" hidden="1" customWidth="1"/>
    <col min="13606" max="13608" width="1.5546875" style="509" customWidth="1"/>
    <col min="13609" max="13610" width="13.6640625" style="509" bestFit="1" customWidth="1"/>
    <col min="13611" max="13611" width="12" style="509" customWidth="1"/>
    <col min="13612" max="13826" width="8.88671875" style="509"/>
    <col min="13827" max="13827" width="0.5546875" style="509" customWidth="1"/>
    <col min="13828" max="13829" width="0" style="509" hidden="1" customWidth="1"/>
    <col min="13830" max="13830" width="14.109375" style="509" customWidth="1"/>
    <col min="13831" max="13831" width="14.5546875" style="509" customWidth="1"/>
    <col min="13832" max="13832" width="0" style="509" hidden="1" customWidth="1"/>
    <col min="13833" max="13833" width="12.6640625" style="509" customWidth="1"/>
    <col min="13834" max="13834" width="9.6640625" style="509" customWidth="1"/>
    <col min="13835" max="13835" width="3.6640625" style="509" customWidth="1"/>
    <col min="13836" max="13836" width="13.5546875" style="509" customWidth="1"/>
    <col min="13837" max="13837" width="0.33203125" style="509" customWidth="1"/>
    <col min="13838" max="13847" width="0" style="509" hidden="1" customWidth="1"/>
    <col min="13848" max="13848" width="15.88671875" style="509" customWidth="1"/>
    <col min="13849" max="13849" width="21.33203125" style="509" customWidth="1"/>
    <col min="13850" max="13851" width="13.33203125" style="509" customWidth="1"/>
    <col min="13852" max="13852" width="14.5546875" style="509" customWidth="1"/>
    <col min="13853" max="13853" width="15.44140625" style="509" customWidth="1"/>
    <col min="13854" max="13861" width="0" style="509" hidden="1" customWidth="1"/>
    <col min="13862" max="13864" width="1.5546875" style="509" customWidth="1"/>
    <col min="13865" max="13866" width="13.6640625" style="509" bestFit="1" customWidth="1"/>
    <col min="13867" max="13867" width="12" style="509" customWidth="1"/>
    <col min="13868" max="14082" width="8.88671875" style="509"/>
    <col min="14083" max="14083" width="0.5546875" style="509" customWidth="1"/>
    <col min="14084" max="14085" width="0" style="509" hidden="1" customWidth="1"/>
    <col min="14086" max="14086" width="14.109375" style="509" customWidth="1"/>
    <col min="14087" max="14087" width="14.5546875" style="509" customWidth="1"/>
    <col min="14088" max="14088" width="0" style="509" hidden="1" customWidth="1"/>
    <col min="14089" max="14089" width="12.6640625" style="509" customWidth="1"/>
    <col min="14090" max="14090" width="9.6640625" style="509" customWidth="1"/>
    <col min="14091" max="14091" width="3.6640625" style="509" customWidth="1"/>
    <col min="14092" max="14092" width="13.5546875" style="509" customWidth="1"/>
    <col min="14093" max="14093" width="0.33203125" style="509" customWidth="1"/>
    <col min="14094" max="14103" width="0" style="509" hidden="1" customWidth="1"/>
    <col min="14104" max="14104" width="15.88671875" style="509" customWidth="1"/>
    <col min="14105" max="14105" width="21.33203125" style="509" customWidth="1"/>
    <col min="14106" max="14107" width="13.33203125" style="509" customWidth="1"/>
    <col min="14108" max="14108" width="14.5546875" style="509" customWidth="1"/>
    <col min="14109" max="14109" width="15.44140625" style="509" customWidth="1"/>
    <col min="14110" max="14117" width="0" style="509" hidden="1" customWidth="1"/>
    <col min="14118" max="14120" width="1.5546875" style="509" customWidth="1"/>
    <col min="14121" max="14122" width="13.6640625" style="509" bestFit="1" customWidth="1"/>
    <col min="14123" max="14123" width="12" style="509" customWidth="1"/>
    <col min="14124" max="14338" width="8.88671875" style="509"/>
    <col min="14339" max="14339" width="0.5546875" style="509" customWidth="1"/>
    <col min="14340" max="14341" width="0" style="509" hidden="1" customWidth="1"/>
    <col min="14342" max="14342" width="14.109375" style="509" customWidth="1"/>
    <col min="14343" max="14343" width="14.5546875" style="509" customWidth="1"/>
    <col min="14344" max="14344" width="0" style="509" hidden="1" customWidth="1"/>
    <col min="14345" max="14345" width="12.6640625" style="509" customWidth="1"/>
    <col min="14346" max="14346" width="9.6640625" style="509" customWidth="1"/>
    <col min="14347" max="14347" width="3.6640625" style="509" customWidth="1"/>
    <col min="14348" max="14348" width="13.5546875" style="509" customWidth="1"/>
    <col min="14349" max="14349" width="0.33203125" style="509" customWidth="1"/>
    <col min="14350" max="14359" width="0" style="509" hidden="1" customWidth="1"/>
    <col min="14360" max="14360" width="15.88671875" style="509" customWidth="1"/>
    <col min="14361" max="14361" width="21.33203125" style="509" customWidth="1"/>
    <col min="14362" max="14363" width="13.33203125" style="509" customWidth="1"/>
    <col min="14364" max="14364" width="14.5546875" style="509" customWidth="1"/>
    <col min="14365" max="14365" width="15.44140625" style="509" customWidth="1"/>
    <col min="14366" max="14373" width="0" style="509" hidden="1" customWidth="1"/>
    <col min="14374" max="14376" width="1.5546875" style="509" customWidth="1"/>
    <col min="14377" max="14378" width="13.6640625" style="509" bestFit="1" customWidth="1"/>
    <col min="14379" max="14379" width="12" style="509" customWidth="1"/>
    <col min="14380" max="14594" width="8.88671875" style="509"/>
    <col min="14595" max="14595" width="0.5546875" style="509" customWidth="1"/>
    <col min="14596" max="14597" width="0" style="509" hidden="1" customWidth="1"/>
    <col min="14598" max="14598" width="14.109375" style="509" customWidth="1"/>
    <col min="14599" max="14599" width="14.5546875" style="509" customWidth="1"/>
    <col min="14600" max="14600" width="0" style="509" hidden="1" customWidth="1"/>
    <col min="14601" max="14601" width="12.6640625" style="509" customWidth="1"/>
    <col min="14602" max="14602" width="9.6640625" style="509" customWidth="1"/>
    <col min="14603" max="14603" width="3.6640625" style="509" customWidth="1"/>
    <col min="14604" max="14604" width="13.5546875" style="509" customWidth="1"/>
    <col min="14605" max="14605" width="0.33203125" style="509" customWidth="1"/>
    <col min="14606" max="14615" width="0" style="509" hidden="1" customWidth="1"/>
    <col min="14616" max="14616" width="15.88671875" style="509" customWidth="1"/>
    <col min="14617" max="14617" width="21.33203125" style="509" customWidth="1"/>
    <col min="14618" max="14619" width="13.33203125" style="509" customWidth="1"/>
    <col min="14620" max="14620" width="14.5546875" style="509" customWidth="1"/>
    <col min="14621" max="14621" width="15.44140625" style="509" customWidth="1"/>
    <col min="14622" max="14629" width="0" style="509" hidden="1" customWidth="1"/>
    <col min="14630" max="14632" width="1.5546875" style="509" customWidth="1"/>
    <col min="14633" max="14634" width="13.6640625" style="509" bestFit="1" customWidth="1"/>
    <col min="14635" max="14635" width="12" style="509" customWidth="1"/>
    <col min="14636" max="14850" width="8.88671875" style="509"/>
    <col min="14851" max="14851" width="0.5546875" style="509" customWidth="1"/>
    <col min="14852" max="14853" width="0" style="509" hidden="1" customWidth="1"/>
    <col min="14854" max="14854" width="14.109375" style="509" customWidth="1"/>
    <col min="14855" max="14855" width="14.5546875" style="509" customWidth="1"/>
    <col min="14856" max="14856" width="0" style="509" hidden="1" customWidth="1"/>
    <col min="14857" max="14857" width="12.6640625" style="509" customWidth="1"/>
    <col min="14858" max="14858" width="9.6640625" style="509" customWidth="1"/>
    <col min="14859" max="14859" width="3.6640625" style="509" customWidth="1"/>
    <col min="14860" max="14860" width="13.5546875" style="509" customWidth="1"/>
    <col min="14861" max="14861" width="0.33203125" style="509" customWidth="1"/>
    <col min="14862" max="14871" width="0" style="509" hidden="1" customWidth="1"/>
    <col min="14872" max="14872" width="15.88671875" style="509" customWidth="1"/>
    <col min="14873" max="14873" width="21.33203125" style="509" customWidth="1"/>
    <col min="14874" max="14875" width="13.33203125" style="509" customWidth="1"/>
    <col min="14876" max="14876" width="14.5546875" style="509" customWidth="1"/>
    <col min="14877" max="14877" width="15.44140625" style="509" customWidth="1"/>
    <col min="14878" max="14885" width="0" style="509" hidden="1" customWidth="1"/>
    <col min="14886" max="14888" width="1.5546875" style="509" customWidth="1"/>
    <col min="14889" max="14890" width="13.6640625" style="509" bestFit="1" customWidth="1"/>
    <col min="14891" max="14891" width="12" style="509" customWidth="1"/>
    <col min="14892" max="15106" width="8.88671875" style="509"/>
    <col min="15107" max="15107" width="0.5546875" style="509" customWidth="1"/>
    <col min="15108" max="15109" width="0" style="509" hidden="1" customWidth="1"/>
    <col min="15110" max="15110" width="14.109375" style="509" customWidth="1"/>
    <col min="15111" max="15111" width="14.5546875" style="509" customWidth="1"/>
    <col min="15112" max="15112" width="0" style="509" hidden="1" customWidth="1"/>
    <col min="15113" max="15113" width="12.6640625" style="509" customWidth="1"/>
    <col min="15114" max="15114" width="9.6640625" style="509" customWidth="1"/>
    <col min="15115" max="15115" width="3.6640625" style="509" customWidth="1"/>
    <col min="15116" max="15116" width="13.5546875" style="509" customWidth="1"/>
    <col min="15117" max="15117" width="0.33203125" style="509" customWidth="1"/>
    <col min="15118" max="15127" width="0" style="509" hidden="1" customWidth="1"/>
    <col min="15128" max="15128" width="15.88671875" style="509" customWidth="1"/>
    <col min="15129" max="15129" width="21.33203125" style="509" customWidth="1"/>
    <col min="15130" max="15131" width="13.33203125" style="509" customWidth="1"/>
    <col min="15132" max="15132" width="14.5546875" style="509" customWidth="1"/>
    <col min="15133" max="15133" width="15.44140625" style="509" customWidth="1"/>
    <col min="15134" max="15141" width="0" style="509" hidden="1" customWidth="1"/>
    <col min="15142" max="15144" width="1.5546875" style="509" customWidth="1"/>
    <col min="15145" max="15146" width="13.6640625" style="509" bestFit="1" customWidth="1"/>
    <col min="15147" max="15147" width="12" style="509" customWidth="1"/>
    <col min="15148" max="15362" width="8.88671875" style="509"/>
    <col min="15363" max="15363" width="0.5546875" style="509" customWidth="1"/>
    <col min="15364" max="15365" width="0" style="509" hidden="1" customWidth="1"/>
    <col min="15366" max="15366" width="14.109375" style="509" customWidth="1"/>
    <col min="15367" max="15367" width="14.5546875" style="509" customWidth="1"/>
    <col min="15368" max="15368" width="0" style="509" hidden="1" customWidth="1"/>
    <col min="15369" max="15369" width="12.6640625" style="509" customWidth="1"/>
    <col min="15370" max="15370" width="9.6640625" style="509" customWidth="1"/>
    <col min="15371" max="15371" width="3.6640625" style="509" customWidth="1"/>
    <col min="15372" max="15372" width="13.5546875" style="509" customWidth="1"/>
    <col min="15373" max="15373" width="0.33203125" style="509" customWidth="1"/>
    <col min="15374" max="15383" width="0" style="509" hidden="1" customWidth="1"/>
    <col min="15384" max="15384" width="15.88671875" style="509" customWidth="1"/>
    <col min="15385" max="15385" width="21.33203125" style="509" customWidth="1"/>
    <col min="15386" max="15387" width="13.33203125" style="509" customWidth="1"/>
    <col min="15388" max="15388" width="14.5546875" style="509" customWidth="1"/>
    <col min="15389" max="15389" width="15.44140625" style="509" customWidth="1"/>
    <col min="15390" max="15397" width="0" style="509" hidden="1" customWidth="1"/>
    <col min="15398" max="15400" width="1.5546875" style="509" customWidth="1"/>
    <col min="15401" max="15402" width="13.6640625" style="509" bestFit="1" customWidth="1"/>
    <col min="15403" max="15403" width="12" style="509" customWidth="1"/>
    <col min="15404" max="15618" width="8.88671875" style="509"/>
    <col min="15619" max="15619" width="0.5546875" style="509" customWidth="1"/>
    <col min="15620" max="15621" width="0" style="509" hidden="1" customWidth="1"/>
    <col min="15622" max="15622" width="14.109375" style="509" customWidth="1"/>
    <col min="15623" max="15623" width="14.5546875" style="509" customWidth="1"/>
    <col min="15624" max="15624" width="0" style="509" hidden="1" customWidth="1"/>
    <col min="15625" max="15625" width="12.6640625" style="509" customWidth="1"/>
    <col min="15626" max="15626" width="9.6640625" style="509" customWidth="1"/>
    <col min="15627" max="15627" width="3.6640625" style="509" customWidth="1"/>
    <col min="15628" max="15628" width="13.5546875" style="509" customWidth="1"/>
    <col min="15629" max="15629" width="0.33203125" style="509" customWidth="1"/>
    <col min="15630" max="15639" width="0" style="509" hidden="1" customWidth="1"/>
    <col min="15640" max="15640" width="15.88671875" style="509" customWidth="1"/>
    <col min="15641" max="15641" width="21.33203125" style="509" customWidth="1"/>
    <col min="15642" max="15643" width="13.33203125" style="509" customWidth="1"/>
    <col min="15644" max="15644" width="14.5546875" style="509" customWidth="1"/>
    <col min="15645" max="15645" width="15.44140625" style="509" customWidth="1"/>
    <col min="15646" max="15653" width="0" style="509" hidden="1" customWidth="1"/>
    <col min="15654" max="15656" width="1.5546875" style="509" customWidth="1"/>
    <col min="15657" max="15658" width="13.6640625" style="509" bestFit="1" customWidth="1"/>
    <col min="15659" max="15659" width="12" style="509" customWidth="1"/>
    <col min="15660" max="15874" width="8.88671875" style="509"/>
    <col min="15875" max="15875" width="0.5546875" style="509" customWidth="1"/>
    <col min="15876" max="15877" width="0" style="509" hidden="1" customWidth="1"/>
    <col min="15878" max="15878" width="14.109375" style="509" customWidth="1"/>
    <col min="15879" max="15879" width="14.5546875" style="509" customWidth="1"/>
    <col min="15880" max="15880" width="0" style="509" hidden="1" customWidth="1"/>
    <col min="15881" max="15881" width="12.6640625" style="509" customWidth="1"/>
    <col min="15882" max="15882" width="9.6640625" style="509" customWidth="1"/>
    <col min="15883" max="15883" width="3.6640625" style="509" customWidth="1"/>
    <col min="15884" max="15884" width="13.5546875" style="509" customWidth="1"/>
    <col min="15885" max="15885" width="0.33203125" style="509" customWidth="1"/>
    <col min="15886" max="15895" width="0" style="509" hidden="1" customWidth="1"/>
    <col min="15896" max="15896" width="15.88671875" style="509" customWidth="1"/>
    <col min="15897" max="15897" width="21.33203125" style="509" customWidth="1"/>
    <col min="15898" max="15899" width="13.33203125" style="509" customWidth="1"/>
    <col min="15900" max="15900" width="14.5546875" style="509" customWidth="1"/>
    <col min="15901" max="15901" width="15.44140625" style="509" customWidth="1"/>
    <col min="15902" max="15909" width="0" style="509" hidden="1" customWidth="1"/>
    <col min="15910" max="15912" width="1.5546875" style="509" customWidth="1"/>
    <col min="15913" max="15914" width="13.6640625" style="509" bestFit="1" customWidth="1"/>
    <col min="15915" max="15915" width="12" style="509" customWidth="1"/>
    <col min="15916" max="16130" width="8.88671875" style="509"/>
    <col min="16131" max="16131" width="0.5546875" style="509" customWidth="1"/>
    <col min="16132" max="16133" width="0" style="509" hidden="1" customWidth="1"/>
    <col min="16134" max="16134" width="14.109375" style="509" customWidth="1"/>
    <col min="16135" max="16135" width="14.5546875" style="509" customWidth="1"/>
    <col min="16136" max="16136" width="0" style="509" hidden="1" customWidth="1"/>
    <col min="16137" max="16137" width="12.6640625" style="509" customWidth="1"/>
    <col min="16138" max="16138" width="9.6640625" style="509" customWidth="1"/>
    <col min="16139" max="16139" width="3.6640625" style="509" customWidth="1"/>
    <col min="16140" max="16140" width="13.5546875" style="509" customWidth="1"/>
    <col min="16141" max="16141" width="0.33203125" style="509" customWidth="1"/>
    <col min="16142" max="16151" width="0" style="509" hidden="1" customWidth="1"/>
    <col min="16152" max="16152" width="15.88671875" style="509" customWidth="1"/>
    <col min="16153" max="16153" width="21.33203125" style="509" customWidth="1"/>
    <col min="16154" max="16155" width="13.33203125" style="509" customWidth="1"/>
    <col min="16156" max="16156" width="14.5546875" style="509" customWidth="1"/>
    <col min="16157" max="16157" width="15.44140625" style="509" customWidth="1"/>
    <col min="16158" max="16165" width="0" style="509" hidden="1" customWidth="1"/>
    <col min="16166" max="16168" width="1.5546875" style="509" customWidth="1"/>
    <col min="16169" max="16170" width="13.6640625" style="509" bestFit="1" customWidth="1"/>
    <col min="16171" max="16171" width="12" style="509" customWidth="1"/>
    <col min="16172" max="16384" width="8.88671875" style="509"/>
  </cols>
  <sheetData>
    <row r="1" spans="1:45" ht="14.4" customHeight="1" x14ac:dyDescent="0.25">
      <c r="A1" s="522"/>
      <c r="B1" s="522">
        <v>10</v>
      </c>
      <c r="C1" s="522"/>
      <c r="D1" s="522"/>
      <c r="E1" s="522"/>
      <c r="F1" s="522">
        <v>4</v>
      </c>
      <c r="G1" s="522"/>
      <c r="H1" s="522"/>
      <c r="I1" s="522"/>
      <c r="J1" s="523"/>
      <c r="K1" s="522"/>
      <c r="L1" s="522"/>
      <c r="M1" s="522"/>
      <c r="N1" s="522"/>
      <c r="O1" s="522"/>
      <c r="P1" s="522"/>
      <c r="Q1" s="524"/>
      <c r="R1" s="522"/>
      <c r="S1" s="522"/>
      <c r="T1" s="522"/>
      <c r="U1" s="522"/>
      <c r="V1" s="522"/>
      <c r="W1" s="522"/>
      <c r="X1" s="524"/>
      <c r="Y1" s="524"/>
      <c r="Z1" s="524"/>
      <c r="AA1" s="524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</row>
    <row r="2" spans="1:45" ht="14.4" customHeight="1" x14ac:dyDescent="0.25">
      <c r="A2" s="525"/>
      <c r="B2" s="525"/>
      <c r="C2" s="525"/>
      <c r="D2" s="526" t="s">
        <v>150</v>
      </c>
      <c r="E2" s="526"/>
      <c r="F2" s="526"/>
      <c r="G2" s="525"/>
      <c r="H2" s="525"/>
      <c r="I2" s="525"/>
      <c r="J2" s="527" t="s">
        <v>415</v>
      </c>
      <c r="K2" s="522"/>
      <c r="L2" s="522"/>
      <c r="M2" s="522"/>
      <c r="N2" s="522"/>
      <c r="O2" s="522"/>
      <c r="P2" s="522"/>
      <c r="Q2" s="528" t="s">
        <v>150</v>
      </c>
      <c r="R2" s="528"/>
      <c r="S2" s="528"/>
      <c r="T2" s="522"/>
      <c r="U2" s="522"/>
      <c r="V2" s="522"/>
      <c r="W2" s="529" t="s">
        <v>151</v>
      </c>
      <c r="X2" s="529"/>
      <c r="Y2" s="529"/>
      <c r="Z2" s="529"/>
      <c r="AA2" s="529"/>
      <c r="AB2" s="529"/>
      <c r="AC2" s="529"/>
      <c r="AD2" s="522"/>
      <c r="AE2" s="522"/>
      <c r="AF2" s="522"/>
      <c r="AG2" s="522"/>
      <c r="AH2" s="522"/>
      <c r="AI2" s="522"/>
      <c r="AJ2" s="522"/>
      <c r="AK2" s="522"/>
      <c r="AL2" s="522"/>
    </row>
    <row r="3" spans="1:45" ht="14.4" customHeight="1" x14ac:dyDescent="0.4">
      <c r="A3" s="508" t="s">
        <v>152</v>
      </c>
      <c r="B3" s="525"/>
      <c r="C3" s="525"/>
      <c r="D3" s="529" t="s">
        <v>154</v>
      </c>
      <c r="E3" s="530"/>
      <c r="F3" s="530"/>
      <c r="G3" s="529" t="s">
        <v>377</v>
      </c>
      <c r="H3" s="529" t="s">
        <v>410</v>
      </c>
      <c r="I3" s="525"/>
      <c r="J3" s="531"/>
      <c r="K3" s="532"/>
      <c r="L3" s="532"/>
      <c r="M3" s="522"/>
      <c r="N3" s="522"/>
      <c r="O3" s="522"/>
      <c r="P3" s="522"/>
      <c r="Q3" s="524" t="s">
        <v>153</v>
      </c>
      <c r="R3" s="530" t="s">
        <v>155</v>
      </c>
      <c r="S3" s="522"/>
      <c r="T3" s="522"/>
      <c r="U3" s="522"/>
      <c r="V3" s="522"/>
      <c r="W3" s="522"/>
      <c r="X3" s="524"/>
      <c r="Y3" s="524"/>
      <c r="Z3" s="524"/>
      <c r="AA3" s="524"/>
      <c r="AB3" s="522" t="s">
        <v>379</v>
      </c>
      <c r="AC3" s="522" t="s">
        <v>411</v>
      </c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10"/>
      <c r="AP3" s="510"/>
      <c r="AQ3" s="510"/>
      <c r="AR3" s="510"/>
      <c r="AS3" s="510"/>
    </row>
    <row r="4" spans="1:45" ht="14.4" customHeight="1" x14ac:dyDescent="0.4">
      <c r="A4" s="533"/>
      <c r="B4" s="534"/>
      <c r="C4" s="534"/>
      <c r="D4" s="529"/>
      <c r="E4" s="530"/>
      <c r="F4" s="530"/>
      <c r="G4" s="529"/>
      <c r="H4" s="529"/>
      <c r="I4" s="534"/>
      <c r="J4" s="535"/>
      <c r="K4" s="532"/>
      <c r="L4" s="532"/>
      <c r="M4" s="507"/>
      <c r="N4" s="507"/>
      <c r="O4" s="522" t="s">
        <v>156</v>
      </c>
      <c r="P4" s="522"/>
      <c r="Q4" s="524"/>
      <c r="R4" s="522" t="s">
        <v>157</v>
      </c>
      <c r="S4" s="522"/>
      <c r="T4" s="522"/>
      <c r="U4" s="522"/>
      <c r="V4" s="522" t="s">
        <v>158</v>
      </c>
      <c r="W4" s="522" t="s">
        <v>159</v>
      </c>
      <c r="X4" s="524"/>
      <c r="Y4" s="524"/>
      <c r="Z4" s="524"/>
      <c r="AA4" s="524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O4" s="510"/>
      <c r="AP4" s="510"/>
      <c r="AQ4" s="510"/>
      <c r="AR4" s="510"/>
      <c r="AS4" s="510"/>
    </row>
    <row r="5" spans="1:45" ht="14.4" customHeight="1" x14ac:dyDescent="0.4">
      <c r="A5" s="533"/>
      <c r="B5" s="534"/>
      <c r="C5" s="534"/>
      <c r="D5" s="536">
        <v>4174000</v>
      </c>
      <c r="E5" s="522" t="s">
        <v>160</v>
      </c>
      <c r="F5" s="534"/>
      <c r="G5" s="536">
        <v>5170000</v>
      </c>
      <c r="H5" s="536">
        <v>8200000</v>
      </c>
      <c r="I5" s="534"/>
      <c r="J5" s="535" t="s">
        <v>161</v>
      </c>
      <c r="K5" s="532"/>
      <c r="L5" s="507" t="s">
        <v>162</v>
      </c>
      <c r="M5" s="526">
        <v>38851803</v>
      </c>
      <c r="N5" s="526"/>
      <c r="O5" s="526">
        <v>17121403</v>
      </c>
      <c r="P5" s="526"/>
      <c r="Q5" s="524">
        <f>Q9-Q6</f>
        <v>3755000</v>
      </c>
      <c r="R5" s="522" t="s">
        <v>163</v>
      </c>
      <c r="S5" s="524">
        <v>4174000</v>
      </c>
      <c r="T5" s="522"/>
      <c r="U5" s="522"/>
      <c r="V5" s="524">
        <v>8694200</v>
      </c>
      <c r="W5" s="522" t="s">
        <v>164</v>
      </c>
      <c r="X5" s="524"/>
      <c r="Y5" s="524"/>
      <c r="Z5" s="524"/>
      <c r="AA5" s="524"/>
      <c r="AB5" s="524">
        <v>8041000</v>
      </c>
      <c r="AC5" s="524">
        <v>7841000</v>
      </c>
      <c r="AD5" s="522"/>
      <c r="AE5" s="522"/>
      <c r="AF5" s="522"/>
      <c r="AG5" s="522"/>
      <c r="AH5" s="522"/>
      <c r="AI5" s="522"/>
      <c r="AJ5" s="522"/>
      <c r="AK5" s="522"/>
      <c r="AL5" s="522"/>
      <c r="AM5" s="522"/>
      <c r="AN5" s="522"/>
      <c r="AO5" s="510"/>
      <c r="AP5" s="510"/>
      <c r="AQ5" s="510"/>
      <c r="AR5" s="510"/>
      <c r="AS5" s="510"/>
    </row>
    <row r="6" spans="1:45" ht="14.4" customHeight="1" x14ac:dyDescent="0.25">
      <c r="A6" s="533"/>
      <c r="B6" s="537"/>
      <c r="C6" s="537"/>
      <c r="D6" s="536">
        <v>24973300</v>
      </c>
      <c r="E6" s="522" t="s">
        <v>165</v>
      </c>
      <c r="F6" s="537"/>
      <c r="G6" s="536">
        <f>27361840-G8</f>
        <v>27172640</v>
      </c>
      <c r="H6" s="536">
        <v>17895920</v>
      </c>
      <c r="I6" s="537"/>
      <c r="J6" s="531"/>
      <c r="K6" s="507"/>
      <c r="L6" s="507" t="s">
        <v>166</v>
      </c>
      <c r="M6" s="538">
        <v>2905000</v>
      </c>
      <c r="N6" s="538"/>
      <c r="O6" s="526"/>
      <c r="P6" s="526"/>
      <c r="Q6" s="524">
        <v>38851803</v>
      </c>
      <c r="R6" s="522" t="s">
        <v>167</v>
      </c>
      <c r="S6" s="524">
        <f>23193600</f>
        <v>23193600</v>
      </c>
      <c r="T6" s="522"/>
      <c r="U6" s="522"/>
      <c r="V6" s="524"/>
      <c r="W6" s="522" t="s">
        <v>168</v>
      </c>
      <c r="X6" s="524"/>
      <c r="Y6" s="524"/>
      <c r="Z6" s="524"/>
      <c r="AA6" s="524"/>
      <c r="AB6" s="524">
        <v>17943100</v>
      </c>
      <c r="AC6" s="524">
        <v>18676920</v>
      </c>
      <c r="AD6" s="522"/>
      <c r="AE6" s="522"/>
      <c r="AF6" s="522"/>
      <c r="AG6" s="522"/>
      <c r="AH6" s="522"/>
      <c r="AI6" s="522"/>
      <c r="AJ6" s="522"/>
      <c r="AK6" s="522"/>
      <c r="AL6" s="522"/>
      <c r="AM6" s="522"/>
      <c r="AN6" s="522"/>
    </row>
    <row r="7" spans="1:45" ht="14.4" customHeight="1" x14ac:dyDescent="0.25">
      <c r="A7" s="533"/>
      <c r="B7" s="537"/>
      <c r="C7" s="537"/>
      <c r="D7" s="536">
        <v>208700</v>
      </c>
      <c r="E7" s="522" t="s">
        <v>169</v>
      </c>
      <c r="F7" s="537"/>
      <c r="G7" s="536">
        <v>258000</v>
      </c>
      <c r="H7" s="536">
        <v>0</v>
      </c>
      <c r="I7" s="537"/>
      <c r="J7" s="531"/>
      <c r="K7" s="507"/>
      <c r="L7" s="507"/>
      <c r="M7" s="538"/>
      <c r="N7" s="538"/>
      <c r="O7" s="538"/>
      <c r="P7" s="538"/>
      <c r="Q7" s="524"/>
      <c r="R7" s="522"/>
      <c r="S7" s="524"/>
      <c r="T7" s="522"/>
      <c r="U7" s="522"/>
      <c r="V7" s="524"/>
      <c r="W7" s="522"/>
      <c r="X7" s="524"/>
      <c r="Y7" s="524">
        <f>AB6+AB8</f>
        <v>17943100</v>
      </c>
      <c r="Z7" s="524"/>
      <c r="AA7" s="524"/>
      <c r="AB7" s="524"/>
      <c r="AC7" s="524"/>
      <c r="AD7" s="522"/>
      <c r="AE7" s="522"/>
      <c r="AF7" s="522"/>
      <c r="AG7" s="522"/>
      <c r="AH7" s="522"/>
      <c r="AI7" s="522"/>
      <c r="AJ7" s="522"/>
      <c r="AK7" s="522"/>
      <c r="AL7" s="522"/>
      <c r="AM7" s="522"/>
      <c r="AN7" s="522"/>
      <c r="AO7" s="511"/>
    </row>
    <row r="8" spans="1:45" ht="14.4" customHeight="1" x14ac:dyDescent="0.25">
      <c r="A8" s="533"/>
      <c r="B8" s="537"/>
      <c r="C8" s="537"/>
      <c r="D8" s="536">
        <v>156000</v>
      </c>
      <c r="E8" s="522" t="s">
        <v>170</v>
      </c>
      <c r="F8" s="537"/>
      <c r="G8" s="536">
        <v>189200</v>
      </c>
      <c r="H8" s="536">
        <v>210100</v>
      </c>
      <c r="I8" s="537"/>
      <c r="J8" s="531"/>
      <c r="K8" s="507"/>
      <c r="L8" s="507"/>
      <c r="M8" s="538"/>
      <c r="N8" s="538"/>
      <c r="O8" s="538"/>
      <c r="P8" s="538"/>
      <c r="Q8" s="524"/>
      <c r="R8" s="522"/>
      <c r="S8" s="524"/>
      <c r="T8" s="522"/>
      <c r="U8" s="522"/>
      <c r="V8" s="524"/>
      <c r="W8" s="522"/>
      <c r="X8" s="524"/>
      <c r="Y8" s="524"/>
      <c r="Z8" s="524"/>
      <c r="AA8" s="524"/>
      <c r="AB8" s="524"/>
      <c r="AC8" s="524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</row>
    <row r="9" spans="1:45" ht="14.4" customHeight="1" x14ac:dyDescent="0.25">
      <c r="A9" s="525"/>
      <c r="B9" s="525"/>
      <c r="C9" s="525"/>
      <c r="D9" s="536">
        <f>D5+D6+D7+D8</f>
        <v>29512000</v>
      </c>
      <c r="E9" s="522" t="s">
        <v>171</v>
      </c>
      <c r="F9" s="524">
        <f>F5+F6</f>
        <v>0</v>
      </c>
      <c r="G9" s="536">
        <f>G5+G6+G7+G8</f>
        <v>32789840</v>
      </c>
      <c r="H9" s="536">
        <f>H5+H6+H7+H8</f>
        <v>26306020</v>
      </c>
      <c r="I9" s="525"/>
      <c r="J9" s="531"/>
      <c r="K9" s="522"/>
      <c r="L9" s="522" t="s">
        <v>172</v>
      </c>
      <c r="M9" s="526">
        <f>M5+M6</f>
        <v>41756803</v>
      </c>
      <c r="N9" s="526"/>
      <c r="O9" s="526">
        <f>O5+P6</f>
        <v>17121403</v>
      </c>
      <c r="P9" s="526"/>
      <c r="Q9" s="539">
        <v>42606803</v>
      </c>
      <c r="R9" s="522" t="s">
        <v>171</v>
      </c>
      <c r="S9" s="524">
        <f>S5+S6</f>
        <v>27367600</v>
      </c>
      <c r="T9" s="526"/>
      <c r="U9" s="526"/>
      <c r="V9" s="524"/>
      <c r="W9" s="522" t="s">
        <v>173</v>
      </c>
      <c r="X9" s="524"/>
      <c r="Y9" s="524"/>
      <c r="Z9" s="524"/>
      <c r="AA9" s="524"/>
      <c r="AB9" s="536">
        <f>AB5+AB6+AB7+AB8</f>
        <v>25984100</v>
      </c>
      <c r="AC9" s="536">
        <f>AC5+AC6+AC7+AC8</f>
        <v>26517920</v>
      </c>
      <c r="AD9" s="522"/>
      <c r="AE9" s="522"/>
      <c r="AF9" s="522"/>
      <c r="AG9" s="522"/>
      <c r="AH9" s="522"/>
      <c r="AI9" s="522"/>
      <c r="AJ9" s="522"/>
      <c r="AK9" s="522"/>
      <c r="AL9" s="522"/>
      <c r="AM9" s="522"/>
      <c r="AN9" s="522"/>
    </row>
    <row r="10" spans="1:45" ht="14.4" customHeight="1" x14ac:dyDescent="0.25">
      <c r="A10" s="525"/>
      <c r="B10" s="525"/>
      <c r="C10" s="525"/>
      <c r="D10" s="525"/>
      <c r="E10" s="525"/>
      <c r="F10" s="525"/>
      <c r="G10" s="525"/>
      <c r="H10" s="525"/>
      <c r="I10" s="525"/>
      <c r="J10" s="531"/>
      <c r="K10" s="522"/>
      <c r="L10" s="522"/>
      <c r="M10" s="524"/>
      <c r="N10" s="524"/>
      <c r="O10" s="524"/>
      <c r="P10" s="522"/>
      <c r="Q10" s="524"/>
      <c r="R10" s="522"/>
      <c r="S10" s="524"/>
      <c r="T10" s="522"/>
      <c r="U10" s="522"/>
      <c r="V10" s="524"/>
      <c r="W10" s="522"/>
      <c r="X10" s="524"/>
      <c r="Y10" s="524"/>
      <c r="Z10" s="524"/>
      <c r="AA10" s="524"/>
      <c r="AB10" s="522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</row>
    <row r="11" spans="1:45" ht="14.4" customHeight="1" x14ac:dyDescent="0.25">
      <c r="A11" s="525"/>
      <c r="B11" s="525"/>
      <c r="C11" s="525"/>
      <c r="D11" s="525"/>
      <c r="E11" s="525"/>
      <c r="F11" s="525"/>
      <c r="G11" s="525"/>
      <c r="H11" s="525"/>
      <c r="I11" s="525"/>
      <c r="J11" s="531"/>
      <c r="K11" s="522"/>
      <c r="L11" s="522"/>
      <c r="M11" s="524"/>
      <c r="N11" s="524"/>
      <c r="O11" s="524"/>
      <c r="P11" s="522"/>
      <c r="Q11" s="524"/>
      <c r="R11" s="522"/>
      <c r="S11" s="524"/>
      <c r="T11" s="522"/>
      <c r="U11" s="522"/>
      <c r="V11" s="524"/>
      <c r="W11" s="522"/>
      <c r="X11" s="524"/>
      <c r="Y11" s="524"/>
      <c r="Z11" s="524"/>
      <c r="AA11" s="524"/>
      <c r="AB11" s="522"/>
      <c r="AC11" s="522"/>
      <c r="AD11" s="522"/>
      <c r="AE11" s="522"/>
      <c r="AF11" s="522"/>
      <c r="AG11" s="522"/>
      <c r="AH11" s="522"/>
      <c r="AI11" s="522"/>
      <c r="AJ11" s="522"/>
      <c r="AK11" s="522"/>
      <c r="AL11" s="522"/>
      <c r="AM11" s="522"/>
      <c r="AN11" s="522"/>
    </row>
    <row r="12" spans="1:45" ht="14.4" customHeight="1" x14ac:dyDescent="0.25">
      <c r="A12" s="525"/>
      <c r="B12" s="525"/>
      <c r="C12" s="525"/>
      <c r="D12" s="525"/>
      <c r="E12" s="525"/>
      <c r="F12" s="525"/>
      <c r="G12" s="525"/>
      <c r="H12" s="525"/>
      <c r="I12" s="525"/>
      <c r="J12" s="531"/>
      <c r="K12" s="522"/>
      <c r="L12" s="522"/>
      <c r="M12" s="524"/>
      <c r="N12" s="524"/>
      <c r="O12" s="524"/>
      <c r="P12" s="522"/>
      <c r="Q12" s="524"/>
      <c r="R12" s="522"/>
      <c r="S12" s="524"/>
      <c r="T12" s="522"/>
      <c r="U12" s="522"/>
      <c r="V12" s="524"/>
      <c r="W12" s="522"/>
      <c r="X12" s="524"/>
      <c r="Y12" s="524"/>
      <c r="Z12" s="524"/>
      <c r="AA12" s="524"/>
      <c r="AB12" s="522"/>
      <c r="AC12" s="522"/>
      <c r="AD12" s="522"/>
      <c r="AE12" s="522"/>
      <c r="AF12" s="522"/>
      <c r="AG12" s="522"/>
      <c r="AH12" s="522"/>
      <c r="AI12" s="522"/>
      <c r="AJ12" s="522"/>
      <c r="AK12" s="522"/>
      <c r="AL12" s="522"/>
      <c r="AM12" s="522"/>
      <c r="AN12" s="522"/>
    </row>
    <row r="13" spans="1:45" ht="14.4" customHeight="1" x14ac:dyDescent="0.25">
      <c r="A13" s="525"/>
      <c r="B13" s="525"/>
      <c r="C13" s="525"/>
      <c r="D13" s="525"/>
      <c r="E13" s="525"/>
      <c r="F13" s="525"/>
      <c r="G13" s="525"/>
      <c r="H13" s="540">
        <f>H6+H8</f>
        <v>18106020</v>
      </c>
      <c r="I13" s="525"/>
      <c r="J13" s="531"/>
      <c r="K13" s="522"/>
      <c r="L13" s="522"/>
      <c r="M13" s="524"/>
      <c r="N13" s="524"/>
      <c r="O13" s="524"/>
      <c r="P13" s="522"/>
      <c r="Q13" s="524"/>
      <c r="R13" s="522"/>
      <c r="S13" s="524"/>
      <c r="T13" s="522"/>
      <c r="U13" s="522"/>
      <c r="V13" s="524"/>
      <c r="W13" s="522"/>
      <c r="X13" s="524"/>
      <c r="Y13" s="524"/>
      <c r="Z13" s="524"/>
      <c r="AA13" s="524"/>
      <c r="AB13" s="522">
        <v>25984100</v>
      </c>
      <c r="AC13" s="522">
        <v>26517920</v>
      </c>
      <c r="AD13" s="522"/>
      <c r="AE13" s="522"/>
      <c r="AF13" s="522"/>
      <c r="AG13" s="522"/>
      <c r="AH13" s="522"/>
      <c r="AI13" s="522"/>
      <c r="AJ13" s="522"/>
      <c r="AK13" s="522"/>
      <c r="AL13" s="522"/>
      <c r="AM13" s="522"/>
      <c r="AN13" s="522"/>
    </row>
    <row r="14" spans="1:45" ht="14.4" customHeight="1" x14ac:dyDescent="0.25">
      <c r="A14" s="525"/>
      <c r="B14" s="525"/>
      <c r="C14" s="525"/>
      <c r="D14" s="525"/>
      <c r="E14" s="525"/>
      <c r="F14" s="525"/>
      <c r="G14" s="525"/>
      <c r="H14" s="525">
        <v>26306020</v>
      </c>
      <c r="I14" s="525"/>
      <c r="J14" s="531" t="s">
        <v>174</v>
      </c>
      <c r="K14" s="522"/>
      <c r="L14" s="522"/>
      <c r="M14" s="522"/>
      <c r="N14" s="522"/>
      <c r="O14" s="522"/>
      <c r="P14" s="522"/>
      <c r="Q14" s="524"/>
      <c r="R14" s="522"/>
      <c r="S14" s="522"/>
      <c r="T14" s="522"/>
      <c r="U14" s="522"/>
      <c r="V14" s="524">
        <f>V24+V32+V41+V44+X41+V28+V60</f>
        <v>6856618.4300000006</v>
      </c>
      <c r="W14" s="524">
        <f>Z32+X32+Z60</f>
        <v>2001675.9219999998</v>
      </c>
      <c r="X14" s="524"/>
      <c r="Y14" s="524"/>
      <c r="Z14" s="524"/>
      <c r="AA14" s="524"/>
      <c r="AB14" s="522"/>
      <c r="AC14" s="522"/>
      <c r="AD14" s="522"/>
      <c r="AE14" s="522"/>
      <c r="AF14" s="522"/>
      <c r="AG14" s="522"/>
      <c r="AH14" s="522"/>
      <c r="AI14" s="522"/>
      <c r="AJ14" s="522"/>
      <c r="AK14" s="522"/>
      <c r="AL14" s="522"/>
      <c r="AM14" s="522"/>
      <c r="AN14" s="522"/>
    </row>
    <row r="15" spans="1:45" ht="14.4" customHeight="1" x14ac:dyDescent="0.25">
      <c r="A15" s="525"/>
      <c r="B15" s="525"/>
      <c r="C15" s="525"/>
      <c r="D15" s="525"/>
      <c r="E15" s="525"/>
      <c r="F15" s="525"/>
      <c r="G15" s="525"/>
      <c r="H15" s="525"/>
      <c r="I15" s="525"/>
      <c r="J15" s="531" t="s">
        <v>175</v>
      </c>
      <c r="K15" s="522"/>
      <c r="L15" s="522"/>
      <c r="M15" s="522"/>
      <c r="N15" s="522"/>
      <c r="O15" s="522"/>
      <c r="P15" s="522"/>
      <c r="Q15" s="524"/>
      <c r="R15" s="522"/>
      <c r="S15" s="522"/>
      <c r="T15" s="522"/>
      <c r="U15" s="522"/>
      <c r="V15" s="524">
        <f>V5-V14</f>
        <v>1837581.5699999994</v>
      </c>
      <c r="W15" s="524">
        <f>V5-V14-W14</f>
        <v>-164094.35200000042</v>
      </c>
      <c r="X15" s="524"/>
      <c r="Y15" s="524"/>
      <c r="Z15" s="524"/>
      <c r="AA15" s="524"/>
      <c r="AB15" s="522"/>
      <c r="AC15" s="522" t="s">
        <v>176</v>
      </c>
      <c r="AD15" s="522"/>
      <c r="AE15" s="522"/>
      <c r="AF15" s="522"/>
      <c r="AG15" s="522"/>
      <c r="AH15" s="522"/>
      <c r="AI15" s="522"/>
      <c r="AJ15" s="522"/>
      <c r="AK15" s="522"/>
      <c r="AL15" s="522"/>
      <c r="AM15" s="522"/>
      <c r="AN15" s="522"/>
    </row>
    <row r="16" spans="1:45" ht="14.4" customHeight="1" x14ac:dyDescent="0.25">
      <c r="A16" s="522"/>
      <c r="B16" s="541"/>
      <c r="C16" s="541"/>
      <c r="D16" s="542" t="s">
        <v>177</v>
      </c>
      <c r="E16" s="543" t="s">
        <v>178</v>
      </c>
      <c r="F16" s="543"/>
      <c r="G16" s="543"/>
      <c r="H16" s="543"/>
      <c r="I16" s="543"/>
      <c r="J16" s="544"/>
      <c r="K16" s="542" t="s">
        <v>179</v>
      </c>
      <c r="L16" s="545" t="s">
        <v>180</v>
      </c>
      <c r="M16" s="545" t="s">
        <v>181</v>
      </c>
      <c r="N16" s="545" t="s">
        <v>182</v>
      </c>
      <c r="O16" s="545" t="s">
        <v>183</v>
      </c>
      <c r="P16" s="546">
        <v>2013</v>
      </c>
      <c r="Q16" s="547"/>
      <c r="R16" s="542" t="s">
        <v>184</v>
      </c>
      <c r="S16" s="542" t="s">
        <v>185</v>
      </c>
      <c r="T16" s="542" t="s">
        <v>186</v>
      </c>
      <c r="U16" s="542" t="s">
        <v>187</v>
      </c>
      <c r="V16" s="548">
        <v>2018</v>
      </c>
      <c r="W16" s="548" t="s">
        <v>188</v>
      </c>
      <c r="X16" s="549" t="s">
        <v>618</v>
      </c>
      <c r="Y16" s="549"/>
      <c r="Z16" s="549"/>
      <c r="AA16" s="549"/>
      <c r="AB16" s="550">
        <v>2019</v>
      </c>
      <c r="AC16" s="550">
        <v>2020</v>
      </c>
      <c r="AD16" s="551" t="s">
        <v>189</v>
      </c>
      <c r="AE16" s="551" t="s">
        <v>190</v>
      </c>
      <c r="AF16" s="551" t="s">
        <v>191</v>
      </c>
      <c r="AG16" s="551" t="s">
        <v>191</v>
      </c>
      <c r="AH16" s="551" t="s">
        <v>192</v>
      </c>
      <c r="AI16" s="551" t="s">
        <v>193</v>
      </c>
      <c r="AJ16" s="551"/>
      <c r="AK16" s="551" t="s">
        <v>194</v>
      </c>
      <c r="AL16" s="552" t="s">
        <v>195</v>
      </c>
      <c r="AM16" s="522"/>
      <c r="AN16" s="522"/>
    </row>
    <row r="17" spans="1:41" ht="14.4" customHeight="1" x14ac:dyDescent="0.25">
      <c r="A17" s="522"/>
      <c r="B17" s="541"/>
      <c r="C17" s="541"/>
      <c r="D17" s="541" t="s">
        <v>195</v>
      </c>
      <c r="E17" s="542" t="s">
        <v>196</v>
      </c>
      <c r="F17" s="542" t="s">
        <v>197</v>
      </c>
      <c r="G17" s="542" t="s">
        <v>198</v>
      </c>
      <c r="H17" s="542" t="s">
        <v>199</v>
      </c>
      <c r="I17" s="542" t="s">
        <v>200</v>
      </c>
      <c r="J17" s="553" t="s">
        <v>201</v>
      </c>
      <c r="K17" s="542" t="s">
        <v>202</v>
      </c>
      <c r="L17" s="541">
        <v>2013</v>
      </c>
      <c r="M17" s="541">
        <v>2013</v>
      </c>
      <c r="N17" s="541">
        <v>2013</v>
      </c>
      <c r="O17" s="541">
        <v>2013</v>
      </c>
      <c r="P17" s="546"/>
      <c r="Q17" s="554"/>
      <c r="R17" s="542"/>
      <c r="S17" s="542"/>
      <c r="T17" s="542"/>
      <c r="U17" s="542"/>
      <c r="V17" s="548"/>
      <c r="W17" s="548"/>
      <c r="X17" s="549" t="s">
        <v>416</v>
      </c>
      <c r="Y17" s="549" t="s">
        <v>188</v>
      </c>
      <c r="Z17" s="549" t="s">
        <v>619</v>
      </c>
      <c r="AA17" s="549"/>
      <c r="AB17" s="550"/>
      <c r="AC17" s="550"/>
      <c r="AD17" s="542" t="s">
        <v>203</v>
      </c>
      <c r="AE17" s="542" t="s">
        <v>203</v>
      </c>
      <c r="AF17" s="542" t="s">
        <v>204</v>
      </c>
      <c r="AG17" s="542" t="s">
        <v>203</v>
      </c>
      <c r="AH17" s="542" t="s">
        <v>203</v>
      </c>
      <c r="AI17" s="542" t="s">
        <v>205</v>
      </c>
      <c r="AJ17" s="542"/>
      <c r="AK17" s="542" t="s">
        <v>206</v>
      </c>
      <c r="AL17" s="552" t="s">
        <v>195</v>
      </c>
      <c r="AM17" s="522"/>
      <c r="AN17" s="522"/>
    </row>
    <row r="18" spans="1:41" ht="14.4" customHeight="1" x14ac:dyDescent="0.25">
      <c r="A18" s="522"/>
      <c r="B18" s="507"/>
      <c r="C18" s="507"/>
      <c r="D18" s="512">
        <v>1</v>
      </c>
      <c r="E18" s="534">
        <v>2</v>
      </c>
      <c r="F18" s="534">
        <v>3</v>
      </c>
      <c r="G18" s="534">
        <v>4</v>
      </c>
      <c r="H18" s="534">
        <v>5</v>
      </c>
      <c r="I18" s="534">
        <v>6</v>
      </c>
      <c r="J18" s="535" t="s">
        <v>195</v>
      </c>
      <c r="K18" s="512">
        <v>7</v>
      </c>
      <c r="L18" s="507"/>
      <c r="M18" s="507"/>
      <c r="N18" s="507"/>
      <c r="O18" s="507"/>
      <c r="P18" s="507"/>
      <c r="Q18" s="538"/>
      <c r="R18" s="512">
        <v>7</v>
      </c>
      <c r="S18" s="555">
        <v>8</v>
      </c>
      <c r="T18" s="534">
        <v>9</v>
      </c>
      <c r="U18" s="556">
        <f>R137+S137+T137+U137</f>
        <v>797983.39</v>
      </c>
      <c r="V18" s="534">
        <v>11</v>
      </c>
      <c r="W18" s="534">
        <v>12</v>
      </c>
      <c r="X18" s="557"/>
      <c r="Y18" s="557"/>
      <c r="Z18" s="557"/>
      <c r="AA18" s="557"/>
      <c r="AB18" s="534">
        <v>13</v>
      </c>
      <c r="AC18" s="534">
        <v>14</v>
      </c>
      <c r="AD18" s="508"/>
      <c r="AE18" s="508"/>
      <c r="AF18" s="508"/>
      <c r="AG18" s="508"/>
      <c r="AH18" s="508"/>
      <c r="AI18" s="508"/>
      <c r="AJ18" s="508"/>
      <c r="AK18" s="512">
        <v>14</v>
      </c>
      <c r="AL18" s="552" t="s">
        <v>195</v>
      </c>
      <c r="AM18" s="522"/>
      <c r="AN18" s="522"/>
    </row>
    <row r="19" spans="1:41" ht="14.4" customHeight="1" x14ac:dyDescent="0.25">
      <c r="A19" s="522"/>
      <c r="B19" s="507"/>
      <c r="C19" s="507"/>
      <c r="D19" s="514" t="s">
        <v>409</v>
      </c>
      <c r="E19" s="534"/>
      <c r="F19" s="534"/>
      <c r="G19" s="534"/>
      <c r="H19" s="534"/>
      <c r="I19" s="534"/>
      <c r="J19" s="535"/>
      <c r="K19" s="512"/>
      <c r="L19" s="507"/>
      <c r="M19" s="507"/>
      <c r="N19" s="507"/>
      <c r="O19" s="507"/>
      <c r="P19" s="507"/>
      <c r="Q19" s="538"/>
      <c r="R19" s="512"/>
      <c r="S19" s="555"/>
      <c r="T19" s="534"/>
      <c r="U19" s="556"/>
      <c r="V19" s="534"/>
      <c r="W19" s="534"/>
      <c r="X19" s="557"/>
      <c r="Y19" s="557"/>
      <c r="Z19" s="557"/>
      <c r="AA19" s="557"/>
      <c r="AB19" s="534"/>
      <c r="AC19" s="534"/>
      <c r="AD19" s="508"/>
      <c r="AE19" s="508"/>
      <c r="AF19" s="508"/>
      <c r="AG19" s="508"/>
      <c r="AH19" s="508"/>
      <c r="AI19" s="508"/>
      <c r="AJ19" s="508"/>
      <c r="AK19" s="512"/>
      <c r="AL19" s="552"/>
      <c r="AM19" s="522"/>
      <c r="AN19" s="522"/>
    </row>
    <row r="20" spans="1:41" ht="14.4" customHeight="1" x14ac:dyDescent="0.25">
      <c r="A20" s="522"/>
      <c r="B20" s="507"/>
      <c r="C20" s="507"/>
      <c r="D20" s="558" t="s">
        <v>208</v>
      </c>
      <c r="E20" s="558"/>
      <c r="F20" s="558"/>
      <c r="G20" s="558"/>
      <c r="H20" s="558"/>
      <c r="I20" s="558"/>
      <c r="J20" s="558"/>
      <c r="K20" s="512"/>
      <c r="L20" s="507"/>
      <c r="M20" s="507"/>
      <c r="N20" s="507"/>
      <c r="O20" s="507"/>
      <c r="P20" s="507"/>
      <c r="Q20" s="538"/>
      <c r="R20" s="512"/>
      <c r="S20" s="555"/>
      <c r="T20" s="534"/>
      <c r="U20" s="556"/>
      <c r="V20" s="534"/>
      <c r="W20" s="534"/>
      <c r="X20" s="557"/>
      <c r="Y20" s="557"/>
      <c r="Z20" s="557"/>
      <c r="AA20" s="557"/>
      <c r="AB20" s="534"/>
      <c r="AC20" s="534"/>
      <c r="AD20" s="508"/>
      <c r="AE20" s="508"/>
      <c r="AF20" s="508"/>
      <c r="AG20" s="508"/>
      <c r="AH20" s="508"/>
      <c r="AI20" s="508"/>
      <c r="AJ20" s="508"/>
      <c r="AK20" s="512"/>
      <c r="AL20" s="552"/>
      <c r="AM20" s="522"/>
      <c r="AN20" s="522"/>
      <c r="AO20" s="513"/>
    </row>
    <row r="21" spans="1:41" ht="14.4" customHeight="1" x14ac:dyDescent="0.25">
      <c r="A21" s="522"/>
      <c r="B21" s="559" t="s">
        <v>209</v>
      </c>
      <c r="C21" s="559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59"/>
      <c r="O21" s="559"/>
      <c r="P21" s="559"/>
      <c r="Q21" s="559"/>
      <c r="R21" s="559"/>
      <c r="S21" s="559"/>
      <c r="T21" s="559"/>
      <c r="U21" s="559"/>
      <c r="V21" s="559"/>
      <c r="W21" s="559"/>
      <c r="X21" s="559"/>
      <c r="Y21" s="559"/>
      <c r="Z21" s="559"/>
      <c r="AA21" s="559"/>
      <c r="AB21" s="559"/>
      <c r="AC21" s="559"/>
      <c r="AD21" s="559"/>
      <c r="AE21" s="559"/>
      <c r="AF21" s="559"/>
      <c r="AG21" s="559"/>
      <c r="AH21" s="559"/>
      <c r="AI21" s="559"/>
      <c r="AJ21" s="559"/>
      <c r="AK21" s="559"/>
      <c r="AL21" s="552" t="s">
        <v>195</v>
      </c>
      <c r="AM21" s="522"/>
      <c r="AN21" s="522"/>
    </row>
    <row r="22" spans="1:41" ht="14.4" customHeight="1" x14ac:dyDescent="0.25">
      <c r="A22" s="522"/>
      <c r="B22" s="560" t="s">
        <v>210</v>
      </c>
      <c r="C22" s="561" t="s">
        <v>210</v>
      </c>
      <c r="D22" s="560">
        <v>656500011</v>
      </c>
      <c r="E22" s="562">
        <v>102</v>
      </c>
      <c r="F22" s="563">
        <v>656</v>
      </c>
      <c r="G22" s="564">
        <v>5000002030</v>
      </c>
      <c r="H22" s="565" t="s">
        <v>211</v>
      </c>
      <c r="I22" s="565">
        <v>211</v>
      </c>
      <c r="J22" s="531">
        <v>0</v>
      </c>
      <c r="K22" s="566"/>
      <c r="L22" s="567">
        <v>470000</v>
      </c>
      <c r="M22" s="567">
        <v>150000</v>
      </c>
      <c r="N22" s="567">
        <v>267525.2</v>
      </c>
      <c r="O22" s="567">
        <v>75916.800000000003</v>
      </c>
      <c r="P22" s="567">
        <v>963442</v>
      </c>
      <c r="Q22" s="568">
        <f>R22+S22+T22+U22</f>
        <v>963442</v>
      </c>
      <c r="R22" s="567">
        <f>470000+60000</f>
        <v>530000</v>
      </c>
      <c r="S22" s="567">
        <v>150000</v>
      </c>
      <c r="T22" s="567">
        <f>267525.2-60000</f>
        <v>207525.2</v>
      </c>
      <c r="U22" s="567">
        <v>75916.800000000003</v>
      </c>
      <c r="V22" s="567">
        <v>1300358.08</v>
      </c>
      <c r="W22" s="567" t="s">
        <v>637</v>
      </c>
      <c r="X22" s="568"/>
      <c r="Y22" s="568"/>
      <c r="Z22" s="568"/>
      <c r="AA22" s="568"/>
      <c r="AB22" s="567">
        <f>963442+38538</f>
        <v>1001980</v>
      </c>
      <c r="AC22" s="567">
        <f>963442+38538</f>
        <v>1001980</v>
      </c>
      <c r="AD22" s="566"/>
      <c r="AE22" s="566"/>
      <c r="AF22" s="566"/>
      <c r="AG22" s="566">
        <v>928511.2</v>
      </c>
      <c r="AH22" s="566">
        <v>0</v>
      </c>
      <c r="AI22" s="566"/>
      <c r="AJ22" s="569"/>
      <c r="AK22" s="570">
        <v>0.96374374378530303</v>
      </c>
      <c r="AL22" s="552" t="s">
        <v>701</v>
      </c>
      <c r="AM22" s="522"/>
      <c r="AN22" s="522"/>
      <c r="AO22" s="513">
        <f>V24+X24+V28+X28+V32+X32+V41+X41+V63+V150+X150+V160+X160+V165+X165+V414+X414+X63</f>
        <v>7016867.2500000009</v>
      </c>
    </row>
    <row r="23" spans="1:41" ht="14.4" customHeight="1" x14ac:dyDescent="0.25">
      <c r="A23" s="522"/>
      <c r="B23" s="560" t="s">
        <v>210</v>
      </c>
      <c r="C23" s="561" t="s">
        <v>210</v>
      </c>
      <c r="D23" s="560">
        <v>656500011</v>
      </c>
      <c r="E23" s="562"/>
      <c r="F23" s="563">
        <v>656</v>
      </c>
      <c r="G23" s="564">
        <v>5000002030</v>
      </c>
      <c r="H23" s="565">
        <v>129</v>
      </c>
      <c r="I23" s="565">
        <v>213</v>
      </c>
      <c r="J23" s="531">
        <v>0</v>
      </c>
      <c r="K23" s="566"/>
      <c r="L23" s="567">
        <v>136000</v>
      </c>
      <c r="M23" s="567">
        <v>52000</v>
      </c>
      <c r="N23" s="567">
        <v>55000</v>
      </c>
      <c r="O23" s="567">
        <v>47959</v>
      </c>
      <c r="P23" s="567">
        <v>290959</v>
      </c>
      <c r="Q23" s="568">
        <f>R23+S23+T23+U23</f>
        <v>392708.06</v>
      </c>
      <c r="R23" s="567">
        <f>R22*30.2%</f>
        <v>160060</v>
      </c>
      <c r="S23" s="567">
        <f>S22*30.2%</f>
        <v>45300</v>
      </c>
      <c r="T23" s="567">
        <f>T22*30.2%</f>
        <v>62672.610400000005</v>
      </c>
      <c r="U23" s="567">
        <f>V23-R23-S23-T23</f>
        <v>124675.44959999999</v>
      </c>
      <c r="V23" s="567">
        <v>392708.06</v>
      </c>
      <c r="W23" s="567"/>
      <c r="X23" s="568"/>
      <c r="Y23" s="568"/>
      <c r="Z23" s="568"/>
      <c r="AA23" s="568"/>
      <c r="AB23" s="567">
        <f>290959+11639</f>
        <v>302598</v>
      </c>
      <c r="AC23" s="567">
        <f>290959+11639</f>
        <v>302598</v>
      </c>
      <c r="AD23" s="566"/>
      <c r="AE23" s="566"/>
      <c r="AF23" s="566"/>
      <c r="AG23" s="566">
        <v>188854.59</v>
      </c>
      <c r="AH23" s="566">
        <v>0</v>
      </c>
      <c r="AI23" s="566"/>
      <c r="AJ23" s="569"/>
      <c r="AK23" s="570">
        <v>0.64907629597297212</v>
      </c>
      <c r="AL23" s="552" t="s">
        <v>195</v>
      </c>
      <c r="AM23" s="522"/>
      <c r="AN23" s="522"/>
      <c r="AO23" s="513"/>
    </row>
    <row r="24" spans="1:41" ht="14.4" customHeight="1" x14ac:dyDescent="0.25">
      <c r="A24" s="522"/>
      <c r="B24" s="559" t="s">
        <v>212</v>
      </c>
      <c r="C24" s="559"/>
      <c r="D24" s="559"/>
      <c r="E24" s="559"/>
      <c r="F24" s="559"/>
      <c r="G24" s="559"/>
      <c r="H24" s="559"/>
      <c r="I24" s="559"/>
      <c r="J24" s="559"/>
      <c r="K24" s="559"/>
      <c r="L24" s="556">
        <v>606000</v>
      </c>
      <c r="M24" s="556">
        <v>202000</v>
      </c>
      <c r="N24" s="556">
        <v>322525.2</v>
      </c>
      <c r="O24" s="556">
        <v>123875.8</v>
      </c>
      <c r="P24" s="556">
        <v>1254401</v>
      </c>
      <c r="Q24" s="571">
        <f>R24+S24+T24+U24</f>
        <v>1254401</v>
      </c>
      <c r="R24" s="556">
        <v>606000</v>
      </c>
      <c r="S24" s="556">
        <v>202000</v>
      </c>
      <c r="T24" s="556">
        <v>322525.2</v>
      </c>
      <c r="U24" s="556">
        <v>123875.8</v>
      </c>
      <c r="V24" s="556">
        <f>V22+V23</f>
        <v>1693066.1400000001</v>
      </c>
      <c r="W24" s="556"/>
      <c r="X24" s="572">
        <f>X22+X23</f>
        <v>0</v>
      </c>
      <c r="Y24" s="572"/>
      <c r="Z24" s="572"/>
      <c r="AA24" s="572"/>
      <c r="AB24" s="556">
        <f>AB22+AB23</f>
        <v>1304578</v>
      </c>
      <c r="AC24" s="556">
        <f>AC22+AC23</f>
        <v>1304578</v>
      </c>
      <c r="AD24" s="573"/>
      <c r="AE24" s="573"/>
      <c r="AF24" s="573"/>
      <c r="AG24" s="566">
        <v>1117365.79</v>
      </c>
      <c r="AH24" s="566">
        <v>0</v>
      </c>
      <c r="AI24" s="573"/>
      <c r="AJ24" s="573"/>
      <c r="AK24" s="570">
        <v>0.89075645666736558</v>
      </c>
      <c r="AL24" s="552" t="s">
        <v>195</v>
      </c>
      <c r="AM24" s="522"/>
      <c r="AN24" s="522"/>
    </row>
    <row r="25" spans="1:41" ht="14.4" customHeight="1" x14ac:dyDescent="0.25">
      <c r="A25" s="522"/>
      <c r="B25" s="559" t="s">
        <v>412</v>
      </c>
      <c r="C25" s="559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  <c r="O25" s="559"/>
      <c r="P25" s="559"/>
      <c r="Q25" s="559"/>
      <c r="R25" s="559"/>
      <c r="S25" s="559"/>
      <c r="T25" s="559"/>
      <c r="U25" s="559"/>
      <c r="V25" s="559"/>
      <c r="W25" s="559"/>
      <c r="X25" s="559"/>
      <c r="Y25" s="559"/>
      <c r="Z25" s="559"/>
      <c r="AA25" s="559"/>
      <c r="AB25" s="559"/>
      <c r="AC25" s="559"/>
      <c r="AD25" s="559"/>
      <c r="AE25" s="559"/>
      <c r="AF25" s="559"/>
      <c r="AG25" s="559"/>
      <c r="AH25" s="559"/>
      <c r="AI25" s="559"/>
      <c r="AJ25" s="559"/>
      <c r="AK25" s="559"/>
      <c r="AL25" s="552" t="s">
        <v>195</v>
      </c>
      <c r="AM25" s="522"/>
      <c r="AN25" s="522"/>
    </row>
    <row r="26" spans="1:41" ht="14.4" customHeight="1" x14ac:dyDescent="0.25">
      <c r="A26" s="522"/>
      <c r="B26" s="560" t="s">
        <v>210</v>
      </c>
      <c r="C26" s="561" t="s">
        <v>210</v>
      </c>
      <c r="D26" s="560">
        <v>656500021</v>
      </c>
      <c r="E26" s="562">
        <v>107</v>
      </c>
      <c r="F26" s="563">
        <v>656</v>
      </c>
      <c r="G26" s="564">
        <v>5000002030</v>
      </c>
      <c r="H26" s="565"/>
      <c r="I26" s="565">
        <v>226</v>
      </c>
      <c r="J26" s="531">
        <v>0</v>
      </c>
      <c r="K26" s="566"/>
      <c r="L26" s="567">
        <v>470000</v>
      </c>
      <c r="M26" s="567">
        <v>150000</v>
      </c>
      <c r="N26" s="567">
        <v>267525.2</v>
      </c>
      <c r="O26" s="567">
        <v>75916.800000000003</v>
      </c>
      <c r="P26" s="567">
        <v>963442</v>
      </c>
      <c r="Q26" s="568">
        <f>R26+S26+T26+U26</f>
        <v>963442</v>
      </c>
      <c r="R26" s="567">
        <f>470000+60000</f>
        <v>530000</v>
      </c>
      <c r="S26" s="567">
        <v>150000</v>
      </c>
      <c r="T26" s="567">
        <f>267525.2-60000</f>
        <v>207525.2</v>
      </c>
      <c r="U26" s="567">
        <v>75916.800000000003</v>
      </c>
      <c r="V26" s="567">
        <v>770019</v>
      </c>
      <c r="W26" s="567" t="s">
        <v>605</v>
      </c>
      <c r="X26" s="568"/>
      <c r="Y26" s="568"/>
      <c r="Z26" s="568">
        <v>13617</v>
      </c>
      <c r="AA26" s="568"/>
      <c r="AB26" s="567"/>
      <c r="AC26" s="567"/>
      <c r="AD26" s="566"/>
      <c r="AE26" s="566"/>
      <c r="AF26" s="566"/>
      <c r="AG26" s="566">
        <v>928511.2</v>
      </c>
      <c r="AH26" s="566">
        <v>0</v>
      </c>
      <c r="AI26" s="566"/>
      <c r="AJ26" s="569"/>
      <c r="AK26" s="570">
        <v>0.96374374378530303</v>
      </c>
      <c r="AL26" s="552" t="s">
        <v>195</v>
      </c>
      <c r="AM26" s="522"/>
      <c r="AN26" s="522"/>
      <c r="AO26" s="513"/>
    </row>
    <row r="27" spans="1:41" ht="14.4" customHeight="1" x14ac:dyDescent="0.25">
      <c r="A27" s="522"/>
      <c r="B27" s="560" t="s">
        <v>210</v>
      </c>
      <c r="C27" s="561" t="s">
        <v>210</v>
      </c>
      <c r="D27" s="560">
        <v>656500021</v>
      </c>
      <c r="E27" s="562"/>
      <c r="F27" s="563">
        <v>656</v>
      </c>
      <c r="G27" s="564">
        <v>5000002030</v>
      </c>
      <c r="H27" s="565"/>
      <c r="I27" s="565"/>
      <c r="J27" s="531">
        <v>0</v>
      </c>
      <c r="K27" s="566"/>
      <c r="L27" s="567">
        <v>136000</v>
      </c>
      <c r="M27" s="567">
        <v>52000</v>
      </c>
      <c r="N27" s="567">
        <v>55000</v>
      </c>
      <c r="O27" s="567">
        <v>47959</v>
      </c>
      <c r="P27" s="567">
        <v>290959</v>
      </c>
      <c r="Q27" s="568">
        <f>R27+S27+T27+U27</f>
        <v>0</v>
      </c>
      <c r="R27" s="567">
        <f>R26*30.2%</f>
        <v>160060</v>
      </c>
      <c r="S27" s="567">
        <f>S26*30.2%</f>
        <v>45300</v>
      </c>
      <c r="T27" s="567">
        <f>T26*30.2%</f>
        <v>62672.610400000005</v>
      </c>
      <c r="U27" s="567">
        <f>V27-R27-S27-T27</f>
        <v>-268032.61040000001</v>
      </c>
      <c r="V27" s="567"/>
      <c r="W27" s="567"/>
      <c r="X27" s="568"/>
      <c r="Y27" s="568"/>
      <c r="Z27" s="568"/>
      <c r="AA27" s="568"/>
      <c r="AB27" s="567"/>
      <c r="AC27" s="567"/>
      <c r="AD27" s="566"/>
      <c r="AE27" s="566"/>
      <c r="AF27" s="566"/>
      <c r="AG27" s="566">
        <v>188854.59</v>
      </c>
      <c r="AH27" s="566">
        <v>0</v>
      </c>
      <c r="AI27" s="566"/>
      <c r="AJ27" s="569"/>
      <c r="AK27" s="570">
        <v>0.64907629597297212</v>
      </c>
      <c r="AL27" s="552" t="s">
        <v>195</v>
      </c>
      <c r="AM27" s="522"/>
      <c r="AN27" s="522"/>
      <c r="AO27" s="513"/>
    </row>
    <row r="28" spans="1:41" ht="14.4" customHeight="1" x14ac:dyDescent="0.25">
      <c r="A28" s="522"/>
      <c r="B28" s="559" t="s">
        <v>212</v>
      </c>
      <c r="C28" s="559"/>
      <c r="D28" s="559"/>
      <c r="E28" s="559"/>
      <c r="F28" s="559"/>
      <c r="G28" s="559"/>
      <c r="H28" s="559"/>
      <c r="I28" s="559"/>
      <c r="J28" s="559"/>
      <c r="K28" s="559"/>
      <c r="L28" s="556">
        <v>606000</v>
      </c>
      <c r="M28" s="556">
        <v>202000</v>
      </c>
      <c r="N28" s="556">
        <v>322525.2</v>
      </c>
      <c r="O28" s="556">
        <v>123875.8</v>
      </c>
      <c r="P28" s="556">
        <v>1254401</v>
      </c>
      <c r="Q28" s="571">
        <f>R28+S28+T28+U28</f>
        <v>1254401</v>
      </c>
      <c r="R28" s="556">
        <v>606000</v>
      </c>
      <c r="S28" s="556">
        <v>202000</v>
      </c>
      <c r="T28" s="556">
        <v>322525.2</v>
      </c>
      <c r="U28" s="556">
        <v>123875.8</v>
      </c>
      <c r="V28" s="556">
        <f>V26+V27</f>
        <v>770019</v>
      </c>
      <c r="W28" s="556"/>
      <c r="X28" s="556">
        <f>X26+X27</f>
        <v>0</v>
      </c>
      <c r="Y28" s="572"/>
      <c r="Z28" s="572"/>
      <c r="AA28" s="572"/>
      <c r="AB28" s="556">
        <f>AB26+AB27</f>
        <v>0</v>
      </c>
      <c r="AC28" s="556">
        <f>AC26+AC27</f>
        <v>0</v>
      </c>
      <c r="AD28" s="573"/>
      <c r="AE28" s="573"/>
      <c r="AF28" s="573"/>
      <c r="AG28" s="566">
        <v>1117365.79</v>
      </c>
      <c r="AH28" s="566">
        <v>0</v>
      </c>
      <c r="AI28" s="573"/>
      <c r="AJ28" s="573"/>
      <c r="AK28" s="570">
        <v>0.89075645666736558</v>
      </c>
      <c r="AL28" s="552" t="s">
        <v>195</v>
      </c>
      <c r="AM28" s="522"/>
      <c r="AN28" s="522"/>
    </row>
    <row r="29" spans="1:41" ht="14.4" customHeight="1" x14ac:dyDescent="0.25">
      <c r="A29" s="522"/>
      <c r="B29" s="559" t="s">
        <v>213</v>
      </c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  <c r="AB29" s="559"/>
      <c r="AC29" s="559"/>
      <c r="AD29" s="559"/>
      <c r="AE29" s="559"/>
      <c r="AF29" s="559"/>
      <c r="AG29" s="559"/>
      <c r="AH29" s="559"/>
      <c r="AI29" s="559"/>
      <c r="AJ29" s="559"/>
      <c r="AK29" s="559"/>
      <c r="AL29" s="552" t="s">
        <v>195</v>
      </c>
      <c r="AM29" s="522"/>
      <c r="AN29" s="522"/>
    </row>
    <row r="30" spans="1:41" ht="14.4" customHeight="1" x14ac:dyDescent="0.25">
      <c r="A30" s="522"/>
      <c r="B30" s="560" t="s">
        <v>214</v>
      </c>
      <c r="C30" s="561" t="s">
        <v>214</v>
      </c>
      <c r="D30" s="560">
        <v>656500032</v>
      </c>
      <c r="E30" s="562">
        <v>104</v>
      </c>
      <c r="F30" s="563">
        <v>656</v>
      </c>
      <c r="G30" s="564">
        <v>5000002040</v>
      </c>
      <c r="H30" s="565" t="s">
        <v>211</v>
      </c>
      <c r="I30" s="565">
        <v>211</v>
      </c>
      <c r="J30" s="567"/>
      <c r="K30" s="566"/>
      <c r="L30" s="567">
        <v>1115358</v>
      </c>
      <c r="M30" s="567">
        <v>979000</v>
      </c>
      <c r="N30" s="567">
        <v>860000</v>
      </c>
      <c r="O30" s="567">
        <v>772000</v>
      </c>
      <c r="P30" s="567">
        <v>3726358</v>
      </c>
      <c r="Q30" s="568">
        <f>R30+S30+T30+U30</f>
        <v>3353211</v>
      </c>
      <c r="R30" s="567">
        <f>1400000+173147</f>
        <v>1573147</v>
      </c>
      <c r="S30" s="567">
        <v>705853</v>
      </c>
      <c r="T30" s="567">
        <v>586853</v>
      </c>
      <c r="U30" s="567">
        <f>472000+15358</f>
        <v>487358</v>
      </c>
      <c r="V30" s="567">
        <v>2905478.68</v>
      </c>
      <c r="W30" s="567">
        <v>4443601</v>
      </c>
      <c r="X30" s="568"/>
      <c r="Y30" s="568"/>
      <c r="Z30" s="567">
        <f>4443601-V30-X30</f>
        <v>1538122.3199999998</v>
      </c>
      <c r="AA30" s="567"/>
      <c r="AB30" s="567">
        <f>3942550+157702</f>
        <v>4100252</v>
      </c>
      <c r="AC30" s="567">
        <f>3942550+157702</f>
        <v>4100252</v>
      </c>
      <c r="AD30" s="566"/>
      <c r="AE30" s="566"/>
      <c r="AF30" s="566"/>
      <c r="AG30" s="566">
        <v>3047003.25</v>
      </c>
      <c r="AH30" s="566">
        <v>0</v>
      </c>
      <c r="AI30" s="566"/>
      <c r="AJ30" s="569"/>
      <c r="AK30" s="570">
        <v>0.81768934976188545</v>
      </c>
      <c r="AL30" s="552" t="s">
        <v>195</v>
      </c>
      <c r="AM30" s="522"/>
      <c r="AN30" s="522"/>
    </row>
    <row r="31" spans="1:41" ht="14.4" customHeight="1" x14ac:dyDescent="0.25">
      <c r="A31" s="522"/>
      <c r="B31" s="560" t="s">
        <v>214</v>
      </c>
      <c r="C31" s="561" t="s">
        <v>214</v>
      </c>
      <c r="D31" s="560">
        <v>656500032</v>
      </c>
      <c r="E31" s="562">
        <v>104</v>
      </c>
      <c r="F31" s="563">
        <v>656</v>
      </c>
      <c r="G31" s="564">
        <v>5000002040</v>
      </c>
      <c r="H31" s="565">
        <v>129</v>
      </c>
      <c r="I31" s="565">
        <v>213</v>
      </c>
      <c r="J31" s="567"/>
      <c r="K31" s="566"/>
      <c r="L31" s="567">
        <v>340000</v>
      </c>
      <c r="M31" s="567">
        <v>296000</v>
      </c>
      <c r="N31" s="567">
        <v>294860</v>
      </c>
      <c r="O31" s="567">
        <v>194500</v>
      </c>
      <c r="P31" s="567">
        <v>1125360</v>
      </c>
      <c r="Q31" s="568">
        <f>R31+S31+T31+U31</f>
        <v>878413.8</v>
      </c>
      <c r="R31" s="567">
        <f>V31-S31-T31-U31</f>
        <v>340834.47199999995</v>
      </c>
      <c r="S31" s="567">
        <f>S30*30.2%</f>
        <v>213167.606</v>
      </c>
      <c r="T31" s="567">
        <f>T30*30.2%</f>
        <v>177229.606</v>
      </c>
      <c r="U31" s="567">
        <f>U30*30.2%</f>
        <v>147182.11600000001</v>
      </c>
      <c r="V31" s="567">
        <v>878413.8</v>
      </c>
      <c r="W31" s="567">
        <v>1341967.4020000002</v>
      </c>
      <c r="X31" s="568"/>
      <c r="Y31" s="568"/>
      <c r="Z31" s="567">
        <f>1341967.402-V31-X31</f>
        <v>463553.60199999996</v>
      </c>
      <c r="AA31" s="567"/>
      <c r="AB31" s="567">
        <f>1190650-150000+47625</f>
        <v>1088275</v>
      </c>
      <c r="AC31" s="567">
        <f>1190650-150000+47625</f>
        <v>1088275</v>
      </c>
      <c r="AD31" s="566"/>
      <c r="AE31" s="566"/>
      <c r="AF31" s="566"/>
      <c r="AG31" s="566">
        <v>999356.66</v>
      </c>
      <c r="AH31" s="566">
        <v>0</v>
      </c>
      <c r="AI31" s="566"/>
      <c r="AJ31" s="569"/>
      <c r="AK31" s="570">
        <v>0.88803286059572006</v>
      </c>
      <c r="AL31" s="552" t="s">
        <v>195</v>
      </c>
      <c r="AM31" s="522"/>
      <c r="AN31" s="522"/>
      <c r="AO31" s="567"/>
    </row>
    <row r="32" spans="1:41" ht="14.4" customHeight="1" x14ac:dyDescent="0.25">
      <c r="A32" s="522"/>
      <c r="B32" s="574">
        <f>J30+J31</f>
        <v>0</v>
      </c>
      <c r="C32" s="574"/>
      <c r="D32" s="574"/>
      <c r="E32" s="574"/>
      <c r="F32" s="574"/>
      <c r="G32" s="574"/>
      <c r="H32" s="574"/>
      <c r="I32" s="574"/>
      <c r="J32" s="574"/>
      <c r="K32" s="574"/>
      <c r="L32" s="556">
        <v>1455358</v>
      </c>
      <c r="M32" s="556">
        <v>1275000</v>
      </c>
      <c r="N32" s="556">
        <v>1154860</v>
      </c>
      <c r="O32" s="556">
        <v>966500</v>
      </c>
      <c r="P32" s="556">
        <v>4851718</v>
      </c>
      <c r="Q32" s="571">
        <f>R32+S32+T32+U32</f>
        <v>4231624.8000000007</v>
      </c>
      <c r="R32" s="556">
        <f>R30+R31</f>
        <v>1913981.4720000001</v>
      </c>
      <c r="S32" s="556">
        <f>S30+S31</f>
        <v>919020.60600000003</v>
      </c>
      <c r="T32" s="556">
        <f>T30+T31</f>
        <v>764082.60600000003</v>
      </c>
      <c r="U32" s="556">
        <f>U30+U31</f>
        <v>634540.11600000004</v>
      </c>
      <c r="V32" s="556">
        <f>V30+V31</f>
        <v>3783892.4800000004</v>
      </c>
      <c r="W32" s="556">
        <v>5785568.4020000007</v>
      </c>
      <c r="X32" s="556">
        <f>X30+X31</f>
        <v>0</v>
      </c>
      <c r="Y32" s="572"/>
      <c r="Z32" s="556">
        <f>Z30+Z31</f>
        <v>2001675.9219999998</v>
      </c>
      <c r="AA32" s="556"/>
      <c r="AB32" s="556">
        <f>AB30+AB31</f>
        <v>5188527</v>
      </c>
      <c r="AC32" s="556">
        <f>AC30+AC31</f>
        <v>5188527</v>
      </c>
      <c r="AD32" s="573"/>
      <c r="AE32" s="573"/>
      <c r="AF32" s="573"/>
      <c r="AG32" s="566">
        <v>4052111.45</v>
      </c>
      <c r="AH32" s="566">
        <v>0</v>
      </c>
      <c r="AI32" s="573"/>
      <c r="AJ32" s="573"/>
      <c r="AK32" s="570">
        <v>0.83519104985079506</v>
      </c>
      <c r="AL32" s="552" t="s">
        <v>195</v>
      </c>
      <c r="AM32" s="522"/>
      <c r="AN32" s="522"/>
    </row>
    <row r="33" spans="1:41" ht="14.4" customHeight="1" x14ac:dyDescent="0.25">
      <c r="A33" s="522"/>
      <c r="B33" s="559" t="s">
        <v>215</v>
      </c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559"/>
      <c r="T33" s="559"/>
      <c r="U33" s="559"/>
      <c r="V33" s="559"/>
      <c r="W33" s="559"/>
      <c r="X33" s="559"/>
      <c r="Y33" s="559"/>
      <c r="Z33" s="559"/>
      <c r="AA33" s="559"/>
      <c r="AB33" s="559"/>
      <c r="AC33" s="559"/>
      <c r="AD33" s="559"/>
      <c r="AE33" s="559"/>
      <c r="AF33" s="559"/>
      <c r="AG33" s="559"/>
      <c r="AH33" s="559"/>
      <c r="AI33" s="559"/>
      <c r="AJ33" s="559"/>
      <c r="AK33" s="559"/>
      <c r="AL33" s="552" t="s">
        <v>195</v>
      </c>
      <c r="AM33" s="522"/>
      <c r="AN33" s="522"/>
    </row>
    <row r="34" spans="1:41" ht="14.4" customHeight="1" x14ac:dyDescent="0.25">
      <c r="A34" s="522"/>
      <c r="B34" s="560" t="s">
        <v>216</v>
      </c>
      <c r="C34" s="561" t="s">
        <v>216</v>
      </c>
      <c r="D34" s="560">
        <v>656500032</v>
      </c>
      <c r="E34" s="562">
        <v>104</v>
      </c>
      <c r="F34" s="563">
        <v>656</v>
      </c>
      <c r="G34" s="564">
        <v>50000002040</v>
      </c>
      <c r="H34" s="565" t="s">
        <v>217</v>
      </c>
      <c r="I34" s="565">
        <v>212</v>
      </c>
      <c r="J34" s="531">
        <v>0</v>
      </c>
      <c r="K34" s="566"/>
      <c r="L34" s="567">
        <v>0</v>
      </c>
      <c r="M34" s="567">
        <v>3000</v>
      </c>
      <c r="N34" s="567">
        <v>33000</v>
      </c>
      <c r="O34" s="567">
        <v>0</v>
      </c>
      <c r="P34" s="567">
        <v>36000</v>
      </c>
      <c r="Q34" s="568">
        <f>R34+S34+T34+U34</f>
        <v>10000</v>
      </c>
      <c r="R34" s="566">
        <v>5000</v>
      </c>
      <c r="S34" s="566">
        <v>5000</v>
      </c>
      <c r="T34" s="566"/>
      <c r="U34" s="566"/>
      <c r="V34" s="569">
        <v>0</v>
      </c>
      <c r="W34" s="566" t="s">
        <v>218</v>
      </c>
      <c r="X34" s="575" t="s">
        <v>376</v>
      </c>
      <c r="Y34" s="575"/>
      <c r="Z34" s="575"/>
      <c r="AA34" s="575"/>
      <c r="AB34" s="569">
        <v>0</v>
      </c>
      <c r="AC34" s="569">
        <v>0</v>
      </c>
      <c r="AD34" s="566"/>
      <c r="AE34" s="566"/>
      <c r="AF34" s="566"/>
      <c r="AG34" s="566">
        <v>23500</v>
      </c>
      <c r="AH34" s="566">
        <v>0</v>
      </c>
      <c r="AI34" s="566"/>
      <c r="AJ34" s="569"/>
      <c r="AK34" s="570">
        <v>0.65277777777777779</v>
      </c>
      <c r="AL34" s="552" t="s">
        <v>195</v>
      </c>
      <c r="AM34" s="522"/>
      <c r="AN34" s="522"/>
    </row>
    <row r="35" spans="1:41" ht="14.4" customHeight="1" x14ac:dyDescent="0.25">
      <c r="A35" s="522"/>
      <c r="B35" s="560" t="s">
        <v>215</v>
      </c>
      <c r="C35" s="561" t="s">
        <v>215</v>
      </c>
      <c r="D35" s="560">
        <v>656500032</v>
      </c>
      <c r="E35" s="562">
        <v>104</v>
      </c>
      <c r="F35" s="563">
        <v>656</v>
      </c>
      <c r="G35" s="564">
        <v>50000002040</v>
      </c>
      <c r="H35" s="565" t="s">
        <v>219</v>
      </c>
      <c r="I35" s="565">
        <v>222</v>
      </c>
      <c r="J35" s="531">
        <v>0</v>
      </c>
      <c r="K35" s="566"/>
      <c r="L35" s="567">
        <v>0</v>
      </c>
      <c r="M35" s="567">
        <v>0</v>
      </c>
      <c r="N35" s="567">
        <v>5000</v>
      </c>
      <c r="O35" s="567">
        <v>0</v>
      </c>
      <c r="P35" s="567">
        <v>5000</v>
      </c>
      <c r="Q35" s="568">
        <f>R35+S35+T35+U35</f>
        <v>10000</v>
      </c>
      <c r="R35" s="567">
        <v>5000</v>
      </c>
      <c r="S35" s="567"/>
      <c r="T35" s="567">
        <v>5000</v>
      </c>
      <c r="U35" s="567"/>
      <c r="V35" s="567">
        <v>0</v>
      </c>
      <c r="W35" s="576" t="s">
        <v>220</v>
      </c>
      <c r="X35" s="577"/>
      <c r="Y35" s="577"/>
      <c r="Z35" s="577"/>
      <c r="AA35" s="577"/>
      <c r="AB35" s="567"/>
      <c r="AC35" s="567"/>
      <c r="AD35" s="566"/>
      <c r="AE35" s="566"/>
      <c r="AF35" s="566"/>
      <c r="AG35" s="566">
        <v>3000</v>
      </c>
      <c r="AH35" s="566">
        <v>0</v>
      </c>
      <c r="AI35" s="566"/>
      <c r="AJ35" s="569"/>
      <c r="AK35" s="570">
        <v>0.6</v>
      </c>
      <c r="AL35" s="552" t="s">
        <v>195</v>
      </c>
      <c r="AM35" s="522"/>
      <c r="AN35" s="522"/>
    </row>
    <row r="36" spans="1:41" ht="14.4" customHeight="1" x14ac:dyDescent="0.25">
      <c r="A36" s="522"/>
      <c r="B36" s="560" t="s">
        <v>215</v>
      </c>
      <c r="C36" s="561" t="s">
        <v>215</v>
      </c>
      <c r="D36" s="560">
        <v>656500032</v>
      </c>
      <c r="E36" s="562">
        <v>104</v>
      </c>
      <c r="F36" s="563">
        <v>656</v>
      </c>
      <c r="G36" s="564">
        <v>50000002040</v>
      </c>
      <c r="H36" s="565" t="s">
        <v>219</v>
      </c>
      <c r="I36" s="565">
        <v>225</v>
      </c>
      <c r="J36" s="531">
        <v>0</v>
      </c>
      <c r="K36" s="566"/>
      <c r="L36" s="567">
        <v>0</v>
      </c>
      <c r="M36" s="567">
        <v>9000</v>
      </c>
      <c r="N36" s="567">
        <v>24750.03</v>
      </c>
      <c r="O36" s="567">
        <v>0</v>
      </c>
      <c r="P36" s="567"/>
      <c r="Q36" s="568">
        <f>R36+S36+T36+U36</f>
        <v>36000</v>
      </c>
      <c r="R36" s="567">
        <v>9000</v>
      </c>
      <c r="S36" s="567">
        <v>9000</v>
      </c>
      <c r="T36" s="567">
        <v>9000</v>
      </c>
      <c r="U36" s="567">
        <v>9000</v>
      </c>
      <c r="V36" s="567"/>
      <c r="W36" s="576" t="s">
        <v>221</v>
      </c>
      <c r="X36" s="577"/>
      <c r="Y36" s="577"/>
      <c r="Z36" s="577"/>
      <c r="AA36" s="577"/>
      <c r="AB36" s="567"/>
      <c r="AC36" s="567"/>
      <c r="AD36" s="566"/>
      <c r="AE36" s="566"/>
      <c r="AF36" s="566"/>
      <c r="AG36" s="566">
        <v>24750.03</v>
      </c>
      <c r="AH36" s="566">
        <v>0</v>
      </c>
      <c r="AI36" s="566"/>
      <c r="AJ36" s="569"/>
      <c r="AK36" s="570">
        <v>0.73333357037015967</v>
      </c>
      <c r="AL36" s="552" t="s">
        <v>195</v>
      </c>
      <c r="AM36" s="522"/>
      <c r="AN36" s="522"/>
    </row>
    <row r="37" spans="1:41" ht="15.6" customHeight="1" x14ac:dyDescent="0.25">
      <c r="A37" s="522"/>
      <c r="B37" s="560" t="s">
        <v>215</v>
      </c>
      <c r="C37" s="561" t="s">
        <v>215</v>
      </c>
      <c r="D37" s="560">
        <v>656500032</v>
      </c>
      <c r="E37" s="562">
        <v>104</v>
      </c>
      <c r="F37" s="563">
        <v>656</v>
      </c>
      <c r="G37" s="564">
        <v>50000002040</v>
      </c>
      <c r="H37" s="565" t="s">
        <v>219</v>
      </c>
      <c r="I37" s="565">
        <v>226</v>
      </c>
      <c r="J37" s="531">
        <v>0</v>
      </c>
      <c r="K37" s="566"/>
      <c r="L37" s="567">
        <v>20000</v>
      </c>
      <c r="M37" s="567">
        <v>11000</v>
      </c>
      <c r="N37" s="567">
        <v>16000</v>
      </c>
      <c r="O37" s="567">
        <v>13500</v>
      </c>
      <c r="P37" s="567"/>
      <c r="Q37" s="568">
        <f>R37+S37+T37+U37</f>
        <v>10000</v>
      </c>
      <c r="R37" s="567">
        <v>10000</v>
      </c>
      <c r="S37" s="567"/>
      <c r="T37" s="567"/>
      <c r="U37" s="567"/>
      <c r="V37" s="567"/>
      <c r="W37" s="576"/>
      <c r="X37" s="577"/>
      <c r="Y37" s="577"/>
      <c r="Z37" s="577"/>
      <c r="AA37" s="577"/>
      <c r="AB37" s="567"/>
      <c r="AC37" s="567"/>
      <c r="AD37" s="566"/>
      <c r="AE37" s="566"/>
      <c r="AF37" s="566"/>
      <c r="AG37" s="566">
        <v>21830</v>
      </c>
      <c r="AH37" s="566">
        <v>0</v>
      </c>
      <c r="AI37" s="566"/>
      <c r="AJ37" s="569"/>
      <c r="AK37" s="570">
        <v>0.36082644628099175</v>
      </c>
      <c r="AL37" s="552" t="s">
        <v>195</v>
      </c>
      <c r="AM37" s="522"/>
      <c r="AN37" s="522"/>
    </row>
    <row r="38" spans="1:41" ht="15.6" customHeight="1" x14ac:dyDescent="0.25">
      <c r="A38" s="522"/>
      <c r="B38" s="560"/>
      <c r="C38" s="561"/>
      <c r="D38" s="560">
        <v>656500033</v>
      </c>
      <c r="E38" s="562"/>
      <c r="F38" s="563"/>
      <c r="G38" s="564">
        <v>50000002040</v>
      </c>
      <c r="H38" s="565">
        <v>851</v>
      </c>
      <c r="I38" s="565">
        <v>290</v>
      </c>
      <c r="J38" s="531"/>
      <c r="K38" s="566"/>
      <c r="L38" s="567"/>
      <c r="M38" s="567"/>
      <c r="N38" s="567"/>
      <c r="O38" s="567"/>
      <c r="P38" s="567"/>
      <c r="Q38" s="568"/>
      <c r="R38" s="567">
        <v>10000</v>
      </c>
      <c r="S38" s="567">
        <v>10000</v>
      </c>
      <c r="T38" s="567">
        <v>5000</v>
      </c>
      <c r="U38" s="567"/>
      <c r="V38" s="567"/>
      <c r="W38" s="576" t="s">
        <v>223</v>
      </c>
      <c r="X38" s="577">
        <v>0</v>
      </c>
      <c r="Y38" s="577">
        <v>0</v>
      </c>
      <c r="Z38" s="577"/>
      <c r="AA38" s="577"/>
      <c r="AB38" s="567"/>
      <c r="AC38" s="567"/>
      <c r="AD38" s="566"/>
      <c r="AE38" s="566"/>
      <c r="AF38" s="566"/>
      <c r="AG38" s="566"/>
      <c r="AH38" s="566"/>
      <c r="AI38" s="566"/>
      <c r="AJ38" s="569"/>
      <c r="AK38" s="570"/>
      <c r="AL38" s="552"/>
      <c r="AM38" s="522"/>
      <c r="AN38" s="522"/>
    </row>
    <row r="39" spans="1:41" s="514" customFormat="1" ht="15.6" customHeight="1" x14ac:dyDescent="0.25">
      <c r="A39" s="578"/>
      <c r="B39" s="579"/>
      <c r="C39" s="561"/>
      <c r="D39" s="560">
        <v>656500032</v>
      </c>
      <c r="E39" s="580"/>
      <c r="F39" s="581"/>
      <c r="G39" s="564">
        <v>50000002040</v>
      </c>
      <c r="H39" s="565">
        <v>853</v>
      </c>
      <c r="I39" s="565">
        <v>290</v>
      </c>
      <c r="J39" s="531"/>
      <c r="K39" s="582"/>
      <c r="L39" s="583"/>
      <c r="M39" s="583"/>
      <c r="N39" s="583"/>
      <c r="O39" s="583"/>
      <c r="P39" s="583"/>
      <c r="Q39" s="571"/>
      <c r="R39" s="583">
        <f>R37+R38</f>
        <v>20000</v>
      </c>
      <c r="S39" s="583">
        <f>S37+S38</f>
        <v>10000</v>
      </c>
      <c r="T39" s="583">
        <f>T37+T38</f>
        <v>5000</v>
      </c>
      <c r="U39" s="583">
        <f>U37+U38</f>
        <v>0</v>
      </c>
      <c r="V39" s="567"/>
      <c r="W39" s="576" t="s">
        <v>380</v>
      </c>
      <c r="X39" s="577"/>
      <c r="Y39" s="584"/>
      <c r="Z39" s="584"/>
      <c r="AA39" s="584"/>
      <c r="AB39" s="583">
        <f>AB37+AB38</f>
        <v>0</v>
      </c>
      <c r="AC39" s="583">
        <f>AC37+AC38</f>
        <v>0</v>
      </c>
      <c r="AD39" s="582"/>
      <c r="AE39" s="582"/>
      <c r="AF39" s="582"/>
      <c r="AG39" s="582"/>
      <c r="AH39" s="582"/>
      <c r="AI39" s="582"/>
      <c r="AJ39" s="585"/>
      <c r="AK39" s="586"/>
      <c r="AL39" s="587"/>
      <c r="AM39" s="578"/>
      <c r="AN39" s="578"/>
    </row>
    <row r="40" spans="1:41" ht="15.6" customHeight="1" x14ac:dyDescent="0.25">
      <c r="A40" s="522"/>
      <c r="B40" s="560" t="s">
        <v>215</v>
      </c>
      <c r="C40" s="561" t="s">
        <v>215</v>
      </c>
      <c r="D40" s="560">
        <v>656500032</v>
      </c>
      <c r="E40" s="562">
        <v>104</v>
      </c>
      <c r="F40" s="563">
        <v>656</v>
      </c>
      <c r="G40" s="564">
        <v>50000002040</v>
      </c>
      <c r="H40" s="565" t="s">
        <v>219</v>
      </c>
      <c r="I40" s="565">
        <v>290</v>
      </c>
      <c r="J40" s="531"/>
      <c r="K40" s="566"/>
      <c r="L40" s="567">
        <v>0</v>
      </c>
      <c r="M40" s="567">
        <v>0</v>
      </c>
      <c r="N40" s="567">
        <v>0</v>
      </c>
      <c r="O40" s="567">
        <v>0</v>
      </c>
      <c r="P40" s="567">
        <v>0</v>
      </c>
      <c r="Q40" s="568">
        <v>0</v>
      </c>
      <c r="R40" s="567"/>
      <c r="S40" s="567"/>
      <c r="T40" s="567"/>
      <c r="U40" s="567"/>
      <c r="V40" s="567"/>
      <c r="W40" s="576"/>
      <c r="X40" s="577"/>
      <c r="Y40" s="577"/>
      <c r="Z40" s="577"/>
      <c r="AA40" s="577"/>
      <c r="AB40" s="567"/>
      <c r="AC40" s="567"/>
      <c r="AD40" s="566"/>
      <c r="AE40" s="566"/>
      <c r="AF40" s="566"/>
      <c r="AG40" s="566">
        <v>2353.33</v>
      </c>
      <c r="AH40" s="566">
        <v>0</v>
      </c>
      <c r="AI40" s="566"/>
      <c r="AJ40" s="569"/>
      <c r="AK40" s="570"/>
      <c r="AL40" s="552" t="s">
        <v>195</v>
      </c>
      <c r="AM40" s="522"/>
      <c r="AN40" s="522"/>
    </row>
    <row r="41" spans="1:41" ht="15.6" customHeight="1" x14ac:dyDescent="0.25">
      <c r="A41" s="522"/>
      <c r="B41" s="559" t="s">
        <v>212</v>
      </c>
      <c r="C41" s="559"/>
      <c r="D41" s="559"/>
      <c r="E41" s="559"/>
      <c r="F41" s="559"/>
      <c r="G41" s="559"/>
      <c r="H41" s="559"/>
      <c r="I41" s="559"/>
      <c r="J41" s="559"/>
      <c r="K41" s="559"/>
      <c r="L41" s="556">
        <v>20200</v>
      </c>
      <c r="M41" s="556">
        <v>24000</v>
      </c>
      <c r="N41" s="556">
        <v>49750.03</v>
      </c>
      <c r="O41" s="556">
        <v>13500</v>
      </c>
      <c r="P41" s="556">
        <f>P34+P35</f>
        <v>41000</v>
      </c>
      <c r="Q41" s="571">
        <f>R41+S41+T41+U41</f>
        <v>30000</v>
      </c>
      <c r="R41" s="588">
        <f>R34+R35+R37</f>
        <v>20000</v>
      </c>
      <c r="S41" s="588">
        <f>S34+S35+S37</f>
        <v>5000</v>
      </c>
      <c r="T41" s="588">
        <f>T34+T35+T37</f>
        <v>5000</v>
      </c>
      <c r="U41" s="588">
        <f>U34+U35+U37</f>
        <v>0</v>
      </c>
      <c r="V41" s="556">
        <f>SUM(V34:V40)</f>
        <v>0</v>
      </c>
      <c r="W41" s="556">
        <f>V41+V32</f>
        <v>3783892.4800000004</v>
      </c>
      <c r="X41" s="572">
        <f>SUM(X34:X40)</f>
        <v>0</v>
      </c>
      <c r="Y41" s="572"/>
      <c r="Z41" s="572"/>
      <c r="AA41" s="572"/>
      <c r="AB41" s="556">
        <f>AB34+AB35+AB36+AB39+AB40</f>
        <v>0</v>
      </c>
      <c r="AC41" s="556">
        <f>AC34+AC35+AC36+AC39+AC40</f>
        <v>0</v>
      </c>
      <c r="AD41" s="573"/>
      <c r="AE41" s="573"/>
      <c r="AF41" s="573"/>
      <c r="AG41" s="566">
        <v>53829.29</v>
      </c>
      <c r="AH41" s="566">
        <v>0</v>
      </c>
      <c r="AI41" s="573"/>
      <c r="AJ41" s="573"/>
      <c r="AK41" s="570">
        <v>0.50097045110178196</v>
      </c>
      <c r="AL41" s="552" t="s">
        <v>195</v>
      </c>
      <c r="AM41" s="522"/>
      <c r="AN41" s="522"/>
      <c r="AO41" s="513"/>
    </row>
    <row r="42" spans="1:41" ht="15.6" customHeight="1" x14ac:dyDescent="0.25">
      <c r="A42" s="522"/>
      <c r="B42" s="561"/>
      <c r="C42" s="561"/>
      <c r="D42" s="589" t="s">
        <v>224</v>
      </c>
      <c r="E42" s="589"/>
      <c r="F42" s="589"/>
      <c r="G42" s="589"/>
      <c r="H42" s="589"/>
      <c r="I42" s="589"/>
      <c r="J42" s="589"/>
      <c r="K42" s="589"/>
      <c r="L42" s="589"/>
      <c r="M42" s="589"/>
      <c r="N42" s="589"/>
      <c r="O42" s="589"/>
      <c r="P42" s="589"/>
      <c r="Q42" s="589"/>
      <c r="R42" s="589"/>
      <c r="S42" s="589"/>
      <c r="T42" s="589"/>
      <c r="U42" s="589"/>
      <c r="V42" s="589"/>
      <c r="W42" s="589"/>
      <c r="X42" s="589"/>
      <c r="Y42" s="589"/>
      <c r="Z42" s="589"/>
      <c r="AA42" s="589"/>
      <c r="AB42" s="589"/>
      <c r="AC42" s="589"/>
      <c r="AD42" s="590"/>
      <c r="AE42" s="590"/>
      <c r="AF42" s="590"/>
      <c r="AG42" s="566"/>
      <c r="AH42" s="566"/>
      <c r="AI42" s="590"/>
      <c r="AJ42" s="590"/>
      <c r="AK42" s="570"/>
      <c r="AL42" s="552"/>
      <c r="AM42" s="522"/>
      <c r="AN42" s="522"/>
    </row>
    <row r="43" spans="1:41" ht="15.6" customHeight="1" x14ac:dyDescent="0.25">
      <c r="A43" s="522"/>
      <c r="B43" s="559" t="s">
        <v>225</v>
      </c>
      <c r="C43" s="559"/>
      <c r="D43" s="559"/>
      <c r="E43" s="559"/>
      <c r="F43" s="559"/>
      <c r="G43" s="559"/>
      <c r="H43" s="559"/>
      <c r="I43" s="559"/>
      <c r="J43" s="559"/>
      <c r="K43" s="559"/>
      <c r="L43" s="559"/>
      <c r="M43" s="559"/>
      <c r="N43" s="559"/>
      <c r="O43" s="559"/>
      <c r="P43" s="559"/>
      <c r="Q43" s="559"/>
      <c r="R43" s="559"/>
      <c r="S43" s="559"/>
      <c r="T43" s="559"/>
      <c r="U43" s="559"/>
      <c r="V43" s="559"/>
      <c r="W43" s="559"/>
      <c r="X43" s="559"/>
      <c r="Y43" s="559"/>
      <c r="Z43" s="559"/>
      <c r="AA43" s="559"/>
      <c r="AB43" s="559"/>
      <c r="AC43" s="559"/>
      <c r="AD43" s="559"/>
      <c r="AE43" s="559"/>
      <c r="AF43" s="559"/>
      <c r="AG43" s="559"/>
      <c r="AH43" s="559"/>
      <c r="AI43" s="559"/>
      <c r="AJ43" s="559"/>
      <c r="AK43" s="559"/>
      <c r="AL43" s="552" t="s">
        <v>195</v>
      </c>
      <c r="AM43" s="522"/>
      <c r="AN43" s="522"/>
    </row>
    <row r="44" spans="1:41" ht="15.6" customHeight="1" x14ac:dyDescent="0.25">
      <c r="A44" s="522"/>
      <c r="B44" s="560" t="s">
        <v>225</v>
      </c>
      <c r="C44" s="561" t="s">
        <v>225</v>
      </c>
      <c r="D44" s="560">
        <v>656570011</v>
      </c>
      <c r="E44" s="562">
        <v>104</v>
      </c>
      <c r="F44" s="563">
        <v>656</v>
      </c>
      <c r="G44" s="564">
        <v>5700089240</v>
      </c>
      <c r="H44" s="565" t="s">
        <v>226</v>
      </c>
      <c r="I44" s="565">
        <v>251</v>
      </c>
      <c r="J44" s="531">
        <v>0</v>
      </c>
      <c r="K44" s="566"/>
      <c r="L44" s="567">
        <v>203425</v>
      </c>
      <c r="M44" s="567">
        <v>203425</v>
      </c>
      <c r="N44" s="567">
        <v>203425</v>
      </c>
      <c r="O44" s="567">
        <v>203425</v>
      </c>
      <c r="P44" s="567">
        <v>906400</v>
      </c>
      <c r="Q44" s="568">
        <f t="shared" ref="Q44:Q49" si="0">R44+S44+T44+U44</f>
        <v>906400</v>
      </c>
      <c r="R44" s="566">
        <v>226600</v>
      </c>
      <c r="S44" s="566">
        <v>226600</v>
      </c>
      <c r="T44" s="566">
        <v>226600</v>
      </c>
      <c r="U44" s="566">
        <v>226600</v>
      </c>
      <c r="V44" s="569">
        <v>481800</v>
      </c>
      <c r="W44" s="566"/>
      <c r="X44" s="575"/>
      <c r="Y44" s="575"/>
      <c r="Z44" s="575"/>
      <c r="AA44" s="575"/>
      <c r="AB44" s="569"/>
      <c r="AC44" s="569"/>
      <c r="AD44" s="566"/>
      <c r="AE44" s="566"/>
      <c r="AF44" s="566"/>
      <c r="AG44" s="566">
        <v>610275</v>
      </c>
      <c r="AH44" s="566">
        <v>0</v>
      </c>
      <c r="AI44" s="566"/>
      <c r="AJ44" s="569"/>
      <c r="AK44" s="570">
        <v>0.75</v>
      </c>
      <c r="AL44" s="552" t="s">
        <v>195</v>
      </c>
      <c r="AM44" s="522"/>
      <c r="AN44" s="522"/>
    </row>
    <row r="45" spans="1:41" ht="15.6" customHeight="1" x14ac:dyDescent="0.25">
      <c r="A45" s="522"/>
      <c r="B45" s="560" t="s">
        <v>225</v>
      </c>
      <c r="C45" s="561" t="s">
        <v>225</v>
      </c>
      <c r="D45" s="560">
        <v>656570011</v>
      </c>
      <c r="E45" s="562">
        <v>409</v>
      </c>
      <c r="F45" s="563">
        <v>656</v>
      </c>
      <c r="G45" s="564">
        <v>5700089160</v>
      </c>
      <c r="H45" s="565" t="s">
        <v>226</v>
      </c>
      <c r="I45" s="565">
        <v>251</v>
      </c>
      <c r="J45" s="531">
        <v>0</v>
      </c>
      <c r="K45" s="566"/>
      <c r="L45" s="567">
        <v>203425</v>
      </c>
      <c r="M45" s="567">
        <v>203425</v>
      </c>
      <c r="N45" s="567">
        <v>203425</v>
      </c>
      <c r="O45" s="567">
        <v>203425</v>
      </c>
      <c r="P45" s="567">
        <v>906400</v>
      </c>
      <c r="Q45" s="568">
        <f t="shared" si="0"/>
        <v>906400</v>
      </c>
      <c r="R45" s="566">
        <v>226600</v>
      </c>
      <c r="S45" s="566">
        <v>226600</v>
      </c>
      <c r="T45" s="566">
        <v>226600</v>
      </c>
      <c r="U45" s="566">
        <v>226600</v>
      </c>
      <c r="V45" s="569"/>
      <c r="W45" s="566"/>
      <c r="X45" s="575"/>
      <c r="Y45" s="575"/>
      <c r="Z45" s="575"/>
      <c r="AA45" s="575"/>
      <c r="AB45" s="569"/>
      <c r="AC45" s="569"/>
      <c r="AD45" s="566"/>
      <c r="AE45" s="566"/>
      <c r="AF45" s="566"/>
      <c r="AG45" s="566">
        <v>610275</v>
      </c>
      <c r="AH45" s="566">
        <v>0</v>
      </c>
      <c r="AI45" s="566"/>
      <c r="AJ45" s="569"/>
      <c r="AK45" s="570">
        <v>0.75</v>
      </c>
      <c r="AL45" s="552" t="s">
        <v>195</v>
      </c>
      <c r="AM45" s="522"/>
      <c r="AN45" s="522"/>
    </row>
    <row r="46" spans="1:41" ht="15.6" customHeight="1" x14ac:dyDescent="0.25">
      <c r="A46" s="522"/>
      <c r="B46" s="560" t="s">
        <v>225</v>
      </c>
      <c r="C46" s="561" t="s">
        <v>225</v>
      </c>
      <c r="D46" s="560">
        <v>656570011</v>
      </c>
      <c r="E46" s="562">
        <v>501</v>
      </c>
      <c r="F46" s="563">
        <v>656</v>
      </c>
      <c r="G46" s="564">
        <v>5700089090</v>
      </c>
      <c r="H46" s="565" t="s">
        <v>226</v>
      </c>
      <c r="I46" s="565">
        <v>251</v>
      </c>
      <c r="J46" s="531">
        <v>0</v>
      </c>
      <c r="K46" s="566"/>
      <c r="L46" s="567">
        <v>203425</v>
      </c>
      <c r="M46" s="567">
        <v>203425</v>
      </c>
      <c r="N46" s="567">
        <v>203425</v>
      </c>
      <c r="O46" s="567">
        <v>203425</v>
      </c>
      <c r="P46" s="567">
        <v>906400</v>
      </c>
      <c r="Q46" s="568">
        <f t="shared" si="0"/>
        <v>906400</v>
      </c>
      <c r="R46" s="566">
        <v>226600</v>
      </c>
      <c r="S46" s="566">
        <v>226600</v>
      </c>
      <c r="T46" s="566">
        <v>226600</v>
      </c>
      <c r="U46" s="566">
        <v>226600</v>
      </c>
      <c r="V46" s="569"/>
      <c r="W46" s="566"/>
      <c r="X46" s="575"/>
      <c r="Y46" s="575"/>
      <c r="Z46" s="575"/>
      <c r="AA46" s="575"/>
      <c r="AB46" s="569"/>
      <c r="AC46" s="569"/>
      <c r="AD46" s="566"/>
      <c r="AE46" s="566"/>
      <c r="AF46" s="566"/>
      <c r="AG46" s="566">
        <v>610275</v>
      </c>
      <c r="AH46" s="566">
        <v>0</v>
      </c>
      <c r="AI46" s="566"/>
      <c r="AJ46" s="569"/>
      <c r="AK46" s="570">
        <v>0.75</v>
      </c>
      <c r="AL46" s="552" t="s">
        <v>195</v>
      </c>
      <c r="AM46" s="522"/>
      <c r="AN46" s="522"/>
    </row>
    <row r="47" spans="1:41" ht="15.6" customHeight="1" x14ac:dyDescent="0.25">
      <c r="A47" s="522"/>
      <c r="B47" s="560" t="s">
        <v>225</v>
      </c>
      <c r="C47" s="561" t="s">
        <v>225</v>
      </c>
      <c r="D47" s="560">
        <v>656570011</v>
      </c>
      <c r="E47" s="562">
        <v>502</v>
      </c>
      <c r="F47" s="563">
        <v>656</v>
      </c>
      <c r="G47" s="564">
        <v>5700089020</v>
      </c>
      <c r="H47" s="565" t="s">
        <v>226</v>
      </c>
      <c r="I47" s="565">
        <v>251</v>
      </c>
      <c r="J47" s="531">
        <v>0</v>
      </c>
      <c r="K47" s="566"/>
      <c r="L47" s="567">
        <v>203425</v>
      </c>
      <c r="M47" s="567">
        <v>203425</v>
      </c>
      <c r="N47" s="567">
        <v>203425</v>
      </c>
      <c r="O47" s="567">
        <v>203425</v>
      </c>
      <c r="P47" s="567">
        <v>906400</v>
      </c>
      <c r="Q47" s="568">
        <f t="shared" si="0"/>
        <v>906400</v>
      </c>
      <c r="R47" s="566">
        <v>226600</v>
      </c>
      <c r="S47" s="566">
        <v>226600</v>
      </c>
      <c r="T47" s="566">
        <v>226600</v>
      </c>
      <c r="U47" s="566">
        <v>226600</v>
      </c>
      <c r="V47" s="569"/>
      <c r="W47" s="566"/>
      <c r="X47" s="575"/>
      <c r="Y47" s="575"/>
      <c r="Z47" s="575"/>
      <c r="AA47" s="575"/>
      <c r="AB47" s="569"/>
      <c r="AC47" s="569"/>
      <c r="AD47" s="566"/>
      <c r="AE47" s="566"/>
      <c r="AF47" s="566"/>
      <c r="AG47" s="566">
        <v>610275</v>
      </c>
      <c r="AH47" s="566">
        <v>0</v>
      </c>
      <c r="AI47" s="566"/>
      <c r="AJ47" s="569"/>
      <c r="AK47" s="570">
        <v>0.75</v>
      </c>
      <c r="AL47" s="552" t="s">
        <v>195</v>
      </c>
      <c r="AM47" s="522"/>
      <c r="AN47" s="522"/>
    </row>
    <row r="48" spans="1:41" ht="15.6" customHeight="1" x14ac:dyDescent="0.25">
      <c r="A48" s="522"/>
      <c r="B48" s="560" t="s">
        <v>225</v>
      </c>
      <c r="C48" s="561" t="s">
        <v>225</v>
      </c>
      <c r="D48" s="560">
        <v>656570011</v>
      </c>
      <c r="E48" s="562">
        <v>605</v>
      </c>
      <c r="F48" s="563">
        <v>656</v>
      </c>
      <c r="G48" s="564">
        <v>5700089090</v>
      </c>
      <c r="H48" s="565" t="s">
        <v>226</v>
      </c>
      <c r="I48" s="565">
        <v>251</v>
      </c>
      <c r="J48" s="531">
        <v>0</v>
      </c>
      <c r="K48" s="566"/>
      <c r="L48" s="567">
        <v>203425</v>
      </c>
      <c r="M48" s="567">
        <v>203425</v>
      </c>
      <c r="N48" s="567">
        <v>203425</v>
      </c>
      <c r="O48" s="567">
        <v>203425</v>
      </c>
      <c r="P48" s="567">
        <v>906400</v>
      </c>
      <c r="Q48" s="568">
        <f t="shared" si="0"/>
        <v>906400</v>
      </c>
      <c r="R48" s="566">
        <v>226600</v>
      </c>
      <c r="S48" s="566">
        <v>226600</v>
      </c>
      <c r="T48" s="566">
        <v>226600</v>
      </c>
      <c r="U48" s="566">
        <v>226600</v>
      </c>
      <c r="V48" s="569">
        <v>605340</v>
      </c>
      <c r="W48" s="566"/>
      <c r="X48" s="575"/>
      <c r="Y48" s="575"/>
      <c r="Z48" s="575"/>
      <c r="AA48" s="575"/>
      <c r="AB48" s="569"/>
      <c r="AC48" s="569"/>
      <c r="AD48" s="566"/>
      <c r="AE48" s="566"/>
      <c r="AF48" s="566"/>
      <c r="AG48" s="566">
        <v>610275</v>
      </c>
      <c r="AH48" s="566">
        <v>0</v>
      </c>
      <c r="AI48" s="566"/>
      <c r="AJ48" s="569"/>
      <c r="AK48" s="570">
        <v>0.75</v>
      </c>
      <c r="AL48" s="552" t="s">
        <v>195</v>
      </c>
      <c r="AM48" s="522"/>
      <c r="AN48" s="522"/>
    </row>
    <row r="49" spans="1:51" ht="15.6" customHeight="1" x14ac:dyDescent="0.25">
      <c r="A49" s="522"/>
      <c r="B49" s="559" t="s">
        <v>212</v>
      </c>
      <c r="C49" s="559"/>
      <c r="D49" s="559"/>
      <c r="E49" s="559"/>
      <c r="F49" s="559"/>
      <c r="G49" s="559"/>
      <c r="H49" s="559"/>
      <c r="I49" s="559"/>
      <c r="J49" s="559"/>
      <c r="K49" s="559"/>
      <c r="L49" s="556">
        <v>203425</v>
      </c>
      <c r="M49" s="556">
        <v>203425</v>
      </c>
      <c r="N49" s="556">
        <v>203425</v>
      </c>
      <c r="O49" s="556">
        <v>203425</v>
      </c>
      <c r="P49" s="556">
        <v>906400</v>
      </c>
      <c r="Q49" s="571">
        <f t="shared" si="0"/>
        <v>906400</v>
      </c>
      <c r="R49" s="590">
        <f>R44</f>
        <v>226600</v>
      </c>
      <c r="S49" s="590">
        <f>S44</f>
        <v>226600</v>
      </c>
      <c r="T49" s="590">
        <f>T44</f>
        <v>226600</v>
      </c>
      <c r="U49" s="590">
        <f>U44</f>
        <v>226600</v>
      </c>
      <c r="V49" s="591">
        <f>SUM(V44:V48)</f>
        <v>1087140</v>
      </c>
      <c r="W49" s="590"/>
      <c r="X49" s="592"/>
      <c r="Y49" s="592"/>
      <c r="Z49" s="592"/>
      <c r="AA49" s="592"/>
      <c r="AB49" s="591"/>
      <c r="AC49" s="591"/>
      <c r="AD49" s="573"/>
      <c r="AE49" s="573"/>
      <c r="AF49" s="573"/>
      <c r="AG49" s="566">
        <v>610275</v>
      </c>
      <c r="AH49" s="566">
        <v>0</v>
      </c>
      <c r="AI49" s="573"/>
      <c r="AJ49" s="573"/>
      <c r="AK49" s="570">
        <v>0.75</v>
      </c>
      <c r="AL49" s="552" t="s">
        <v>195</v>
      </c>
      <c r="AM49" s="522"/>
      <c r="AN49" s="522"/>
    </row>
    <row r="50" spans="1:51" ht="15.6" customHeight="1" x14ac:dyDescent="0.25">
      <c r="A50" s="522"/>
      <c r="B50" s="561"/>
      <c r="C50" s="561"/>
      <c r="D50" s="589" t="s">
        <v>141</v>
      </c>
      <c r="E50" s="589"/>
      <c r="F50" s="589"/>
      <c r="G50" s="589"/>
      <c r="H50" s="589"/>
      <c r="I50" s="589"/>
      <c r="J50" s="589"/>
      <c r="K50" s="589"/>
      <c r="L50" s="589"/>
      <c r="M50" s="589"/>
      <c r="N50" s="589"/>
      <c r="O50" s="589"/>
      <c r="P50" s="589"/>
      <c r="Q50" s="589"/>
      <c r="R50" s="589"/>
      <c r="S50" s="589"/>
      <c r="T50" s="589"/>
      <c r="U50" s="589"/>
      <c r="V50" s="589"/>
      <c r="W50" s="589"/>
      <c r="X50" s="589"/>
      <c r="Y50" s="589"/>
      <c r="Z50" s="589"/>
      <c r="AA50" s="589"/>
      <c r="AB50" s="589"/>
      <c r="AC50" s="589"/>
      <c r="AD50" s="590"/>
      <c r="AE50" s="590"/>
      <c r="AF50" s="590"/>
      <c r="AG50" s="566"/>
      <c r="AH50" s="566"/>
      <c r="AI50" s="590"/>
      <c r="AJ50" s="590"/>
      <c r="AK50" s="570"/>
      <c r="AL50" s="552"/>
      <c r="AM50" s="522"/>
      <c r="AN50" s="522"/>
    </row>
    <row r="51" spans="1:51" ht="15.6" customHeight="1" x14ac:dyDescent="0.25">
      <c r="A51" s="522"/>
      <c r="B51" s="561"/>
      <c r="C51" s="561"/>
      <c r="D51" s="593" t="s">
        <v>227</v>
      </c>
      <c r="E51" s="593"/>
      <c r="F51" s="593"/>
      <c r="G51" s="593"/>
      <c r="H51" s="593"/>
      <c r="I51" s="593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6"/>
      <c r="Y51" s="516"/>
      <c r="Z51" s="516"/>
      <c r="AA51" s="516"/>
      <c r="AB51" s="515"/>
      <c r="AC51" s="515"/>
      <c r="AD51" s="590"/>
      <c r="AE51" s="590"/>
      <c r="AF51" s="590"/>
      <c r="AG51" s="566"/>
      <c r="AH51" s="566"/>
      <c r="AI51" s="590"/>
      <c r="AJ51" s="590"/>
      <c r="AK51" s="570"/>
      <c r="AL51" s="552"/>
      <c r="AM51" s="522"/>
      <c r="AN51" s="522"/>
    </row>
    <row r="52" spans="1:51" ht="15.6" customHeight="1" x14ac:dyDescent="0.25">
      <c r="A52" s="522"/>
      <c r="B52" s="559" t="s">
        <v>15</v>
      </c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59"/>
      <c r="AA52" s="559"/>
      <c r="AB52" s="559"/>
      <c r="AC52" s="559"/>
      <c r="AD52" s="559"/>
      <c r="AE52" s="559"/>
      <c r="AF52" s="559"/>
      <c r="AG52" s="559"/>
      <c r="AH52" s="559"/>
      <c r="AI52" s="559"/>
      <c r="AJ52" s="559"/>
      <c r="AK52" s="559"/>
      <c r="AL52" s="552" t="s">
        <v>195</v>
      </c>
      <c r="AM52" s="522"/>
      <c r="AN52" s="522"/>
    </row>
    <row r="53" spans="1:51" ht="15.6" customHeight="1" x14ac:dyDescent="0.25">
      <c r="A53" s="522"/>
      <c r="B53" s="560" t="s">
        <v>15</v>
      </c>
      <c r="C53" s="561" t="s">
        <v>15</v>
      </c>
      <c r="D53" s="560">
        <v>656510011</v>
      </c>
      <c r="E53" s="562">
        <v>111</v>
      </c>
      <c r="F53" s="563">
        <v>656</v>
      </c>
      <c r="G53" s="564">
        <v>5100020610</v>
      </c>
      <c r="H53" s="565" t="s">
        <v>228</v>
      </c>
      <c r="I53" s="565">
        <v>290</v>
      </c>
      <c r="J53" s="531"/>
      <c r="K53" s="566"/>
      <c r="L53" s="567">
        <v>74629.240000000005</v>
      </c>
      <c r="M53" s="567">
        <v>0</v>
      </c>
      <c r="N53" s="567">
        <v>0</v>
      </c>
      <c r="O53" s="567">
        <v>0</v>
      </c>
      <c r="P53" s="567">
        <v>74629.240000000005</v>
      </c>
      <c r="Q53" s="568">
        <f>R53+S53+T53+U53</f>
        <v>80000</v>
      </c>
      <c r="R53" s="566">
        <v>20000</v>
      </c>
      <c r="S53" s="566">
        <v>20000</v>
      </c>
      <c r="T53" s="566">
        <v>20000</v>
      </c>
      <c r="U53" s="566">
        <v>20000</v>
      </c>
      <c r="V53" s="569">
        <v>80000</v>
      </c>
      <c r="W53" s="566"/>
      <c r="X53" s="575">
        <v>0</v>
      </c>
      <c r="Y53" s="575"/>
      <c r="Z53" s="575"/>
      <c r="AA53" s="575"/>
      <c r="AB53" s="569">
        <v>80000</v>
      </c>
      <c r="AC53" s="569">
        <f>80000-12000</f>
        <v>68000</v>
      </c>
      <c r="AD53" s="566"/>
      <c r="AE53" s="566"/>
      <c r="AF53" s="566"/>
      <c r="AG53" s="566">
        <v>0</v>
      </c>
      <c r="AH53" s="566">
        <v>0</v>
      </c>
      <c r="AI53" s="566"/>
      <c r="AJ53" s="569"/>
      <c r="AK53" s="570">
        <v>0</v>
      </c>
      <c r="AL53" s="552" t="s">
        <v>195</v>
      </c>
      <c r="AM53" s="522"/>
      <c r="AN53" s="522"/>
    </row>
    <row r="54" spans="1:51" ht="15.6" customHeight="1" x14ac:dyDescent="0.25">
      <c r="A54" s="522"/>
      <c r="B54" s="559" t="s">
        <v>212</v>
      </c>
      <c r="C54" s="559"/>
      <c r="D54" s="559"/>
      <c r="E54" s="559"/>
      <c r="F54" s="559"/>
      <c r="G54" s="559"/>
      <c r="H54" s="559"/>
      <c r="I54" s="559"/>
      <c r="J54" s="559"/>
      <c r="K54" s="559"/>
      <c r="L54" s="556">
        <v>74629.240000000005</v>
      </c>
      <c r="M54" s="556">
        <v>0</v>
      </c>
      <c r="N54" s="556">
        <v>0</v>
      </c>
      <c r="O54" s="556">
        <v>0</v>
      </c>
      <c r="P54" s="556">
        <v>74629.240000000005</v>
      </c>
      <c r="Q54" s="571">
        <f>R54+S54+T54+U54</f>
        <v>80000</v>
      </c>
      <c r="R54" s="590">
        <f>R53</f>
        <v>20000</v>
      </c>
      <c r="S54" s="582">
        <f>S53</f>
        <v>20000</v>
      </c>
      <c r="T54" s="590">
        <f>T53</f>
        <v>20000</v>
      </c>
      <c r="U54" s="582">
        <f>U53</f>
        <v>20000</v>
      </c>
      <c r="V54" s="591">
        <f>V53</f>
        <v>80000</v>
      </c>
      <c r="W54" s="590"/>
      <c r="X54" s="592">
        <f>X53</f>
        <v>0</v>
      </c>
      <c r="Y54" s="592"/>
      <c r="Z54" s="592"/>
      <c r="AA54" s="592"/>
      <c r="AB54" s="591">
        <f>AB53</f>
        <v>80000</v>
      </c>
      <c r="AC54" s="591">
        <f>AC53</f>
        <v>68000</v>
      </c>
      <c r="AD54" s="573"/>
      <c r="AE54" s="573"/>
      <c r="AF54" s="573"/>
      <c r="AG54" s="566">
        <v>0</v>
      </c>
      <c r="AH54" s="566">
        <v>0</v>
      </c>
      <c r="AI54" s="573"/>
      <c r="AJ54" s="573"/>
      <c r="AK54" s="570">
        <v>0</v>
      </c>
      <c r="AL54" s="552" t="s">
        <v>195</v>
      </c>
      <c r="AM54" s="522"/>
      <c r="AN54" s="522"/>
    </row>
    <row r="55" spans="1:51" ht="15.6" customHeight="1" x14ac:dyDescent="0.25">
      <c r="A55" s="522"/>
      <c r="B55" s="507"/>
      <c r="C55" s="507"/>
      <c r="D55" s="514" t="s">
        <v>207</v>
      </c>
      <c r="E55" s="534"/>
      <c r="F55" s="534"/>
      <c r="G55" s="534"/>
      <c r="H55" s="534"/>
      <c r="I55" s="534"/>
      <c r="J55" s="535"/>
      <c r="K55" s="512"/>
      <c r="L55" s="507"/>
      <c r="M55" s="507"/>
      <c r="N55" s="507"/>
      <c r="O55" s="507"/>
      <c r="P55" s="507"/>
      <c r="Q55" s="538"/>
      <c r="R55" s="512"/>
      <c r="S55" s="555"/>
      <c r="T55" s="534"/>
      <c r="U55" s="556"/>
      <c r="V55" s="534"/>
      <c r="W55" s="534"/>
      <c r="X55" s="557"/>
      <c r="Y55" s="557"/>
      <c r="Z55" s="557"/>
      <c r="AA55" s="557"/>
      <c r="AB55" s="534"/>
      <c r="AC55" s="534"/>
      <c r="AD55" s="508"/>
      <c r="AE55" s="508"/>
      <c r="AF55" s="508"/>
      <c r="AG55" s="508"/>
      <c r="AH55" s="508"/>
      <c r="AI55" s="508"/>
      <c r="AJ55" s="508"/>
      <c r="AK55" s="512"/>
      <c r="AL55" s="552"/>
      <c r="AM55" s="522"/>
      <c r="AN55" s="522"/>
    </row>
    <row r="56" spans="1:51" ht="15.6" customHeight="1" x14ac:dyDescent="0.25">
      <c r="A56" s="522"/>
      <c r="B56" s="507"/>
      <c r="C56" s="507"/>
      <c r="D56" s="594" t="s">
        <v>229</v>
      </c>
      <c r="E56" s="534"/>
      <c r="F56" s="534"/>
      <c r="G56" s="534"/>
      <c r="H56" s="534"/>
      <c r="I56" s="534"/>
      <c r="J56" s="535"/>
      <c r="K56" s="512"/>
      <c r="L56" s="507"/>
      <c r="M56" s="507"/>
      <c r="N56" s="507"/>
      <c r="O56" s="507"/>
      <c r="P56" s="507"/>
      <c r="Q56" s="538"/>
      <c r="R56" s="512"/>
      <c r="S56" s="555"/>
      <c r="T56" s="534"/>
      <c r="U56" s="556"/>
      <c r="V56" s="534"/>
      <c r="W56" s="534"/>
      <c r="X56" s="557"/>
      <c r="Y56" s="557"/>
      <c r="Z56" s="557"/>
      <c r="AA56" s="557"/>
      <c r="AB56" s="534"/>
      <c r="AC56" s="534"/>
      <c r="AD56" s="508"/>
      <c r="AE56" s="508"/>
      <c r="AF56" s="508"/>
      <c r="AG56" s="508"/>
      <c r="AH56" s="508"/>
      <c r="AI56" s="508"/>
      <c r="AJ56" s="508"/>
      <c r="AK56" s="512"/>
      <c r="AL56" s="552"/>
      <c r="AM56" s="522"/>
      <c r="AN56" s="522"/>
    </row>
    <row r="57" spans="1:51" ht="15.6" customHeight="1" x14ac:dyDescent="0.25">
      <c r="A57" s="522"/>
      <c r="B57" s="559" t="s">
        <v>230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559"/>
      <c r="AL57" s="552" t="s">
        <v>195</v>
      </c>
      <c r="AM57" s="522"/>
      <c r="AN57" s="522"/>
    </row>
    <row r="58" spans="1:51" ht="15.6" customHeight="1" x14ac:dyDescent="0.25">
      <c r="A58" s="522"/>
      <c r="B58" s="561"/>
      <c r="C58" s="561"/>
      <c r="D58" s="560">
        <v>656500042</v>
      </c>
      <c r="E58" s="595"/>
      <c r="F58" s="595"/>
      <c r="G58" s="564">
        <v>50000002400</v>
      </c>
      <c r="H58" s="596">
        <v>224</v>
      </c>
      <c r="I58" s="596">
        <v>226</v>
      </c>
      <c r="J58" s="560"/>
      <c r="K58" s="560"/>
      <c r="L58" s="560"/>
      <c r="M58" s="560"/>
      <c r="N58" s="560"/>
      <c r="O58" s="560"/>
      <c r="P58" s="560"/>
      <c r="Q58" s="560"/>
      <c r="R58" s="560"/>
      <c r="S58" s="560"/>
      <c r="T58" s="560"/>
      <c r="U58" s="560"/>
      <c r="V58" s="568">
        <v>21800</v>
      </c>
      <c r="W58" s="560" t="s">
        <v>468</v>
      </c>
      <c r="X58" s="568">
        <v>-72.040000000000006</v>
      </c>
      <c r="Y58" s="566"/>
      <c r="Z58" s="566"/>
      <c r="AA58" s="566"/>
      <c r="AB58" s="561"/>
      <c r="AC58" s="561"/>
      <c r="AD58" s="561"/>
      <c r="AE58" s="561"/>
      <c r="AF58" s="561"/>
      <c r="AG58" s="561"/>
      <c r="AH58" s="561"/>
      <c r="AI58" s="561"/>
      <c r="AJ58" s="561"/>
      <c r="AK58" s="561"/>
      <c r="AL58" s="552"/>
      <c r="AM58" s="522"/>
      <c r="AN58" s="522"/>
    </row>
    <row r="59" spans="1:51" ht="15.6" customHeight="1" x14ac:dyDescent="0.25">
      <c r="A59" s="522"/>
      <c r="B59" s="561"/>
      <c r="C59" s="561"/>
      <c r="D59" s="561"/>
      <c r="E59" s="595"/>
      <c r="F59" s="595"/>
      <c r="G59" s="564">
        <v>50000002400</v>
      </c>
      <c r="H59" s="596"/>
      <c r="I59" s="596">
        <v>226</v>
      </c>
      <c r="J59" s="560"/>
      <c r="K59" s="560"/>
      <c r="L59" s="560"/>
      <c r="M59" s="560"/>
      <c r="N59" s="560"/>
      <c r="O59" s="560"/>
      <c r="P59" s="560"/>
      <c r="Q59" s="560"/>
      <c r="R59" s="560"/>
      <c r="S59" s="560"/>
      <c r="T59" s="560"/>
      <c r="U59" s="560"/>
      <c r="V59" s="568">
        <v>0</v>
      </c>
      <c r="W59" s="560" t="s">
        <v>231</v>
      </c>
      <c r="X59" s="568"/>
      <c r="Y59" s="560"/>
      <c r="Z59" s="560"/>
      <c r="AA59" s="560"/>
      <c r="AB59" s="569"/>
      <c r="AC59" s="569"/>
      <c r="AD59" s="561"/>
      <c r="AE59" s="561"/>
      <c r="AF59" s="561"/>
      <c r="AG59" s="561"/>
      <c r="AH59" s="561"/>
      <c r="AI59" s="561"/>
      <c r="AJ59" s="561"/>
      <c r="AK59" s="561"/>
      <c r="AL59" s="552"/>
      <c r="AM59" s="522"/>
      <c r="AN59" s="522"/>
    </row>
    <row r="60" spans="1:51" ht="15.6" customHeight="1" x14ac:dyDescent="0.25">
      <c r="A60" s="522"/>
      <c r="B60" s="560" t="s">
        <v>230</v>
      </c>
      <c r="C60" s="561" t="s">
        <v>230</v>
      </c>
      <c r="D60" s="560">
        <v>656500041</v>
      </c>
      <c r="E60" s="562">
        <v>113</v>
      </c>
      <c r="F60" s="563">
        <v>656</v>
      </c>
      <c r="G60" s="564">
        <v>50000002400</v>
      </c>
      <c r="H60" s="565" t="s">
        <v>217</v>
      </c>
      <c r="I60" s="565">
        <v>212</v>
      </c>
      <c r="J60" s="531">
        <v>0</v>
      </c>
      <c r="K60" s="566"/>
      <c r="L60" s="567">
        <v>50000</v>
      </c>
      <c r="M60" s="567">
        <v>47000</v>
      </c>
      <c r="N60" s="567">
        <v>40831.160000000003</v>
      </c>
      <c r="O60" s="567">
        <v>0</v>
      </c>
      <c r="P60" s="567">
        <v>137831.16</v>
      </c>
      <c r="Q60" s="568">
        <f>R60+S60+T60+U60</f>
        <v>79807</v>
      </c>
      <c r="R60" s="566">
        <v>40000</v>
      </c>
      <c r="S60" s="566">
        <v>39807</v>
      </c>
      <c r="T60" s="566"/>
      <c r="U60" s="566">
        <v>0</v>
      </c>
      <c r="V60" s="569">
        <v>127840.81</v>
      </c>
      <c r="W60" s="566" t="s">
        <v>381</v>
      </c>
      <c r="X60" s="575">
        <f>80000+147680.86</f>
        <v>227680.86</v>
      </c>
      <c r="Y60" s="566"/>
      <c r="Z60" s="566"/>
      <c r="AA60" s="566"/>
      <c r="AB60" s="569">
        <v>200000</v>
      </c>
      <c r="AC60" s="569">
        <v>200000</v>
      </c>
      <c r="AD60" s="566"/>
      <c r="AE60" s="566"/>
      <c r="AF60" s="566"/>
      <c r="AG60" s="566">
        <v>137831.16</v>
      </c>
      <c r="AH60" s="566">
        <v>0</v>
      </c>
      <c r="AI60" s="566"/>
      <c r="AJ60" s="569"/>
      <c r="AK60" s="570">
        <v>1</v>
      </c>
      <c r="AL60" s="552" t="s">
        <v>195</v>
      </c>
      <c r="AM60" s="522"/>
      <c r="AN60" s="522"/>
      <c r="AO60" s="509" t="s">
        <v>628</v>
      </c>
    </row>
    <row r="61" spans="1:51" ht="15.6" customHeight="1" x14ac:dyDescent="0.25">
      <c r="A61" s="522"/>
      <c r="B61" s="561"/>
      <c r="C61" s="561"/>
      <c r="D61" s="560">
        <v>656500043</v>
      </c>
      <c r="E61" s="595"/>
      <c r="F61" s="595"/>
      <c r="G61" s="564">
        <v>50000002400</v>
      </c>
      <c r="H61" s="596">
        <v>851</v>
      </c>
      <c r="I61" s="596">
        <v>290</v>
      </c>
      <c r="J61" s="560"/>
      <c r="K61" s="560"/>
      <c r="L61" s="560"/>
      <c r="M61" s="560"/>
      <c r="N61" s="560"/>
      <c r="O61" s="560"/>
      <c r="P61" s="560"/>
      <c r="Q61" s="560"/>
      <c r="R61" s="560"/>
      <c r="S61" s="560"/>
      <c r="T61" s="560"/>
      <c r="U61" s="560"/>
      <c r="V61" s="568">
        <v>6000</v>
      </c>
      <c r="W61" s="576" t="s">
        <v>223</v>
      </c>
      <c r="X61" s="568"/>
      <c r="Y61" s="560"/>
      <c r="Z61" s="560"/>
      <c r="AA61" s="560"/>
      <c r="AB61" s="568"/>
      <c r="AC61" s="561"/>
      <c r="AD61" s="561"/>
      <c r="AE61" s="561"/>
      <c r="AF61" s="561"/>
      <c r="AG61" s="561"/>
      <c r="AH61" s="561"/>
      <c r="AI61" s="561"/>
      <c r="AJ61" s="561"/>
      <c r="AK61" s="561"/>
      <c r="AL61" s="552"/>
      <c r="AM61" s="522"/>
      <c r="AN61" s="522"/>
    </row>
    <row r="62" spans="1:51" ht="15.6" customHeight="1" x14ac:dyDescent="0.25">
      <c r="A62" s="522"/>
      <c r="B62" s="561"/>
      <c r="C62" s="561"/>
      <c r="D62" s="560">
        <v>656500043</v>
      </c>
      <c r="E62" s="595"/>
      <c r="F62" s="595"/>
      <c r="G62" s="564">
        <v>50000002400</v>
      </c>
      <c r="H62" s="596">
        <v>853</v>
      </c>
      <c r="I62" s="596">
        <v>292</v>
      </c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8">
        <v>17000</v>
      </c>
      <c r="W62" s="576" t="s">
        <v>380</v>
      </c>
      <c r="X62" s="568">
        <v>0</v>
      </c>
      <c r="Y62" s="560"/>
      <c r="Z62" s="560"/>
      <c r="AA62" s="560"/>
      <c r="AB62" s="568"/>
      <c r="AC62" s="569"/>
      <c r="AD62" s="561"/>
      <c r="AE62" s="561"/>
      <c r="AF62" s="561"/>
      <c r="AG62" s="561"/>
      <c r="AH62" s="561"/>
      <c r="AI62" s="561"/>
      <c r="AJ62" s="561"/>
      <c r="AK62" s="561"/>
      <c r="AL62" s="552"/>
      <c r="AM62" s="522"/>
      <c r="AN62" s="522"/>
    </row>
    <row r="63" spans="1:51" ht="15.6" customHeight="1" x14ac:dyDescent="0.25">
      <c r="A63" s="522"/>
      <c r="B63" s="559" t="s">
        <v>212</v>
      </c>
      <c r="C63" s="559"/>
      <c r="D63" s="559"/>
      <c r="E63" s="559"/>
      <c r="F63" s="559"/>
      <c r="G63" s="559"/>
      <c r="H63" s="559"/>
      <c r="I63" s="559"/>
      <c r="J63" s="559"/>
      <c r="K63" s="559"/>
      <c r="L63" s="556">
        <v>50000</v>
      </c>
      <c r="M63" s="556">
        <v>47000</v>
      </c>
      <c r="N63" s="556">
        <v>40831.160000000003</v>
      </c>
      <c r="O63" s="556">
        <v>0</v>
      </c>
      <c r="P63" s="556">
        <v>137831.16</v>
      </c>
      <c r="Q63" s="571">
        <f>R63+S63+T63+U63</f>
        <v>79807</v>
      </c>
      <c r="R63" s="590">
        <f>R60</f>
        <v>40000</v>
      </c>
      <c r="S63" s="590">
        <f>S60</f>
        <v>39807</v>
      </c>
      <c r="T63" s="590">
        <f>T60</f>
        <v>0</v>
      </c>
      <c r="U63" s="590">
        <f>U60</f>
        <v>0</v>
      </c>
      <c r="V63" s="590">
        <f>SUM(V58:V62)</f>
        <v>172640.81</v>
      </c>
      <c r="W63" s="590"/>
      <c r="X63" s="592">
        <f>SUM(X58:X62)</f>
        <v>227608.81999999998</v>
      </c>
      <c r="Y63" s="592"/>
      <c r="Z63" s="592">
        <f>Z60</f>
        <v>0</v>
      </c>
      <c r="AA63" s="592"/>
      <c r="AB63" s="590">
        <f>AB62+AB60</f>
        <v>200000</v>
      </c>
      <c r="AC63" s="590">
        <f>AC62+AC60</f>
        <v>200000</v>
      </c>
      <c r="AD63" s="573"/>
      <c r="AE63" s="573"/>
      <c r="AF63" s="573"/>
      <c r="AG63" s="566">
        <v>137831.16</v>
      </c>
      <c r="AH63" s="566">
        <v>0</v>
      </c>
      <c r="AI63" s="573"/>
      <c r="AJ63" s="573"/>
      <c r="AK63" s="570">
        <v>1</v>
      </c>
      <c r="AL63" s="552" t="s">
        <v>195</v>
      </c>
      <c r="AM63" s="522"/>
      <c r="AN63" s="522"/>
      <c r="AO63" s="511">
        <f>X63+V63</f>
        <v>400249.63</v>
      </c>
    </row>
    <row r="64" spans="1:51" ht="15.6" customHeight="1" x14ac:dyDescent="0.25">
      <c r="A64" s="522"/>
      <c r="B64" s="507"/>
      <c r="C64" s="507"/>
      <c r="D64" s="514" t="s">
        <v>545</v>
      </c>
      <c r="E64" s="534"/>
      <c r="F64" s="534"/>
      <c r="G64" s="534"/>
      <c r="H64" s="534"/>
      <c r="I64" s="534"/>
      <c r="J64" s="535"/>
      <c r="K64" s="512"/>
      <c r="L64" s="507"/>
      <c r="M64" s="507"/>
      <c r="N64" s="507"/>
      <c r="O64" s="507"/>
      <c r="P64" s="507"/>
      <c r="Q64" s="538"/>
      <c r="R64" s="512"/>
      <c r="S64" s="555"/>
      <c r="T64" s="534"/>
      <c r="U64" s="556"/>
      <c r="V64" s="556"/>
      <c r="W64" s="534"/>
      <c r="X64" s="534"/>
      <c r="Y64" s="557"/>
      <c r="Z64" s="557"/>
      <c r="AA64" s="557"/>
      <c r="AB64" s="557"/>
      <c r="AC64" s="557"/>
      <c r="AD64" s="557"/>
      <c r="AE64" s="557"/>
      <c r="AF64" s="557"/>
      <c r="AG64" s="534"/>
      <c r="AH64" s="534"/>
      <c r="AI64" s="534"/>
      <c r="AJ64" s="534"/>
      <c r="AK64" s="534"/>
      <c r="AL64" s="508"/>
      <c r="AM64" s="508"/>
      <c r="AN64" s="508"/>
      <c r="AO64" s="508"/>
      <c r="AP64" s="508"/>
      <c r="AQ64" s="508"/>
      <c r="AR64" s="508"/>
      <c r="AS64" s="512"/>
      <c r="AT64" s="534"/>
      <c r="AU64" s="534"/>
      <c r="AV64" s="534"/>
      <c r="AW64" s="552"/>
      <c r="AX64" s="522"/>
      <c r="AY64" s="522"/>
    </row>
    <row r="65" spans="1:51" ht="15.6" customHeight="1" x14ac:dyDescent="0.25">
      <c r="A65" s="522"/>
      <c r="B65" s="507"/>
      <c r="C65" s="507"/>
      <c r="D65" s="594" t="s">
        <v>229</v>
      </c>
      <c r="E65" s="534"/>
      <c r="F65" s="534"/>
      <c r="G65" s="534"/>
      <c r="H65" s="534"/>
      <c r="I65" s="534"/>
      <c r="J65" s="535"/>
      <c r="K65" s="512"/>
      <c r="L65" s="507"/>
      <c r="M65" s="507"/>
      <c r="N65" s="507"/>
      <c r="O65" s="507"/>
      <c r="P65" s="507"/>
      <c r="Q65" s="538"/>
      <c r="R65" s="512"/>
      <c r="S65" s="555"/>
      <c r="T65" s="534"/>
      <c r="U65" s="556"/>
      <c r="V65" s="556"/>
      <c r="W65" s="534"/>
      <c r="X65" s="534"/>
      <c r="Y65" s="557"/>
      <c r="Z65" s="557"/>
      <c r="AA65" s="557"/>
      <c r="AB65" s="557"/>
      <c r="AC65" s="557"/>
      <c r="AD65" s="557"/>
      <c r="AE65" s="557"/>
      <c r="AF65" s="557"/>
      <c r="AG65" s="534"/>
      <c r="AH65" s="534"/>
      <c r="AI65" s="534"/>
      <c r="AJ65" s="534"/>
      <c r="AK65" s="534"/>
      <c r="AL65" s="508"/>
      <c r="AM65" s="508"/>
      <c r="AN65" s="508"/>
      <c r="AO65" s="508"/>
      <c r="AP65" s="508"/>
      <c r="AQ65" s="508"/>
      <c r="AR65" s="508"/>
      <c r="AS65" s="512"/>
      <c r="AT65" s="534"/>
      <c r="AU65" s="534"/>
      <c r="AV65" s="534"/>
      <c r="AW65" s="552"/>
      <c r="AX65" s="522"/>
      <c r="AY65" s="522"/>
    </row>
    <row r="66" spans="1:51" ht="15.6" customHeight="1" x14ac:dyDescent="0.25">
      <c r="A66" s="522"/>
      <c r="B66" s="560"/>
      <c r="C66" s="561"/>
      <c r="D66" s="560">
        <v>656420011</v>
      </c>
      <c r="E66" s="562"/>
      <c r="F66" s="563"/>
      <c r="G66" s="564">
        <v>42001002400</v>
      </c>
      <c r="H66" s="597">
        <v>244</v>
      </c>
      <c r="I66" s="565">
        <v>226</v>
      </c>
      <c r="J66" s="598"/>
      <c r="K66" s="566"/>
      <c r="L66" s="567"/>
      <c r="M66" s="567"/>
      <c r="N66" s="567"/>
      <c r="O66" s="567"/>
      <c r="P66" s="567"/>
      <c r="Q66" s="568">
        <f>R66+S66+T66+U66</f>
        <v>30000</v>
      </c>
      <c r="R66" s="566">
        <v>30000</v>
      </c>
      <c r="S66" s="566">
        <v>0</v>
      </c>
      <c r="T66" s="566"/>
      <c r="U66" s="566"/>
      <c r="V66" s="569">
        <v>75000</v>
      </c>
      <c r="W66" s="566" t="s">
        <v>246</v>
      </c>
      <c r="X66" s="599"/>
      <c r="Y66" s="599"/>
      <c r="Z66" s="599"/>
      <c r="AA66" s="599"/>
      <c r="AB66" s="599"/>
      <c r="AC66" s="599"/>
      <c r="AD66" s="599"/>
      <c r="AE66" s="599"/>
      <c r="AF66" s="575"/>
      <c r="AG66" s="569"/>
      <c r="AH66" s="569"/>
      <c r="AI66" s="569"/>
      <c r="AJ66" s="569"/>
      <c r="AK66" s="569"/>
      <c r="AL66" s="566"/>
      <c r="AM66" s="566"/>
      <c r="AN66" s="566"/>
      <c r="AO66" s="566"/>
      <c r="AP66" s="566"/>
      <c r="AQ66" s="566"/>
      <c r="AR66" s="569"/>
      <c r="AS66" s="570"/>
      <c r="AT66" s="569"/>
      <c r="AU66" s="569"/>
      <c r="AV66" s="569"/>
      <c r="AW66" s="552"/>
      <c r="AX66" s="522"/>
      <c r="AY66" s="522"/>
    </row>
    <row r="67" spans="1:51" ht="15.6" customHeight="1" x14ac:dyDescent="0.25">
      <c r="A67" s="522"/>
      <c r="B67" s="561"/>
      <c r="C67" s="561"/>
      <c r="D67" s="600" t="s">
        <v>232</v>
      </c>
      <c r="E67" s="600"/>
      <c r="F67" s="600"/>
      <c r="G67" s="600"/>
      <c r="H67" s="600"/>
      <c r="I67" s="600"/>
      <c r="J67" s="600"/>
      <c r="K67" s="600"/>
      <c r="L67" s="600"/>
      <c r="M67" s="600"/>
      <c r="N67" s="600"/>
      <c r="O67" s="600"/>
      <c r="P67" s="600"/>
      <c r="Q67" s="600"/>
      <c r="R67" s="600"/>
      <c r="S67" s="600"/>
      <c r="T67" s="600"/>
      <c r="U67" s="600"/>
      <c r="V67" s="600"/>
      <c r="W67" s="600"/>
      <c r="X67" s="600"/>
      <c r="Y67" s="600"/>
      <c r="Z67" s="600"/>
      <c r="AA67" s="600"/>
      <c r="AB67" s="600"/>
      <c r="AC67" s="600"/>
      <c r="AD67" s="590"/>
      <c r="AE67" s="590"/>
      <c r="AF67" s="590"/>
      <c r="AG67" s="566"/>
      <c r="AH67" s="566"/>
      <c r="AI67" s="590"/>
      <c r="AJ67" s="590"/>
      <c r="AK67" s="570"/>
      <c r="AL67" s="552"/>
      <c r="AM67" s="522"/>
      <c r="AN67" s="522"/>
    </row>
    <row r="68" spans="1:51" ht="15.6" customHeight="1" x14ac:dyDescent="0.25">
      <c r="A68" s="522"/>
      <c r="B68" s="559" t="s">
        <v>233</v>
      </c>
      <c r="C68" s="559"/>
      <c r="D68" s="559"/>
      <c r="E68" s="559"/>
      <c r="F68" s="559"/>
      <c r="G68" s="559"/>
      <c r="H68" s="559"/>
      <c r="I68" s="559"/>
      <c r="J68" s="559"/>
      <c r="K68" s="559"/>
      <c r="L68" s="559"/>
      <c r="M68" s="559"/>
      <c r="N68" s="559"/>
      <c r="O68" s="559"/>
      <c r="P68" s="559"/>
      <c r="Q68" s="559"/>
      <c r="R68" s="559"/>
      <c r="S68" s="559"/>
      <c r="T68" s="559"/>
      <c r="U68" s="559"/>
      <c r="V68" s="559"/>
      <c r="W68" s="559"/>
      <c r="X68" s="559"/>
      <c r="Y68" s="559"/>
      <c r="Z68" s="559"/>
      <c r="AA68" s="559"/>
      <c r="AB68" s="559"/>
      <c r="AC68" s="559"/>
      <c r="AD68" s="559"/>
      <c r="AE68" s="559"/>
      <c r="AF68" s="559"/>
      <c r="AG68" s="559"/>
      <c r="AH68" s="559"/>
      <c r="AI68" s="559"/>
      <c r="AJ68" s="559"/>
      <c r="AK68" s="559"/>
      <c r="AL68" s="552" t="s">
        <v>195</v>
      </c>
      <c r="AM68" s="522"/>
      <c r="AN68" s="522"/>
    </row>
    <row r="69" spans="1:51" ht="15.6" customHeight="1" x14ac:dyDescent="0.25">
      <c r="A69" s="522"/>
      <c r="B69" s="560" t="s">
        <v>233</v>
      </c>
      <c r="C69" s="561" t="s">
        <v>233</v>
      </c>
      <c r="D69" s="560">
        <v>656520073</v>
      </c>
      <c r="E69" s="562">
        <v>113</v>
      </c>
      <c r="F69" s="563">
        <v>656</v>
      </c>
      <c r="G69" s="564">
        <v>5200000590</v>
      </c>
      <c r="H69" s="565" t="s">
        <v>234</v>
      </c>
      <c r="I69" s="565">
        <v>212</v>
      </c>
      <c r="J69" s="598"/>
      <c r="K69" s="566"/>
      <c r="L69" s="567">
        <v>50000</v>
      </c>
      <c r="M69" s="567">
        <v>50000</v>
      </c>
      <c r="N69" s="567">
        <v>-99000</v>
      </c>
      <c r="O69" s="567">
        <v>0</v>
      </c>
      <c r="P69" s="567">
        <v>1000</v>
      </c>
      <c r="Q69" s="568">
        <f>R69+S69+T69+U69</f>
        <v>100000</v>
      </c>
      <c r="R69" s="566">
        <v>50000</v>
      </c>
      <c r="S69" s="566">
        <v>50000</v>
      </c>
      <c r="T69" s="566"/>
      <c r="U69" s="566"/>
      <c r="V69" s="569">
        <v>100000</v>
      </c>
      <c r="W69" s="566" t="s">
        <v>529</v>
      </c>
      <c r="X69" s="575"/>
      <c r="Y69" s="575"/>
      <c r="Z69" s="575"/>
      <c r="AA69" s="575"/>
      <c r="AB69" s="569">
        <f>200000</f>
        <v>200000</v>
      </c>
      <c r="AC69" s="569">
        <v>200000</v>
      </c>
      <c r="AD69" s="566"/>
      <c r="AE69" s="566"/>
      <c r="AF69" s="566"/>
      <c r="AG69" s="566">
        <v>1000</v>
      </c>
      <c r="AH69" s="566">
        <v>0</v>
      </c>
      <c r="AI69" s="566"/>
      <c r="AJ69" s="569"/>
      <c r="AK69" s="570">
        <v>1</v>
      </c>
      <c r="AL69" s="552" t="s">
        <v>195</v>
      </c>
      <c r="AM69" s="522"/>
      <c r="AN69" s="522"/>
      <c r="AO69" s="509" t="s">
        <v>600</v>
      </c>
      <c r="AT69" s="509" t="s">
        <v>382</v>
      </c>
    </row>
    <row r="70" spans="1:51" ht="15.6" customHeight="1" x14ac:dyDescent="0.25">
      <c r="A70" s="522"/>
      <c r="B70" s="559" t="s">
        <v>212</v>
      </c>
      <c r="C70" s="559"/>
      <c r="D70" s="559"/>
      <c r="E70" s="559"/>
      <c r="F70" s="559"/>
      <c r="G70" s="559"/>
      <c r="H70" s="559"/>
      <c r="I70" s="559"/>
      <c r="J70" s="559"/>
      <c r="K70" s="559"/>
      <c r="L70" s="556">
        <v>50000</v>
      </c>
      <c r="M70" s="556">
        <v>50000</v>
      </c>
      <c r="N70" s="556">
        <v>-99000</v>
      </c>
      <c r="O70" s="556">
        <v>0</v>
      </c>
      <c r="P70" s="556">
        <v>1000</v>
      </c>
      <c r="Q70" s="571">
        <f>R70+S70+T70+U70</f>
        <v>100000</v>
      </c>
      <c r="R70" s="591">
        <f>R69</f>
        <v>50000</v>
      </c>
      <c r="S70" s="591">
        <f>S69</f>
        <v>50000</v>
      </c>
      <c r="T70" s="591">
        <f>T69</f>
        <v>0</v>
      </c>
      <c r="U70" s="591"/>
      <c r="V70" s="591">
        <f>V69</f>
        <v>100000</v>
      </c>
      <c r="W70" s="590"/>
      <c r="X70" s="592">
        <f>X69</f>
        <v>0</v>
      </c>
      <c r="Y70" s="592"/>
      <c r="Z70" s="592"/>
      <c r="AA70" s="592"/>
      <c r="AB70" s="591">
        <f>AB69</f>
        <v>200000</v>
      </c>
      <c r="AC70" s="591">
        <f>AC69</f>
        <v>200000</v>
      </c>
      <c r="AD70" s="573"/>
      <c r="AE70" s="573"/>
      <c r="AF70" s="573"/>
      <c r="AG70" s="566">
        <v>1000</v>
      </c>
      <c r="AH70" s="566">
        <v>0</v>
      </c>
      <c r="AI70" s="573"/>
      <c r="AJ70" s="573"/>
      <c r="AK70" s="570">
        <v>1</v>
      </c>
      <c r="AL70" s="552" t="s">
        <v>195</v>
      </c>
      <c r="AM70" s="522"/>
      <c r="AN70" s="522"/>
    </row>
    <row r="71" spans="1:51" ht="15.6" customHeight="1" x14ac:dyDescent="0.25">
      <c r="A71" s="522"/>
      <c r="B71" s="559" t="s">
        <v>235</v>
      </c>
      <c r="C71" s="559"/>
      <c r="D71" s="559"/>
      <c r="E71" s="559"/>
      <c r="F71" s="559"/>
      <c r="G71" s="559"/>
      <c r="H71" s="559"/>
      <c r="I71" s="559"/>
      <c r="J71" s="559"/>
      <c r="K71" s="559"/>
      <c r="L71" s="559"/>
      <c r="M71" s="559"/>
      <c r="N71" s="559"/>
      <c r="O71" s="559"/>
      <c r="P71" s="559"/>
      <c r="Q71" s="559"/>
      <c r="R71" s="559"/>
      <c r="S71" s="559"/>
      <c r="T71" s="559"/>
      <c r="U71" s="559"/>
      <c r="V71" s="559"/>
      <c r="W71" s="559"/>
      <c r="X71" s="559"/>
      <c r="Y71" s="559"/>
      <c r="Z71" s="559"/>
      <c r="AA71" s="559"/>
      <c r="AB71" s="559"/>
      <c r="AC71" s="559"/>
      <c r="AD71" s="559"/>
      <c r="AE71" s="559"/>
      <c r="AF71" s="559"/>
      <c r="AG71" s="559"/>
      <c r="AH71" s="559"/>
      <c r="AI71" s="559"/>
      <c r="AJ71" s="559"/>
      <c r="AK71" s="559"/>
      <c r="AL71" s="552" t="s">
        <v>195</v>
      </c>
      <c r="AM71" s="522"/>
      <c r="AN71" s="522"/>
    </row>
    <row r="72" spans="1:51" ht="15.6" customHeight="1" x14ac:dyDescent="0.25">
      <c r="A72" s="522"/>
      <c r="B72" s="560" t="s">
        <v>235</v>
      </c>
      <c r="C72" s="561" t="s">
        <v>235</v>
      </c>
      <c r="D72" s="560">
        <v>656520072</v>
      </c>
      <c r="E72" s="562">
        <v>113</v>
      </c>
      <c r="F72" s="563">
        <v>656</v>
      </c>
      <c r="G72" s="564">
        <v>5200000590</v>
      </c>
      <c r="H72" s="565" t="s">
        <v>236</v>
      </c>
      <c r="I72" s="565">
        <v>211</v>
      </c>
      <c r="J72" s="598"/>
      <c r="K72" s="566"/>
      <c r="L72" s="567">
        <v>647000</v>
      </c>
      <c r="M72" s="567">
        <v>550000</v>
      </c>
      <c r="N72" s="567">
        <v>408195.4</v>
      </c>
      <c r="O72" s="567">
        <v>580336</v>
      </c>
      <c r="P72" s="567">
        <v>2185531.4</v>
      </c>
      <c r="Q72" s="568">
        <f>R72+S72+T72+U72</f>
        <v>2778065</v>
      </c>
      <c r="R72" s="567">
        <f>668804.6+50000+150000+120729+200000</f>
        <v>1189533.6000000001</v>
      </c>
      <c r="S72" s="567">
        <f>550000+100000-100000</f>
        <v>550000</v>
      </c>
      <c r="T72" s="567">
        <f>408195.4+130000</f>
        <v>538195.4</v>
      </c>
      <c r="U72" s="567">
        <f>580336-50000+100000-130000</f>
        <v>500336</v>
      </c>
      <c r="V72" s="567">
        <v>3342939</v>
      </c>
      <c r="W72" s="566"/>
      <c r="X72" s="566"/>
      <c r="Y72" s="575"/>
      <c r="Z72" s="575"/>
      <c r="AA72" s="568"/>
      <c r="AB72" s="567">
        <f>2700376+1261450</f>
        <v>3961826</v>
      </c>
      <c r="AC72" s="567">
        <f>710776+1261450</f>
        <v>1972226</v>
      </c>
      <c r="AD72" s="566"/>
      <c r="AE72" s="566"/>
      <c r="AF72" s="566"/>
      <c r="AG72" s="566">
        <v>1508967.67</v>
      </c>
      <c r="AH72" s="566">
        <v>20700</v>
      </c>
      <c r="AI72" s="566"/>
      <c r="AJ72" s="569"/>
      <c r="AK72" s="570">
        <v>0.68096375554247346</v>
      </c>
      <c r="AL72" s="552" t="s">
        <v>195</v>
      </c>
      <c r="AM72" s="522"/>
      <c r="AN72" s="522"/>
      <c r="AO72" s="601"/>
    </row>
    <row r="73" spans="1:51" ht="15.6" customHeight="1" x14ac:dyDescent="0.25">
      <c r="A73" s="522"/>
      <c r="B73" s="560" t="s">
        <v>235</v>
      </c>
      <c r="C73" s="561" t="s">
        <v>235</v>
      </c>
      <c r="D73" s="560">
        <v>656520072</v>
      </c>
      <c r="E73" s="562">
        <v>113</v>
      </c>
      <c r="F73" s="563">
        <v>656</v>
      </c>
      <c r="G73" s="564">
        <v>5200000590</v>
      </c>
      <c r="H73" s="565">
        <v>119</v>
      </c>
      <c r="I73" s="565">
        <v>213</v>
      </c>
      <c r="J73" s="598"/>
      <c r="K73" s="566"/>
      <c r="L73" s="567">
        <v>196000</v>
      </c>
      <c r="M73" s="567">
        <v>167000</v>
      </c>
      <c r="N73" s="567">
        <v>130000</v>
      </c>
      <c r="O73" s="567">
        <v>173615</v>
      </c>
      <c r="P73" s="567">
        <v>666615</v>
      </c>
      <c r="Q73" s="568">
        <f>R73+S73+T73+U73</f>
        <v>838975.63000000012</v>
      </c>
      <c r="R73" s="567">
        <f>R72*30.2%</f>
        <v>359239.14720000001</v>
      </c>
      <c r="S73" s="567">
        <f>S72*30.2%</f>
        <v>166100</v>
      </c>
      <c r="T73" s="567">
        <f>T72*30.2%</f>
        <v>162535.01079999999</v>
      </c>
      <c r="U73" s="567">
        <f>U72*30.2%</f>
        <v>151101.47200000001</v>
      </c>
      <c r="V73" s="602">
        <v>910958</v>
      </c>
      <c r="W73" s="566">
        <f>V72+V73</f>
        <v>4253897</v>
      </c>
      <c r="X73" s="575"/>
      <c r="Y73" s="575"/>
      <c r="Z73" s="575"/>
      <c r="AA73" s="575"/>
      <c r="AB73" s="567">
        <f>816000+3.9+380958</f>
        <v>1196961.8999999999</v>
      </c>
      <c r="AC73" s="567">
        <f>816000+380958</f>
        <v>1196958</v>
      </c>
      <c r="AD73" s="566"/>
      <c r="AE73" s="566"/>
      <c r="AF73" s="566"/>
      <c r="AG73" s="566">
        <v>459201.6</v>
      </c>
      <c r="AH73" s="566">
        <v>8362.7999999999993</v>
      </c>
      <c r="AI73" s="566"/>
      <c r="AJ73" s="569"/>
      <c r="AK73" s="570">
        <v>0.67631061407259074</v>
      </c>
      <c r="AL73" s="552" t="s">
        <v>195</v>
      </c>
      <c r="AM73" s="522"/>
      <c r="AN73" s="522"/>
    </row>
    <row r="74" spans="1:51" ht="15.6" customHeight="1" x14ac:dyDescent="0.25">
      <c r="A74" s="522"/>
      <c r="B74" s="560" t="s">
        <v>235</v>
      </c>
      <c r="C74" s="561" t="s">
        <v>235</v>
      </c>
      <c r="D74" s="560">
        <v>656520072</v>
      </c>
      <c r="E74" s="562">
        <v>113</v>
      </c>
      <c r="F74" s="563">
        <v>656</v>
      </c>
      <c r="G74" s="564">
        <v>5200085150</v>
      </c>
      <c r="H74" s="565" t="s">
        <v>236</v>
      </c>
      <c r="I74" s="565">
        <v>211</v>
      </c>
      <c r="J74" s="598"/>
      <c r="K74" s="566"/>
      <c r="L74" s="567">
        <v>647000</v>
      </c>
      <c r="M74" s="567">
        <v>550000</v>
      </c>
      <c r="N74" s="567">
        <v>408195.4</v>
      </c>
      <c r="O74" s="567">
        <v>580336</v>
      </c>
      <c r="P74" s="567">
        <v>2185531.4</v>
      </c>
      <c r="Q74" s="568">
        <f>R74+S74+T74+U74</f>
        <v>2778065</v>
      </c>
      <c r="R74" s="567">
        <f>668804.6+50000+150000+120729+200000</f>
        <v>1189533.6000000001</v>
      </c>
      <c r="S74" s="567">
        <f>550000+100000-100000</f>
        <v>550000</v>
      </c>
      <c r="T74" s="567">
        <f>408195.4+130000</f>
        <v>538195.4</v>
      </c>
      <c r="U74" s="567">
        <f>580336-50000+100000-130000</f>
        <v>500336</v>
      </c>
      <c r="V74" s="567">
        <v>244944</v>
      </c>
      <c r="W74" s="566">
        <f>V74+V75</f>
        <v>336000</v>
      </c>
      <c r="X74" s="575"/>
      <c r="Y74" s="575"/>
      <c r="Z74" s="575"/>
      <c r="AA74" s="575"/>
      <c r="AB74" s="567">
        <f>2700376+1261450</f>
        <v>3961826</v>
      </c>
      <c r="AC74" s="567">
        <f>710776+1261450</f>
        <v>1972226</v>
      </c>
      <c r="AD74" s="566"/>
      <c r="AE74" s="566"/>
      <c r="AF74" s="566"/>
      <c r="AG74" s="566">
        <v>1508967.67</v>
      </c>
      <c r="AH74" s="566">
        <v>20700</v>
      </c>
      <c r="AI74" s="566"/>
      <c r="AJ74" s="569"/>
      <c r="AK74" s="570">
        <v>0.68096375554247346</v>
      </c>
      <c r="AL74" s="552" t="s">
        <v>195</v>
      </c>
      <c r="AM74" s="522"/>
      <c r="AN74" s="522"/>
      <c r="AO74" s="601"/>
    </row>
    <row r="75" spans="1:51" ht="15.6" customHeight="1" x14ac:dyDescent="0.25">
      <c r="A75" s="522"/>
      <c r="B75" s="560" t="s">
        <v>235</v>
      </c>
      <c r="C75" s="561" t="s">
        <v>235</v>
      </c>
      <c r="D75" s="560">
        <v>656520072</v>
      </c>
      <c r="E75" s="562">
        <v>113</v>
      </c>
      <c r="F75" s="563">
        <v>656</v>
      </c>
      <c r="G75" s="564">
        <v>5200085150</v>
      </c>
      <c r="H75" s="565">
        <v>119</v>
      </c>
      <c r="I75" s="565">
        <v>213</v>
      </c>
      <c r="J75" s="598"/>
      <c r="K75" s="566"/>
      <c r="L75" s="567">
        <v>196000</v>
      </c>
      <c r="M75" s="567">
        <v>167000</v>
      </c>
      <c r="N75" s="567">
        <v>130000</v>
      </c>
      <c r="O75" s="567">
        <v>173615</v>
      </c>
      <c r="P75" s="567">
        <v>666615</v>
      </c>
      <c r="Q75" s="568">
        <f>R75+S75+T75+U75</f>
        <v>838975.63000000012</v>
      </c>
      <c r="R75" s="567">
        <f>R74*30.2%</f>
        <v>359239.14720000001</v>
      </c>
      <c r="S75" s="567">
        <f>S74*30.2%</f>
        <v>166100</v>
      </c>
      <c r="T75" s="567">
        <f>T74*30.2%</f>
        <v>162535.01079999999</v>
      </c>
      <c r="U75" s="567">
        <f>U74*30.2%</f>
        <v>151101.47200000001</v>
      </c>
      <c r="V75" s="603">
        <v>91056</v>
      </c>
      <c r="W75" s="566">
        <f>W73+W74</f>
        <v>4589897</v>
      </c>
      <c r="X75" s="575"/>
      <c r="Y75" s="575"/>
      <c r="Z75" s="575"/>
      <c r="AA75" s="575"/>
      <c r="AB75" s="567">
        <f>816000+3.9+380958</f>
        <v>1196961.8999999999</v>
      </c>
      <c r="AC75" s="567">
        <f>816000+380958</f>
        <v>1196958</v>
      </c>
      <c r="AD75" s="566"/>
      <c r="AE75" s="566"/>
      <c r="AF75" s="566"/>
      <c r="AG75" s="566">
        <v>459201.6</v>
      </c>
      <c r="AH75" s="566">
        <v>8362.7999999999993</v>
      </c>
      <c r="AI75" s="566"/>
      <c r="AJ75" s="569"/>
      <c r="AK75" s="570">
        <v>0.67631061407259074</v>
      </c>
      <c r="AL75" s="552" t="s">
        <v>195</v>
      </c>
      <c r="AM75" s="522"/>
      <c r="AN75" s="522"/>
    </row>
    <row r="76" spans="1:51" ht="15.6" customHeight="1" x14ac:dyDescent="0.25">
      <c r="A76" s="522"/>
      <c r="B76" s="559" t="s">
        <v>212</v>
      </c>
      <c r="C76" s="559"/>
      <c r="D76" s="559"/>
      <c r="E76" s="559"/>
      <c r="F76" s="559"/>
      <c r="G76" s="559"/>
      <c r="H76" s="559"/>
      <c r="I76" s="559"/>
      <c r="J76" s="559"/>
      <c r="K76" s="559"/>
      <c r="L76" s="556">
        <v>843000</v>
      </c>
      <c r="M76" s="556">
        <v>717000</v>
      </c>
      <c r="N76" s="556">
        <v>538195.4</v>
      </c>
      <c r="O76" s="556">
        <v>753951</v>
      </c>
      <c r="P76" s="556">
        <v>2852146.4</v>
      </c>
      <c r="Q76" s="571">
        <f>R76+S76+T76+U76</f>
        <v>3617040.63</v>
      </c>
      <c r="R76" s="556">
        <f>R72+R73</f>
        <v>1548772.7472000001</v>
      </c>
      <c r="S76" s="556">
        <f>S72+S73</f>
        <v>716100</v>
      </c>
      <c r="T76" s="556">
        <f>T72+T73</f>
        <v>700730.41079999995</v>
      </c>
      <c r="U76" s="556">
        <f>U72+U73</f>
        <v>651437.47200000007</v>
      </c>
      <c r="V76" s="556">
        <f>V72+V73+V74+V75</f>
        <v>4589897</v>
      </c>
      <c r="W76" s="590"/>
      <c r="X76" s="592">
        <f>X72+X73</f>
        <v>0</v>
      </c>
      <c r="Y76" s="592"/>
      <c r="Z76" s="556"/>
      <c r="AA76" s="592"/>
      <c r="AB76" s="556">
        <f>AB72+AB73</f>
        <v>5158787.9000000004</v>
      </c>
      <c r="AC76" s="556">
        <f>AC72+AC73</f>
        <v>3169184</v>
      </c>
      <c r="AD76" s="573"/>
      <c r="AE76" s="573"/>
      <c r="AF76" s="573"/>
      <c r="AG76" s="566">
        <v>1968169.27</v>
      </c>
      <c r="AH76" s="566">
        <v>29062.799999999999</v>
      </c>
      <c r="AI76" s="573"/>
      <c r="AJ76" s="573"/>
      <c r="AK76" s="570">
        <v>0.67987620481192679</v>
      </c>
      <c r="AL76" s="552" t="s">
        <v>195</v>
      </c>
      <c r="AM76" s="522"/>
      <c r="AN76" s="522"/>
    </row>
    <row r="77" spans="1:51" ht="15.6" customHeight="1" x14ac:dyDescent="0.25">
      <c r="A77" s="522"/>
      <c r="B77" s="559" t="s">
        <v>237</v>
      </c>
      <c r="C77" s="559"/>
      <c r="D77" s="559"/>
      <c r="E77" s="559"/>
      <c r="F77" s="559"/>
      <c r="G77" s="559"/>
      <c r="H77" s="559"/>
      <c r="I77" s="559"/>
      <c r="J77" s="559"/>
      <c r="K77" s="559"/>
      <c r="L77" s="559"/>
      <c r="M77" s="559"/>
      <c r="N77" s="559"/>
      <c r="O77" s="559"/>
      <c r="P77" s="559"/>
      <c r="Q77" s="559"/>
      <c r="R77" s="559"/>
      <c r="S77" s="559"/>
      <c r="T77" s="559"/>
      <c r="U77" s="559"/>
      <c r="V77" s="559"/>
      <c r="W77" s="559"/>
      <c r="X77" s="559"/>
      <c r="Y77" s="559"/>
      <c r="Z77" s="559"/>
      <c r="AA77" s="559"/>
      <c r="AB77" s="559"/>
      <c r="AC77" s="559"/>
      <c r="AD77" s="559"/>
      <c r="AE77" s="559"/>
      <c r="AF77" s="559"/>
      <c r="AG77" s="559"/>
      <c r="AH77" s="559"/>
      <c r="AI77" s="559"/>
      <c r="AJ77" s="559"/>
      <c r="AK77" s="559"/>
      <c r="AL77" s="552" t="s">
        <v>195</v>
      </c>
      <c r="AM77" s="522"/>
      <c r="AN77" s="522"/>
      <c r="AP77" s="517"/>
    </row>
    <row r="78" spans="1:51" ht="15.6" customHeight="1" x14ac:dyDescent="0.25">
      <c r="A78" s="522"/>
      <c r="B78" s="560" t="s">
        <v>237</v>
      </c>
      <c r="C78" s="561" t="s">
        <v>237</v>
      </c>
      <c r="D78" s="560">
        <v>656520074</v>
      </c>
      <c r="E78" s="562">
        <v>113</v>
      </c>
      <c r="F78" s="563">
        <v>656</v>
      </c>
      <c r="G78" s="564">
        <v>5200000590</v>
      </c>
      <c r="H78" s="565" t="s">
        <v>238</v>
      </c>
      <c r="I78" s="565">
        <v>221</v>
      </c>
      <c r="J78" s="598">
        <v>28</v>
      </c>
      <c r="K78" s="566"/>
      <c r="L78" s="567">
        <v>30400</v>
      </c>
      <c r="M78" s="567">
        <v>16700</v>
      </c>
      <c r="N78" s="567">
        <v>16700</v>
      </c>
      <c r="O78" s="567">
        <v>16700</v>
      </c>
      <c r="P78" s="567">
        <v>80500</v>
      </c>
      <c r="Q78" s="568">
        <f t="shared" ref="Q78:Q84" si="1">R78+S78+T78+U78</f>
        <v>37000</v>
      </c>
      <c r="R78" s="604">
        <v>37000</v>
      </c>
      <c r="S78" s="566"/>
      <c r="T78" s="566"/>
      <c r="U78" s="566"/>
      <c r="V78" s="604">
        <v>86404.03</v>
      </c>
      <c r="W78" s="605" t="s">
        <v>666</v>
      </c>
      <c r="X78" s="575">
        <f>(29000+57404.03)/2</f>
        <v>43202.014999999999</v>
      </c>
      <c r="Y78" s="605" t="s">
        <v>697</v>
      </c>
      <c r="Z78" s="575">
        <v>43202.014999999999</v>
      </c>
      <c r="AA78" s="575"/>
      <c r="AB78" s="604">
        <v>50000</v>
      </c>
      <c r="AC78" s="604">
        <v>50000</v>
      </c>
      <c r="AD78" s="566"/>
      <c r="AE78" s="566"/>
      <c r="AF78" s="566"/>
      <c r="AG78" s="566">
        <v>68135.81</v>
      </c>
      <c r="AH78" s="566">
        <v>945.6</v>
      </c>
      <c r="AI78" s="566"/>
      <c r="AJ78" s="569"/>
      <c r="AK78" s="570">
        <v>0.83466099378881997</v>
      </c>
      <c r="AL78" s="552" t="s">
        <v>195</v>
      </c>
      <c r="AM78" s="522"/>
      <c r="AN78" s="522"/>
      <c r="AO78" s="511"/>
      <c r="AP78" s="518"/>
    </row>
    <row r="79" spans="1:51" ht="15.6" customHeight="1" x14ac:dyDescent="0.25">
      <c r="A79" s="522"/>
      <c r="B79" s="560"/>
      <c r="C79" s="561"/>
      <c r="D79" s="560"/>
      <c r="E79" s="562"/>
      <c r="F79" s="563"/>
      <c r="G79" s="564">
        <v>5200000590</v>
      </c>
      <c r="H79" s="565"/>
      <c r="I79" s="565">
        <v>221</v>
      </c>
      <c r="J79" s="598"/>
      <c r="K79" s="566"/>
      <c r="L79" s="567"/>
      <c r="M79" s="567"/>
      <c r="N79" s="567"/>
      <c r="O79" s="567"/>
      <c r="P79" s="567"/>
      <c r="Q79" s="568">
        <f t="shared" si="1"/>
        <v>12000</v>
      </c>
      <c r="R79" s="569">
        <v>12000</v>
      </c>
      <c r="S79" s="566"/>
      <c r="T79" s="566"/>
      <c r="U79" s="566"/>
      <c r="V79" s="569">
        <v>72035.399999999994</v>
      </c>
      <c r="W79" s="605" t="s">
        <v>663</v>
      </c>
      <c r="X79" s="575">
        <f>(24100+7935.4)/2</f>
        <v>16017.7</v>
      </c>
      <c r="Y79" s="605" t="s">
        <v>697</v>
      </c>
      <c r="Z79" s="575">
        <v>16017.7</v>
      </c>
      <c r="AA79" s="575"/>
      <c r="AB79" s="569">
        <v>48000</v>
      </c>
      <c r="AC79" s="569">
        <v>48000</v>
      </c>
      <c r="AD79" s="566"/>
      <c r="AE79" s="566"/>
      <c r="AF79" s="566"/>
      <c r="AG79" s="566"/>
      <c r="AH79" s="566"/>
      <c r="AI79" s="566"/>
      <c r="AJ79" s="569"/>
      <c r="AK79" s="570"/>
      <c r="AL79" s="552"/>
      <c r="AM79" s="522"/>
      <c r="AN79" s="522"/>
    </row>
    <row r="80" spans="1:51" ht="15.6" customHeight="1" x14ac:dyDescent="0.25">
      <c r="A80" s="522"/>
      <c r="B80" s="560"/>
      <c r="C80" s="561"/>
      <c r="D80" s="560"/>
      <c r="E80" s="562"/>
      <c r="F80" s="563"/>
      <c r="G80" s="564">
        <v>5200000590</v>
      </c>
      <c r="H80" s="565"/>
      <c r="I80" s="565">
        <v>221</v>
      </c>
      <c r="J80" s="598"/>
      <c r="K80" s="566"/>
      <c r="L80" s="567"/>
      <c r="M80" s="567"/>
      <c r="N80" s="567"/>
      <c r="O80" s="567"/>
      <c r="P80" s="567"/>
      <c r="Q80" s="568">
        <f t="shared" si="1"/>
        <v>5000</v>
      </c>
      <c r="R80" s="569">
        <v>5000</v>
      </c>
      <c r="S80" s="566"/>
      <c r="T80" s="566"/>
      <c r="U80" s="566"/>
      <c r="V80" s="569">
        <v>50000</v>
      </c>
      <c r="W80" s="605" t="s">
        <v>664</v>
      </c>
      <c r="X80" s="575">
        <f>(17000+33000)/2</f>
        <v>25000</v>
      </c>
      <c r="Y80" s="605" t="s">
        <v>697</v>
      </c>
      <c r="Z80" s="575">
        <v>25000</v>
      </c>
      <c r="AA80" s="575"/>
      <c r="AB80" s="569">
        <v>25000</v>
      </c>
      <c r="AC80" s="569">
        <v>25000</v>
      </c>
      <c r="AD80" s="566"/>
      <c r="AE80" s="566"/>
      <c r="AF80" s="566"/>
      <c r="AG80" s="566"/>
      <c r="AH80" s="566"/>
      <c r="AI80" s="566"/>
      <c r="AJ80" s="569"/>
      <c r="AK80" s="570"/>
      <c r="AL80" s="552"/>
      <c r="AM80" s="522"/>
      <c r="AN80" s="522"/>
    </row>
    <row r="81" spans="1:40" ht="15.6" customHeight="1" x14ac:dyDescent="0.25">
      <c r="A81" s="522"/>
      <c r="B81" s="560"/>
      <c r="C81" s="561"/>
      <c r="D81" s="560"/>
      <c r="E81" s="562"/>
      <c r="F81" s="563"/>
      <c r="G81" s="564">
        <v>5200000590</v>
      </c>
      <c r="H81" s="565"/>
      <c r="I81" s="565">
        <v>221</v>
      </c>
      <c r="J81" s="598"/>
      <c r="K81" s="566"/>
      <c r="L81" s="567"/>
      <c r="M81" s="567"/>
      <c r="N81" s="567"/>
      <c r="O81" s="567"/>
      <c r="P81" s="567"/>
      <c r="Q81" s="568">
        <f t="shared" si="1"/>
        <v>6000</v>
      </c>
      <c r="R81" s="569">
        <v>6000</v>
      </c>
      <c r="S81" s="566"/>
      <c r="T81" s="566"/>
      <c r="U81" s="566"/>
      <c r="V81" s="569">
        <v>5000</v>
      </c>
      <c r="W81" s="605" t="s">
        <v>665</v>
      </c>
      <c r="X81" s="575">
        <f>1700+3300</f>
        <v>5000</v>
      </c>
      <c r="Y81" s="575"/>
      <c r="Z81" s="575"/>
      <c r="AA81" s="575"/>
      <c r="AB81" s="569">
        <v>12000</v>
      </c>
      <c r="AC81" s="569">
        <v>12000</v>
      </c>
      <c r="AD81" s="566"/>
      <c r="AE81" s="566"/>
      <c r="AF81" s="566"/>
      <c r="AG81" s="566"/>
      <c r="AH81" s="566"/>
      <c r="AI81" s="566"/>
      <c r="AJ81" s="569"/>
      <c r="AK81" s="570"/>
      <c r="AL81" s="552"/>
      <c r="AM81" s="522"/>
      <c r="AN81" s="522"/>
    </row>
    <row r="82" spans="1:40" ht="15.6" customHeight="1" x14ac:dyDescent="0.25">
      <c r="A82" s="522"/>
      <c r="B82" s="560"/>
      <c r="C82" s="561"/>
      <c r="D82" s="560"/>
      <c r="E82" s="562"/>
      <c r="F82" s="563"/>
      <c r="G82" s="564">
        <v>5200000590</v>
      </c>
      <c r="H82" s="565"/>
      <c r="I82" s="565">
        <v>221</v>
      </c>
      <c r="J82" s="598"/>
      <c r="K82" s="566"/>
      <c r="L82" s="567"/>
      <c r="M82" s="567"/>
      <c r="N82" s="567"/>
      <c r="O82" s="567"/>
      <c r="P82" s="567"/>
      <c r="Q82" s="568">
        <f t="shared" si="1"/>
        <v>0</v>
      </c>
      <c r="R82" s="566"/>
      <c r="S82" s="566"/>
      <c r="T82" s="566"/>
      <c r="U82" s="566"/>
      <c r="V82" s="569">
        <v>5000</v>
      </c>
      <c r="W82" s="605" t="s">
        <v>640</v>
      </c>
      <c r="X82" s="575">
        <f>1700+3300</f>
        <v>5000</v>
      </c>
      <c r="Y82" s="575"/>
      <c r="Z82" s="575"/>
      <c r="AA82" s="575"/>
      <c r="AB82" s="569">
        <v>3000</v>
      </c>
      <c r="AC82" s="569">
        <v>3000</v>
      </c>
      <c r="AD82" s="566"/>
      <c r="AE82" s="566"/>
      <c r="AF82" s="566"/>
      <c r="AG82" s="566"/>
      <c r="AH82" s="566"/>
      <c r="AI82" s="566"/>
      <c r="AJ82" s="569"/>
      <c r="AK82" s="570"/>
      <c r="AL82" s="552"/>
      <c r="AM82" s="522"/>
      <c r="AN82" s="522"/>
    </row>
    <row r="83" spans="1:40" ht="15.6" customHeight="1" x14ac:dyDescent="0.25">
      <c r="A83" s="522"/>
      <c r="B83" s="560"/>
      <c r="C83" s="561"/>
      <c r="D83" s="560"/>
      <c r="E83" s="562"/>
      <c r="F83" s="563"/>
      <c r="G83" s="564">
        <v>5200000590</v>
      </c>
      <c r="H83" s="565"/>
      <c r="I83" s="565">
        <v>221</v>
      </c>
      <c r="J83" s="598"/>
      <c r="K83" s="566"/>
      <c r="L83" s="567"/>
      <c r="M83" s="567"/>
      <c r="N83" s="567"/>
      <c r="O83" s="567"/>
      <c r="P83" s="567"/>
      <c r="Q83" s="568"/>
      <c r="R83" s="566"/>
      <c r="S83" s="566"/>
      <c r="T83" s="566"/>
      <c r="U83" s="566"/>
      <c r="V83" s="569">
        <f>-218439.43+198000</f>
        <v>-20439.429999999993</v>
      </c>
      <c r="W83" s="605" t="s">
        <v>686</v>
      </c>
      <c r="X83" s="575">
        <v>20439.43</v>
      </c>
      <c r="Y83" s="575"/>
      <c r="Z83" s="575"/>
      <c r="AA83" s="575"/>
      <c r="AB83" s="569"/>
      <c r="AC83" s="569"/>
      <c r="AD83" s="566"/>
      <c r="AE83" s="566"/>
      <c r="AF83" s="566"/>
      <c r="AG83" s="566"/>
      <c r="AH83" s="566"/>
      <c r="AI83" s="566"/>
      <c r="AJ83" s="569"/>
      <c r="AK83" s="570"/>
      <c r="AL83" s="552"/>
      <c r="AM83" s="522"/>
      <c r="AN83" s="522"/>
    </row>
    <row r="84" spans="1:40" ht="15.6" customHeight="1" x14ac:dyDescent="0.25">
      <c r="A84" s="522"/>
      <c r="B84" s="559" t="s">
        <v>212</v>
      </c>
      <c r="C84" s="559"/>
      <c r="D84" s="559"/>
      <c r="E84" s="559"/>
      <c r="F84" s="559"/>
      <c r="G84" s="559"/>
      <c r="H84" s="559"/>
      <c r="I84" s="559"/>
      <c r="J84" s="559"/>
      <c r="K84" s="559"/>
      <c r="L84" s="556">
        <v>30400</v>
      </c>
      <c r="M84" s="556">
        <v>16700</v>
      </c>
      <c r="N84" s="556">
        <v>16700</v>
      </c>
      <c r="O84" s="556">
        <v>16700</v>
      </c>
      <c r="P84" s="556">
        <v>80500</v>
      </c>
      <c r="Q84" s="571">
        <f t="shared" si="1"/>
        <v>60000</v>
      </c>
      <c r="R84" s="590">
        <f>SUM(R78:R82)</f>
        <v>60000</v>
      </c>
      <c r="S84" s="582">
        <f>SUM(S78:S82)</f>
        <v>0</v>
      </c>
      <c r="T84" s="590">
        <f>SUM(T78:T82)</f>
        <v>0</v>
      </c>
      <c r="U84" s="582">
        <f>SUM(U78:U82)</f>
        <v>0</v>
      </c>
      <c r="V84" s="591">
        <f>SUM(V78:V83)</f>
        <v>198000</v>
      </c>
      <c r="W84" s="590"/>
      <c r="X84" s="591">
        <f>SUM(X78:X83)</f>
        <v>114659.14499999999</v>
      </c>
      <c r="Y84" s="592">
        <f>V84+X84</f>
        <v>312659.14500000002</v>
      </c>
      <c r="Z84" s="591">
        <f>SUM(Z78:Z83)</f>
        <v>84219.714999999997</v>
      </c>
      <c r="AA84" s="592" t="s">
        <v>620</v>
      </c>
      <c r="AB84" s="591">
        <f>SUM(AB78:AB82)</f>
        <v>138000</v>
      </c>
      <c r="AC84" s="591">
        <f>SUM(AC78:AC82)</f>
        <v>138000</v>
      </c>
      <c r="AD84" s="573"/>
      <c r="AE84" s="573"/>
      <c r="AF84" s="573"/>
      <c r="AG84" s="566">
        <v>68135.81</v>
      </c>
      <c r="AH84" s="566">
        <v>945.6</v>
      </c>
      <c r="AI84" s="573"/>
      <c r="AJ84" s="573"/>
      <c r="AK84" s="570">
        <v>0.83466099378881997</v>
      </c>
      <c r="AL84" s="552" t="s">
        <v>195</v>
      </c>
      <c r="AM84" s="522"/>
      <c r="AN84" s="522"/>
    </row>
    <row r="85" spans="1:40" ht="15.6" customHeight="1" x14ac:dyDescent="0.25">
      <c r="A85" s="522"/>
      <c r="B85" s="559" t="s">
        <v>239</v>
      </c>
      <c r="C85" s="559"/>
      <c r="D85" s="559"/>
      <c r="E85" s="559"/>
      <c r="F85" s="559"/>
      <c r="G85" s="559"/>
      <c r="H85" s="559"/>
      <c r="I85" s="559"/>
      <c r="J85" s="559"/>
      <c r="K85" s="559"/>
      <c r="L85" s="559"/>
      <c r="M85" s="559"/>
      <c r="N85" s="559"/>
      <c r="O85" s="559"/>
      <c r="P85" s="559"/>
      <c r="Q85" s="559"/>
      <c r="R85" s="559"/>
      <c r="S85" s="559"/>
      <c r="T85" s="559"/>
      <c r="U85" s="559"/>
      <c r="V85" s="559"/>
      <c r="W85" s="559"/>
      <c r="X85" s="559"/>
      <c r="Y85" s="559"/>
      <c r="Z85" s="559"/>
      <c r="AA85" s="559"/>
      <c r="AB85" s="559"/>
      <c r="AC85" s="559"/>
      <c r="AD85" s="559"/>
      <c r="AE85" s="559"/>
      <c r="AF85" s="559"/>
      <c r="AG85" s="559"/>
      <c r="AH85" s="559"/>
      <c r="AI85" s="559"/>
      <c r="AJ85" s="559"/>
      <c r="AK85" s="559"/>
      <c r="AL85" s="552" t="s">
        <v>195</v>
      </c>
      <c r="AM85" s="522"/>
      <c r="AN85" s="522"/>
    </row>
    <row r="86" spans="1:40" s="519" customFormat="1" ht="15.6" customHeight="1" x14ac:dyDescent="0.25">
      <c r="A86" s="606"/>
      <c r="B86" s="561" t="s">
        <v>239</v>
      </c>
      <c r="C86" s="561" t="s">
        <v>239</v>
      </c>
      <c r="D86" s="560">
        <v>656520075</v>
      </c>
      <c r="E86" s="607">
        <v>113</v>
      </c>
      <c r="F86" s="608">
        <v>656</v>
      </c>
      <c r="G86" s="564">
        <v>5200000590</v>
      </c>
      <c r="H86" s="609" t="s">
        <v>234</v>
      </c>
      <c r="I86" s="609">
        <v>212</v>
      </c>
      <c r="J86" s="610"/>
      <c r="K86" s="590"/>
      <c r="L86" s="556">
        <v>10000</v>
      </c>
      <c r="M86" s="556">
        <v>10000</v>
      </c>
      <c r="N86" s="556">
        <v>-4156.92</v>
      </c>
      <c r="O86" s="556">
        <v>0</v>
      </c>
      <c r="P86" s="556">
        <v>15843.08</v>
      </c>
      <c r="Q86" s="568">
        <f t="shared" ref="Q86:Q134" si="2">R86+S86+T86+U86</f>
        <v>10000</v>
      </c>
      <c r="R86" s="590">
        <v>2500</v>
      </c>
      <c r="S86" s="590">
        <v>2500</v>
      </c>
      <c r="T86" s="590">
        <v>2500</v>
      </c>
      <c r="U86" s="590">
        <v>2500</v>
      </c>
      <c r="V86" s="591">
        <v>0</v>
      </c>
      <c r="W86" s="590" t="s">
        <v>240</v>
      </c>
      <c r="X86" s="592"/>
      <c r="Y86" s="592"/>
      <c r="Z86" s="592"/>
      <c r="AA86" s="592"/>
      <c r="AB86" s="591"/>
      <c r="AC86" s="591"/>
      <c r="AD86" s="590"/>
      <c r="AE86" s="590"/>
      <c r="AF86" s="590"/>
      <c r="AG86" s="590">
        <v>4200</v>
      </c>
      <c r="AH86" s="590">
        <v>1000</v>
      </c>
      <c r="AI86" s="590"/>
      <c r="AJ86" s="591"/>
      <c r="AK86" s="611">
        <v>0.20198092795087824</v>
      </c>
      <c r="AL86" s="612" t="s">
        <v>195</v>
      </c>
      <c r="AM86" s="606"/>
      <c r="AN86" s="606"/>
    </row>
    <row r="87" spans="1:40" ht="15.6" customHeight="1" x14ac:dyDescent="0.25">
      <c r="A87" s="522"/>
      <c r="B87" s="560" t="s">
        <v>239</v>
      </c>
      <c r="C87" s="561" t="s">
        <v>239</v>
      </c>
      <c r="D87" s="560">
        <v>656520075</v>
      </c>
      <c r="E87" s="562">
        <v>113</v>
      </c>
      <c r="F87" s="563">
        <v>656</v>
      </c>
      <c r="G87" s="564">
        <v>5200000590</v>
      </c>
      <c r="H87" s="565" t="s">
        <v>219</v>
      </c>
      <c r="I87" s="565">
        <v>223</v>
      </c>
      <c r="J87" s="598"/>
      <c r="K87" s="566"/>
      <c r="L87" s="567">
        <v>138000</v>
      </c>
      <c r="M87" s="567">
        <v>50600</v>
      </c>
      <c r="N87" s="567">
        <v>-4409.7</v>
      </c>
      <c r="O87" s="567">
        <v>50600</v>
      </c>
      <c r="P87" s="567">
        <v>234790.3</v>
      </c>
      <c r="Q87" s="568">
        <f t="shared" si="2"/>
        <v>60000</v>
      </c>
      <c r="R87" s="566">
        <v>60000</v>
      </c>
      <c r="S87" s="566">
        <v>0</v>
      </c>
      <c r="T87" s="566">
        <v>0</v>
      </c>
      <c r="U87" s="566">
        <v>0</v>
      </c>
      <c r="V87" s="569">
        <v>184874.56</v>
      </c>
      <c r="W87" s="567" t="s">
        <v>667</v>
      </c>
      <c r="X87" s="575"/>
      <c r="Y87" s="575"/>
      <c r="Z87" s="575"/>
      <c r="AA87" s="575"/>
      <c r="AB87" s="569">
        <v>183500</v>
      </c>
      <c r="AC87" s="569">
        <v>183500</v>
      </c>
      <c r="AD87" s="566"/>
      <c r="AE87" s="566"/>
      <c r="AF87" s="566"/>
      <c r="AG87" s="566">
        <v>87425.13</v>
      </c>
      <c r="AH87" s="566">
        <v>0</v>
      </c>
      <c r="AI87" s="566"/>
      <c r="AJ87" s="569"/>
      <c r="AK87" s="570">
        <v>0.37235409640006401</v>
      </c>
      <c r="AL87" s="552" t="s">
        <v>195</v>
      </c>
      <c r="AM87" s="522"/>
      <c r="AN87" s="522"/>
    </row>
    <row r="88" spans="1:40" ht="15.6" customHeight="1" x14ac:dyDescent="0.25">
      <c r="A88" s="522"/>
      <c r="B88" s="560"/>
      <c r="C88" s="561"/>
      <c r="D88" s="560"/>
      <c r="E88" s="562"/>
      <c r="F88" s="563"/>
      <c r="G88" s="564">
        <v>5200000590</v>
      </c>
      <c r="H88" s="565"/>
      <c r="I88" s="565">
        <v>223</v>
      </c>
      <c r="J88" s="598"/>
      <c r="K88" s="566"/>
      <c r="L88" s="567"/>
      <c r="M88" s="567"/>
      <c r="N88" s="567"/>
      <c r="O88" s="567"/>
      <c r="P88" s="567"/>
      <c r="Q88" s="568">
        <f t="shared" si="2"/>
        <v>5000</v>
      </c>
      <c r="R88" s="566">
        <v>5000</v>
      </c>
      <c r="S88" s="566">
        <v>0</v>
      </c>
      <c r="T88" s="566">
        <v>0</v>
      </c>
      <c r="U88" s="566">
        <v>0</v>
      </c>
      <c r="V88" s="569">
        <v>6969.38</v>
      </c>
      <c r="W88" s="567" t="s">
        <v>668</v>
      </c>
      <c r="X88" s="575"/>
      <c r="Y88" s="575"/>
      <c r="Z88" s="575"/>
      <c r="AA88" s="575"/>
      <c r="AB88" s="569">
        <v>10000</v>
      </c>
      <c r="AC88" s="569">
        <v>10000</v>
      </c>
      <c r="AD88" s="566"/>
      <c r="AE88" s="566"/>
      <c r="AF88" s="566"/>
      <c r="AG88" s="566"/>
      <c r="AH88" s="566"/>
      <c r="AI88" s="566"/>
      <c r="AJ88" s="569"/>
      <c r="AK88" s="570"/>
      <c r="AL88" s="552"/>
      <c r="AM88" s="522"/>
      <c r="AN88" s="522"/>
    </row>
    <row r="89" spans="1:40" ht="15.6" customHeight="1" x14ac:dyDescent="0.25">
      <c r="A89" s="522"/>
      <c r="B89" s="560"/>
      <c r="C89" s="561"/>
      <c r="D89" s="560"/>
      <c r="E89" s="562"/>
      <c r="F89" s="563"/>
      <c r="G89" s="564">
        <v>5200000590</v>
      </c>
      <c r="H89" s="565"/>
      <c r="I89" s="565">
        <v>223</v>
      </c>
      <c r="J89" s="598"/>
      <c r="K89" s="566"/>
      <c r="L89" s="567"/>
      <c r="M89" s="567"/>
      <c r="N89" s="567"/>
      <c r="O89" s="567"/>
      <c r="P89" s="567"/>
      <c r="Q89" s="568">
        <f t="shared" si="2"/>
        <v>10000</v>
      </c>
      <c r="R89" s="566">
        <v>10000</v>
      </c>
      <c r="S89" s="566">
        <v>0</v>
      </c>
      <c r="T89" s="566">
        <v>0</v>
      </c>
      <c r="U89" s="566">
        <v>0</v>
      </c>
      <c r="V89" s="569">
        <v>8950.5400000000009</v>
      </c>
      <c r="W89" s="567" t="s">
        <v>668</v>
      </c>
      <c r="X89" s="575"/>
      <c r="Y89" s="575"/>
      <c r="Z89" s="575"/>
      <c r="AA89" s="575"/>
      <c r="AB89" s="569">
        <v>32000</v>
      </c>
      <c r="AC89" s="569">
        <v>32000</v>
      </c>
      <c r="AD89" s="566"/>
      <c r="AE89" s="566"/>
      <c r="AF89" s="566"/>
      <c r="AG89" s="566"/>
      <c r="AH89" s="566"/>
      <c r="AI89" s="566"/>
      <c r="AJ89" s="569"/>
      <c r="AK89" s="570"/>
      <c r="AL89" s="552"/>
      <c r="AM89" s="522"/>
      <c r="AN89" s="522"/>
    </row>
    <row r="90" spans="1:40" ht="15.6" customHeight="1" x14ac:dyDescent="0.25">
      <c r="A90" s="522"/>
      <c r="B90" s="560"/>
      <c r="C90" s="561"/>
      <c r="D90" s="560"/>
      <c r="E90" s="562"/>
      <c r="F90" s="563"/>
      <c r="G90" s="564">
        <v>5200000590</v>
      </c>
      <c r="H90" s="565"/>
      <c r="I90" s="565">
        <v>223</v>
      </c>
      <c r="J90" s="598"/>
      <c r="K90" s="566"/>
      <c r="L90" s="567"/>
      <c r="M90" s="567"/>
      <c r="N90" s="567"/>
      <c r="O90" s="567"/>
      <c r="P90" s="567"/>
      <c r="Q90" s="568">
        <f t="shared" si="2"/>
        <v>36000</v>
      </c>
      <c r="R90" s="566">
        <v>20000</v>
      </c>
      <c r="S90" s="566">
        <v>16000</v>
      </c>
      <c r="T90" s="566">
        <v>0</v>
      </c>
      <c r="U90" s="566">
        <v>0</v>
      </c>
      <c r="V90" s="569">
        <v>41753.17</v>
      </c>
      <c r="W90" s="567" t="s">
        <v>669</v>
      </c>
      <c r="X90" s="575"/>
      <c r="Y90" s="575"/>
      <c r="Z90" s="575"/>
      <c r="AA90" s="575"/>
      <c r="AB90" s="569">
        <v>40000</v>
      </c>
      <c r="AC90" s="569">
        <v>40000</v>
      </c>
      <c r="AD90" s="566"/>
      <c r="AE90" s="566"/>
      <c r="AF90" s="566"/>
      <c r="AG90" s="566"/>
      <c r="AH90" s="566"/>
      <c r="AI90" s="566"/>
      <c r="AJ90" s="569"/>
      <c r="AK90" s="570"/>
      <c r="AL90" s="552"/>
      <c r="AM90" s="522"/>
      <c r="AN90" s="522"/>
    </row>
    <row r="91" spans="1:40" ht="15.6" customHeight="1" x14ac:dyDescent="0.25">
      <c r="A91" s="522"/>
      <c r="B91" s="560"/>
      <c r="C91" s="561"/>
      <c r="D91" s="560"/>
      <c r="E91" s="562"/>
      <c r="F91" s="563"/>
      <c r="G91" s="564"/>
      <c r="H91" s="565"/>
      <c r="I91" s="565"/>
      <c r="J91" s="598"/>
      <c r="K91" s="566"/>
      <c r="L91" s="567"/>
      <c r="M91" s="567"/>
      <c r="N91" s="567"/>
      <c r="O91" s="567"/>
      <c r="P91" s="567"/>
      <c r="Q91" s="568"/>
      <c r="R91" s="566"/>
      <c r="S91" s="566"/>
      <c r="T91" s="566"/>
      <c r="U91" s="566"/>
      <c r="V91" s="569">
        <f>275078.11-V87-V88-V89-V90</f>
        <v>32530.459999999977</v>
      </c>
      <c r="W91" s="567" t="s">
        <v>707</v>
      </c>
      <c r="X91" s="575"/>
      <c r="Y91" s="575"/>
      <c r="Z91" s="575"/>
      <c r="AA91" s="575"/>
      <c r="AB91" s="569"/>
      <c r="AC91" s="569"/>
      <c r="AD91" s="566"/>
      <c r="AE91" s="566"/>
      <c r="AF91" s="566"/>
      <c r="AG91" s="566"/>
      <c r="AH91" s="566"/>
      <c r="AI91" s="566"/>
      <c r="AJ91" s="569"/>
      <c r="AK91" s="570"/>
      <c r="AL91" s="552"/>
      <c r="AM91" s="522"/>
      <c r="AN91" s="522"/>
    </row>
    <row r="92" spans="1:40" ht="15.6" customHeight="1" x14ac:dyDescent="0.25">
      <c r="A92" s="522"/>
      <c r="B92" s="560"/>
      <c r="C92" s="561"/>
      <c r="D92" s="561" t="s">
        <v>241</v>
      </c>
      <c r="E92" s="607"/>
      <c r="F92" s="608"/>
      <c r="G92" s="564"/>
      <c r="H92" s="609"/>
      <c r="I92" s="609">
        <v>223</v>
      </c>
      <c r="J92" s="610"/>
      <c r="K92" s="590"/>
      <c r="L92" s="556"/>
      <c r="M92" s="556"/>
      <c r="N92" s="556"/>
      <c r="O92" s="556"/>
      <c r="P92" s="556"/>
      <c r="Q92" s="571">
        <f t="shared" si="2"/>
        <v>111000</v>
      </c>
      <c r="R92" s="591">
        <f>R87+R88+R89+R90</f>
        <v>95000</v>
      </c>
      <c r="S92" s="591">
        <f>S87+S88+S89+S90</f>
        <v>16000</v>
      </c>
      <c r="T92" s="591">
        <f>T87+T88+T89+T90</f>
        <v>0</v>
      </c>
      <c r="U92" s="591">
        <f>U87+U88+U89+U90</f>
        <v>0</v>
      </c>
      <c r="V92" s="591">
        <f>V87+V88+V89+V90+V91</f>
        <v>275078.11</v>
      </c>
      <c r="W92" s="590"/>
      <c r="X92" s="591"/>
      <c r="Y92" s="592"/>
      <c r="Z92" s="592"/>
      <c r="AA92" s="592"/>
      <c r="AB92" s="591">
        <f>(AB87+AB88+AB89+AB90)</f>
        <v>265500</v>
      </c>
      <c r="AC92" s="591">
        <f>(AC87+AC88+AC89+AC90)</f>
        <v>265500</v>
      </c>
      <c r="AD92" s="566"/>
      <c r="AE92" s="566"/>
      <c r="AF92" s="566"/>
      <c r="AG92" s="566"/>
      <c r="AH92" s="566"/>
      <c r="AI92" s="566"/>
      <c r="AJ92" s="569"/>
      <c r="AK92" s="570"/>
      <c r="AL92" s="552"/>
      <c r="AM92" s="522"/>
      <c r="AN92" s="522"/>
    </row>
    <row r="93" spans="1:40" s="519" customFormat="1" ht="15.6" customHeight="1" x14ac:dyDescent="0.25">
      <c r="A93" s="606"/>
      <c r="B93" s="561"/>
      <c r="C93" s="561"/>
      <c r="D93" s="560">
        <v>656520075</v>
      </c>
      <c r="E93" s="562">
        <v>113</v>
      </c>
      <c r="F93" s="563">
        <v>656</v>
      </c>
      <c r="G93" s="564">
        <v>5200000590</v>
      </c>
      <c r="H93" s="565" t="s">
        <v>219</v>
      </c>
      <c r="I93" s="565">
        <v>225</v>
      </c>
      <c r="J93" s="598"/>
      <c r="K93" s="566"/>
      <c r="L93" s="567">
        <v>135097</v>
      </c>
      <c r="M93" s="567">
        <v>43200</v>
      </c>
      <c r="N93" s="567">
        <v>60000</v>
      </c>
      <c r="O93" s="567">
        <v>60000</v>
      </c>
      <c r="P93" s="567">
        <v>298297</v>
      </c>
      <c r="Q93" s="568">
        <f t="shared" si="2"/>
        <v>40000</v>
      </c>
      <c r="R93" s="569">
        <v>40000</v>
      </c>
      <c r="S93" s="566"/>
      <c r="T93" s="566">
        <v>0</v>
      </c>
      <c r="U93" s="566"/>
      <c r="V93" s="569">
        <v>0</v>
      </c>
      <c r="W93" s="566"/>
      <c r="X93" s="575">
        <v>20000</v>
      </c>
      <c r="Y93" s="566" t="s">
        <v>550</v>
      </c>
      <c r="Z93" s="575">
        <v>20000</v>
      </c>
      <c r="AA93" s="575"/>
      <c r="AB93" s="569">
        <v>50000</v>
      </c>
      <c r="AC93" s="569">
        <v>50000</v>
      </c>
      <c r="AD93" s="590"/>
      <c r="AE93" s="590"/>
      <c r="AF93" s="590"/>
      <c r="AG93" s="590"/>
      <c r="AH93" s="590"/>
      <c r="AI93" s="590"/>
      <c r="AJ93" s="591"/>
      <c r="AK93" s="611"/>
      <c r="AL93" s="612"/>
      <c r="AM93" s="606"/>
      <c r="AN93" s="606"/>
    </row>
    <row r="94" spans="1:40" ht="15.6" customHeight="1" x14ac:dyDescent="0.25">
      <c r="A94" s="522"/>
      <c r="B94" s="560" t="s">
        <v>239</v>
      </c>
      <c r="C94" s="561" t="s">
        <v>239</v>
      </c>
      <c r="D94" s="560"/>
      <c r="E94" s="562"/>
      <c r="F94" s="563"/>
      <c r="G94" s="564">
        <v>5200000590</v>
      </c>
      <c r="H94" s="565"/>
      <c r="I94" s="565">
        <v>225</v>
      </c>
      <c r="J94" s="598"/>
      <c r="K94" s="566"/>
      <c r="L94" s="567"/>
      <c r="M94" s="567"/>
      <c r="N94" s="567"/>
      <c r="O94" s="567"/>
      <c r="P94" s="567"/>
      <c r="Q94" s="568">
        <f>R94+S94+T94+U94</f>
        <v>15000</v>
      </c>
      <c r="R94" s="569">
        <v>15000</v>
      </c>
      <c r="S94" s="566"/>
      <c r="T94" s="566"/>
      <c r="U94" s="566"/>
      <c r="V94" s="569">
        <v>68864.03</v>
      </c>
      <c r="W94" s="567" t="s">
        <v>670</v>
      </c>
      <c r="X94" s="575">
        <f>36870.39-20000</f>
        <v>16870.39</v>
      </c>
      <c r="Y94" s="575" t="s">
        <v>671</v>
      </c>
      <c r="Z94" s="575"/>
      <c r="AA94" s="575"/>
      <c r="AB94" s="569">
        <v>20000</v>
      </c>
      <c r="AC94" s="569">
        <v>20000</v>
      </c>
      <c r="AD94" s="566"/>
      <c r="AE94" s="566"/>
      <c r="AF94" s="566"/>
      <c r="AG94" s="566">
        <v>127037.93</v>
      </c>
      <c r="AH94" s="566">
        <v>0</v>
      </c>
      <c r="AI94" s="566"/>
      <c r="AJ94" s="569"/>
      <c r="AK94" s="570">
        <v>0.42587733031173619</v>
      </c>
      <c r="AL94" s="552" t="s">
        <v>195</v>
      </c>
      <c r="AM94" s="522"/>
      <c r="AN94" s="522"/>
    </row>
    <row r="95" spans="1:40" ht="15.6" customHeight="1" x14ac:dyDescent="0.25">
      <c r="A95" s="522"/>
      <c r="B95" s="560"/>
      <c r="C95" s="561"/>
      <c r="D95" s="560"/>
      <c r="E95" s="562"/>
      <c r="F95" s="563"/>
      <c r="G95" s="564">
        <v>5200000590</v>
      </c>
      <c r="H95" s="565"/>
      <c r="I95" s="565">
        <v>225</v>
      </c>
      <c r="J95" s="598"/>
      <c r="K95" s="566"/>
      <c r="L95" s="567"/>
      <c r="M95" s="567"/>
      <c r="N95" s="567"/>
      <c r="O95" s="567"/>
      <c r="P95" s="567"/>
      <c r="Q95" s="568">
        <f t="shared" si="2"/>
        <v>10000</v>
      </c>
      <c r="R95" s="569">
        <v>10000</v>
      </c>
      <c r="S95" s="566"/>
      <c r="T95" s="566"/>
      <c r="U95" s="566"/>
      <c r="V95" s="569">
        <v>60000</v>
      </c>
      <c r="W95" s="566" t="s">
        <v>672</v>
      </c>
      <c r="X95" s="575"/>
      <c r="Y95" s="575"/>
      <c r="Z95" s="575"/>
      <c r="AA95" s="575"/>
      <c r="AB95" s="569">
        <v>20000</v>
      </c>
      <c r="AC95" s="569">
        <v>20000</v>
      </c>
      <c r="AD95" s="566"/>
      <c r="AE95" s="566"/>
      <c r="AF95" s="566"/>
      <c r="AG95" s="566"/>
      <c r="AH95" s="566"/>
      <c r="AI95" s="566"/>
      <c r="AJ95" s="569"/>
      <c r="AK95" s="570"/>
      <c r="AL95" s="552"/>
      <c r="AM95" s="522"/>
      <c r="AN95" s="522"/>
    </row>
    <row r="96" spans="1:40" ht="15.6" customHeight="1" x14ac:dyDescent="0.25">
      <c r="A96" s="522"/>
      <c r="B96" s="560"/>
      <c r="C96" s="561"/>
      <c r="D96" s="560"/>
      <c r="E96" s="562"/>
      <c r="F96" s="563"/>
      <c r="G96" s="564">
        <v>5200000590</v>
      </c>
      <c r="H96" s="565"/>
      <c r="I96" s="565">
        <v>225</v>
      </c>
      <c r="J96" s="598"/>
      <c r="K96" s="566"/>
      <c r="L96" s="567"/>
      <c r="M96" s="567"/>
      <c r="N96" s="567"/>
      <c r="O96" s="567"/>
      <c r="P96" s="567"/>
      <c r="Q96" s="568">
        <f t="shared" si="2"/>
        <v>35000</v>
      </c>
      <c r="R96" s="569">
        <v>35000</v>
      </c>
      <c r="S96" s="566"/>
      <c r="T96" s="566"/>
      <c r="U96" s="566"/>
      <c r="V96" s="569">
        <v>20000</v>
      </c>
      <c r="W96" s="567" t="s">
        <v>551</v>
      </c>
      <c r="X96" s="575">
        <v>10000</v>
      </c>
      <c r="Y96" s="575" t="s">
        <v>673</v>
      </c>
      <c r="Z96" s="575">
        <v>10000</v>
      </c>
      <c r="AA96" s="575"/>
      <c r="AB96" s="569">
        <v>12000</v>
      </c>
      <c r="AC96" s="569">
        <v>12000</v>
      </c>
      <c r="AD96" s="566"/>
      <c r="AE96" s="566"/>
      <c r="AF96" s="566"/>
      <c r="AG96" s="566"/>
      <c r="AH96" s="566"/>
      <c r="AI96" s="566"/>
      <c r="AJ96" s="569"/>
      <c r="AK96" s="570"/>
      <c r="AL96" s="552"/>
      <c r="AM96" s="522"/>
      <c r="AN96" s="522"/>
    </row>
    <row r="97" spans="1:40" ht="15.6" customHeight="1" x14ac:dyDescent="0.25">
      <c r="A97" s="522"/>
      <c r="B97" s="560"/>
      <c r="C97" s="561"/>
      <c r="D97" s="560"/>
      <c r="E97" s="562"/>
      <c r="F97" s="563"/>
      <c r="G97" s="564">
        <v>5200000590</v>
      </c>
      <c r="H97" s="565"/>
      <c r="I97" s="565">
        <v>225</v>
      </c>
      <c r="J97" s="598"/>
      <c r="K97" s="566"/>
      <c r="L97" s="567"/>
      <c r="M97" s="567"/>
      <c r="N97" s="567"/>
      <c r="O97" s="567"/>
      <c r="P97" s="567"/>
      <c r="Q97" s="568">
        <f t="shared" si="2"/>
        <v>15000</v>
      </c>
      <c r="R97" s="569">
        <v>15000</v>
      </c>
      <c r="S97" s="566"/>
      <c r="T97" s="566"/>
      <c r="U97" s="566"/>
      <c r="V97" s="569">
        <v>0</v>
      </c>
      <c r="W97" s="567" t="s">
        <v>242</v>
      </c>
      <c r="X97" s="575"/>
      <c r="Y97" s="575"/>
      <c r="Z97" s="575"/>
      <c r="AA97" s="575"/>
      <c r="AB97" s="569">
        <v>5000</v>
      </c>
      <c r="AC97" s="569">
        <v>5000</v>
      </c>
      <c r="AD97" s="566"/>
      <c r="AE97" s="566"/>
      <c r="AF97" s="566"/>
      <c r="AG97" s="566"/>
      <c r="AH97" s="566"/>
      <c r="AI97" s="566"/>
      <c r="AJ97" s="569"/>
      <c r="AK97" s="570"/>
      <c r="AL97" s="552"/>
      <c r="AM97" s="522"/>
      <c r="AN97" s="522"/>
    </row>
    <row r="98" spans="1:40" ht="15.6" customHeight="1" x14ac:dyDescent="0.25">
      <c r="A98" s="522"/>
      <c r="B98" s="560"/>
      <c r="C98" s="561"/>
      <c r="D98" s="560"/>
      <c r="E98" s="562"/>
      <c r="F98" s="563"/>
      <c r="G98" s="564">
        <v>5200000590</v>
      </c>
      <c r="H98" s="565"/>
      <c r="I98" s="565">
        <v>225</v>
      </c>
      <c r="J98" s="598"/>
      <c r="K98" s="566"/>
      <c r="L98" s="567"/>
      <c r="M98" s="567"/>
      <c r="N98" s="567"/>
      <c r="O98" s="567"/>
      <c r="P98" s="567"/>
      <c r="Q98" s="568">
        <f t="shared" si="2"/>
        <v>6000</v>
      </c>
      <c r="R98" s="569">
        <v>6000</v>
      </c>
      <c r="S98" s="566"/>
      <c r="T98" s="566"/>
      <c r="U98" s="566"/>
      <c r="V98" s="569">
        <v>30300</v>
      </c>
      <c r="W98" s="567" t="s">
        <v>669</v>
      </c>
      <c r="X98" s="575">
        <v>1500</v>
      </c>
      <c r="Y98" s="575" t="s">
        <v>674</v>
      </c>
      <c r="Z98" s="575"/>
      <c r="AA98" s="575"/>
      <c r="AB98" s="569"/>
      <c r="AC98" s="569"/>
      <c r="AD98" s="566"/>
      <c r="AE98" s="566"/>
      <c r="AF98" s="566"/>
      <c r="AG98" s="566"/>
      <c r="AH98" s="566"/>
      <c r="AI98" s="566"/>
      <c r="AJ98" s="569"/>
      <c r="AK98" s="570"/>
      <c r="AL98" s="552"/>
      <c r="AM98" s="522"/>
      <c r="AN98" s="522"/>
    </row>
    <row r="99" spans="1:40" ht="15.6" customHeight="1" x14ac:dyDescent="0.25">
      <c r="A99" s="522"/>
      <c r="B99" s="560"/>
      <c r="C99" s="561"/>
      <c r="D99" s="560"/>
      <c r="E99" s="562"/>
      <c r="F99" s="563"/>
      <c r="G99" s="564">
        <v>5200000590</v>
      </c>
      <c r="H99" s="565"/>
      <c r="I99" s="565">
        <v>225</v>
      </c>
      <c r="J99" s="598"/>
      <c r="K99" s="566"/>
      <c r="L99" s="567"/>
      <c r="M99" s="567"/>
      <c r="N99" s="567"/>
      <c r="O99" s="567"/>
      <c r="P99" s="567"/>
      <c r="Q99" s="568">
        <f>R99+S99+T99+U99</f>
        <v>66000</v>
      </c>
      <c r="R99" s="569">
        <v>66000</v>
      </c>
      <c r="S99" s="566"/>
      <c r="T99" s="566"/>
      <c r="U99" s="566"/>
      <c r="V99" s="569">
        <v>42763.199999999997</v>
      </c>
      <c r="W99" s="567" t="s">
        <v>669</v>
      </c>
      <c r="X99" s="575"/>
      <c r="Y99" s="575"/>
      <c r="Z99" s="575"/>
      <c r="AA99" s="575"/>
      <c r="AB99" s="569">
        <v>26940</v>
      </c>
      <c r="AC99" s="569">
        <v>26940</v>
      </c>
      <c r="AD99" s="566"/>
      <c r="AE99" s="566"/>
      <c r="AF99" s="566"/>
      <c r="AG99" s="566"/>
      <c r="AH99" s="566"/>
      <c r="AI99" s="566"/>
      <c r="AJ99" s="569"/>
      <c r="AK99" s="570"/>
      <c r="AL99" s="552"/>
      <c r="AM99" s="522"/>
      <c r="AN99" s="522"/>
    </row>
    <row r="100" spans="1:40" ht="15.6" customHeight="1" x14ac:dyDescent="0.25">
      <c r="A100" s="522"/>
      <c r="B100" s="560"/>
      <c r="C100" s="561"/>
      <c r="D100" s="560"/>
      <c r="E100" s="562"/>
      <c r="F100" s="563"/>
      <c r="G100" s="564">
        <v>5200000590</v>
      </c>
      <c r="H100" s="565"/>
      <c r="I100" s="565">
        <v>225</v>
      </c>
      <c r="J100" s="598"/>
      <c r="K100" s="566"/>
      <c r="L100" s="567"/>
      <c r="M100" s="567"/>
      <c r="N100" s="567"/>
      <c r="O100" s="567"/>
      <c r="P100" s="567"/>
      <c r="Q100" s="568">
        <f t="shared" si="2"/>
        <v>15000</v>
      </c>
      <c r="R100" s="569">
        <v>15000</v>
      </c>
      <c r="S100" s="566"/>
      <c r="T100" s="566"/>
      <c r="U100" s="566"/>
      <c r="V100" s="569">
        <v>30261.200000000001</v>
      </c>
      <c r="W100" s="567" t="s">
        <v>669</v>
      </c>
      <c r="X100" s="575">
        <v>19242.18</v>
      </c>
      <c r="Y100" s="575" t="s">
        <v>675</v>
      </c>
      <c r="Z100" s="575"/>
      <c r="AA100" s="575"/>
      <c r="AB100" s="569">
        <v>27500</v>
      </c>
      <c r="AC100" s="569">
        <v>27500</v>
      </c>
      <c r="AD100" s="566"/>
      <c r="AE100" s="566"/>
      <c r="AF100" s="566"/>
      <c r="AG100" s="566"/>
      <c r="AH100" s="566"/>
      <c r="AI100" s="566"/>
      <c r="AJ100" s="569"/>
      <c r="AK100" s="570"/>
      <c r="AL100" s="552"/>
      <c r="AM100" s="522"/>
      <c r="AN100" s="522"/>
    </row>
    <row r="101" spans="1:40" ht="15.6" customHeight="1" x14ac:dyDescent="0.25">
      <c r="A101" s="522"/>
      <c r="B101" s="560"/>
      <c r="C101" s="561"/>
      <c r="D101" s="560"/>
      <c r="E101" s="562"/>
      <c r="F101" s="563"/>
      <c r="G101" s="564">
        <v>5200000590</v>
      </c>
      <c r="H101" s="565"/>
      <c r="I101" s="565">
        <v>225</v>
      </c>
      <c r="J101" s="598"/>
      <c r="K101" s="566"/>
      <c r="L101" s="567"/>
      <c r="M101" s="567"/>
      <c r="N101" s="567"/>
      <c r="O101" s="567"/>
      <c r="P101" s="567"/>
      <c r="Q101" s="568">
        <f>R101+S101+T101+U101</f>
        <v>66000</v>
      </c>
      <c r="R101" s="569">
        <v>66000</v>
      </c>
      <c r="S101" s="566"/>
      <c r="T101" s="566"/>
      <c r="U101" s="566"/>
      <c r="V101" s="569">
        <v>70000</v>
      </c>
      <c r="W101" s="575" t="s">
        <v>243</v>
      </c>
      <c r="X101" s="575">
        <v>39820.86</v>
      </c>
      <c r="Y101" s="575" t="s">
        <v>243</v>
      </c>
      <c r="Z101" s="575"/>
      <c r="AA101" s="575"/>
      <c r="AB101" s="569">
        <v>0</v>
      </c>
      <c r="AC101" s="569">
        <v>0</v>
      </c>
      <c r="AD101" s="566"/>
      <c r="AE101" s="566"/>
      <c r="AF101" s="566"/>
      <c r="AG101" s="566"/>
      <c r="AH101" s="566"/>
      <c r="AI101" s="566"/>
      <c r="AJ101" s="569"/>
      <c r="AK101" s="570"/>
      <c r="AL101" s="552"/>
      <c r="AM101" s="522"/>
      <c r="AN101" s="522"/>
    </row>
    <row r="102" spans="1:40" ht="15.6" customHeight="1" x14ac:dyDescent="0.25">
      <c r="A102" s="522"/>
      <c r="B102" s="560"/>
      <c r="C102" s="561"/>
      <c r="D102" s="560"/>
      <c r="E102" s="562"/>
      <c r="F102" s="563"/>
      <c r="G102" s="564">
        <v>5200000590</v>
      </c>
      <c r="H102" s="565"/>
      <c r="I102" s="565">
        <v>225</v>
      </c>
      <c r="J102" s="598"/>
      <c r="K102" s="566"/>
      <c r="L102" s="567"/>
      <c r="M102" s="567"/>
      <c r="N102" s="567"/>
      <c r="O102" s="567"/>
      <c r="P102" s="567"/>
      <c r="Q102" s="568">
        <f>R102+S102+T102+U102</f>
        <v>15000</v>
      </c>
      <c r="R102" s="569">
        <v>15000</v>
      </c>
      <c r="S102" s="566"/>
      <c r="T102" s="566"/>
      <c r="U102" s="566"/>
      <c r="V102" s="569">
        <v>15000</v>
      </c>
      <c r="W102" s="567" t="s">
        <v>687</v>
      </c>
      <c r="X102" s="575"/>
      <c r="Y102" s="575"/>
      <c r="Z102" s="575"/>
      <c r="AA102" s="575"/>
      <c r="AB102" s="569">
        <v>20000</v>
      </c>
      <c r="AC102" s="569">
        <v>20000</v>
      </c>
      <c r="AD102" s="566"/>
      <c r="AE102" s="566"/>
      <c r="AF102" s="566"/>
      <c r="AG102" s="566"/>
      <c r="AH102" s="566"/>
      <c r="AI102" s="566"/>
      <c r="AJ102" s="569"/>
      <c r="AK102" s="570"/>
      <c r="AL102" s="552"/>
      <c r="AM102" s="522"/>
      <c r="AN102" s="522"/>
    </row>
    <row r="103" spans="1:40" ht="15.6" customHeight="1" x14ac:dyDescent="0.25">
      <c r="A103" s="522"/>
      <c r="B103" s="560"/>
      <c r="C103" s="561"/>
      <c r="D103" s="560"/>
      <c r="E103" s="562"/>
      <c r="F103" s="563"/>
      <c r="G103" s="564"/>
      <c r="H103" s="565"/>
      <c r="I103" s="565"/>
      <c r="J103" s="598"/>
      <c r="K103" s="566"/>
      <c r="L103" s="567"/>
      <c r="M103" s="567"/>
      <c r="N103" s="567"/>
      <c r="O103" s="567"/>
      <c r="P103" s="567"/>
      <c r="Q103" s="568"/>
      <c r="R103" s="569"/>
      <c r="S103" s="566"/>
      <c r="T103" s="566"/>
      <c r="U103" s="566"/>
      <c r="V103" s="569">
        <f>V104-V94-V95-V96-V97-V98-V99-V100-V101-V102</f>
        <v>-117433.43</v>
      </c>
      <c r="W103" s="567" t="s">
        <v>641</v>
      </c>
      <c r="X103" s="575"/>
      <c r="Y103" s="575"/>
      <c r="Z103" s="575"/>
      <c r="AA103" s="575"/>
      <c r="AB103" s="569"/>
      <c r="AC103" s="569"/>
      <c r="AD103" s="566"/>
      <c r="AE103" s="566"/>
      <c r="AF103" s="566"/>
      <c r="AG103" s="566"/>
      <c r="AH103" s="566"/>
      <c r="AI103" s="566"/>
      <c r="AJ103" s="569"/>
      <c r="AK103" s="570"/>
      <c r="AL103" s="552"/>
      <c r="AM103" s="522"/>
      <c r="AN103" s="522"/>
    </row>
    <row r="104" spans="1:40" ht="15.6" customHeight="1" x14ac:dyDescent="0.25">
      <c r="A104" s="522"/>
      <c r="B104" s="560"/>
      <c r="C104" s="561"/>
      <c r="D104" s="561" t="s">
        <v>244</v>
      </c>
      <c r="E104" s="607"/>
      <c r="F104" s="608"/>
      <c r="G104" s="564"/>
      <c r="H104" s="609"/>
      <c r="I104" s="609"/>
      <c r="J104" s="610"/>
      <c r="K104" s="590"/>
      <c r="L104" s="556"/>
      <c r="M104" s="556"/>
      <c r="N104" s="556"/>
      <c r="O104" s="556"/>
      <c r="P104" s="556"/>
      <c r="Q104" s="571">
        <f t="shared" si="2"/>
        <v>202000</v>
      </c>
      <c r="R104" s="591">
        <f>R93+R94+R95+R96+R97+R99+R100+R98</f>
        <v>202000</v>
      </c>
      <c r="S104" s="591">
        <f>S93+S94+S95+S96+S97+S99+S100+S98</f>
        <v>0</v>
      </c>
      <c r="T104" s="591">
        <f>T93+T94+T95+T96+T97+T99+T100+T98</f>
        <v>0</v>
      </c>
      <c r="U104" s="591">
        <f>U93+U94+U95+U96+U97+U99+U100+U98</f>
        <v>0</v>
      </c>
      <c r="V104" s="591">
        <v>219755</v>
      </c>
      <c r="W104" s="590"/>
      <c r="X104" s="591">
        <f>SUM(X93:X103)</f>
        <v>107433.43000000001</v>
      </c>
      <c r="Y104" s="592"/>
      <c r="Z104" s="592"/>
      <c r="AA104" s="592"/>
      <c r="AB104" s="591">
        <f>AB93+AB94+AB95+AB96+AB97+AB99+AB100+AB98+AB101+AB102</f>
        <v>181440</v>
      </c>
      <c r="AC104" s="591">
        <f>AC93+AC94+AC95+AC96+AC97+AC99+AC100+AC98+AC101+AC102</f>
        <v>181440</v>
      </c>
      <c r="AD104" s="566"/>
      <c r="AE104" s="566"/>
      <c r="AF104" s="566"/>
      <c r="AG104" s="566"/>
      <c r="AH104" s="566"/>
      <c r="AI104" s="566"/>
      <c r="AJ104" s="569"/>
      <c r="AK104" s="570"/>
      <c r="AL104" s="552"/>
      <c r="AM104" s="522"/>
      <c r="AN104" s="522"/>
    </row>
    <row r="105" spans="1:40" s="519" customFormat="1" ht="15.6" customHeight="1" x14ac:dyDescent="0.25">
      <c r="A105" s="606"/>
      <c r="B105" s="561"/>
      <c r="C105" s="561"/>
      <c r="D105" s="560">
        <v>656520075</v>
      </c>
      <c r="E105" s="562">
        <v>113</v>
      </c>
      <c r="F105" s="563">
        <v>656</v>
      </c>
      <c r="G105" s="564">
        <v>5200000590</v>
      </c>
      <c r="H105" s="565" t="s">
        <v>219</v>
      </c>
      <c r="I105" s="565">
        <v>226</v>
      </c>
      <c r="J105" s="598"/>
      <c r="K105" s="566"/>
      <c r="L105" s="567">
        <v>140000</v>
      </c>
      <c r="M105" s="567">
        <v>50000</v>
      </c>
      <c r="N105" s="567">
        <v>75682.070000000007</v>
      </c>
      <c r="O105" s="567">
        <v>6040</v>
      </c>
      <c r="P105" s="567">
        <v>271722.07</v>
      </c>
      <c r="Q105" s="568">
        <f t="shared" si="2"/>
        <v>70000</v>
      </c>
      <c r="R105" s="569">
        <v>70000</v>
      </c>
      <c r="S105" s="566"/>
      <c r="T105" s="566"/>
      <c r="U105" s="566">
        <v>0</v>
      </c>
      <c r="V105" s="569">
        <v>248923.5</v>
      </c>
      <c r="W105" s="567" t="s">
        <v>676</v>
      </c>
      <c r="X105" s="575"/>
      <c r="Y105" s="575"/>
      <c r="Z105" s="575"/>
      <c r="AA105" s="575"/>
      <c r="AB105" s="569">
        <v>60000</v>
      </c>
      <c r="AC105" s="569">
        <v>60000</v>
      </c>
      <c r="AD105" s="590"/>
      <c r="AE105" s="590"/>
      <c r="AF105" s="590"/>
      <c r="AG105" s="590"/>
      <c r="AH105" s="590"/>
      <c r="AI105" s="590"/>
      <c r="AJ105" s="591"/>
      <c r="AK105" s="611"/>
      <c r="AL105" s="612"/>
      <c r="AM105" s="606"/>
      <c r="AN105" s="606"/>
    </row>
    <row r="106" spans="1:40" ht="15.6" customHeight="1" x14ac:dyDescent="0.25">
      <c r="A106" s="522"/>
      <c r="B106" s="560" t="s">
        <v>239</v>
      </c>
      <c r="C106" s="561" t="s">
        <v>239</v>
      </c>
      <c r="D106" s="560"/>
      <c r="E106" s="562"/>
      <c r="F106" s="563"/>
      <c r="G106" s="564">
        <v>5200000590</v>
      </c>
      <c r="H106" s="565"/>
      <c r="I106" s="565">
        <v>226</v>
      </c>
      <c r="J106" s="598"/>
      <c r="K106" s="566"/>
      <c r="L106" s="567"/>
      <c r="M106" s="567"/>
      <c r="N106" s="567"/>
      <c r="O106" s="567"/>
      <c r="P106" s="567"/>
      <c r="Q106" s="568">
        <f t="shared" si="2"/>
        <v>11400</v>
      </c>
      <c r="R106" s="566">
        <v>11400</v>
      </c>
      <c r="S106" s="566"/>
      <c r="T106" s="566">
        <v>0</v>
      </c>
      <c r="U106" s="566"/>
      <c r="V106" s="569">
        <v>104857.5</v>
      </c>
      <c r="W106" s="567" t="s">
        <v>677</v>
      </c>
      <c r="X106" s="575"/>
      <c r="Y106" s="568"/>
      <c r="Z106" s="575"/>
      <c r="AA106" s="575"/>
      <c r="AB106" s="569">
        <f>150000+12540</f>
        <v>162540</v>
      </c>
      <c r="AC106" s="569">
        <f>150000+25840</f>
        <v>175840</v>
      </c>
      <c r="AD106" s="566"/>
      <c r="AE106" s="566"/>
      <c r="AF106" s="566"/>
      <c r="AG106" s="566">
        <v>266022.71000000002</v>
      </c>
      <c r="AH106" s="566">
        <v>0</v>
      </c>
      <c r="AI106" s="566"/>
      <c r="AJ106" s="569"/>
      <c r="AK106" s="570">
        <v>0.97902503834156762</v>
      </c>
      <c r="AL106" s="552" t="s">
        <v>195</v>
      </c>
      <c r="AM106" s="522"/>
      <c r="AN106" s="522"/>
    </row>
    <row r="107" spans="1:40" ht="15.6" customHeight="1" x14ac:dyDescent="0.25">
      <c r="A107" s="522"/>
      <c r="B107" s="560"/>
      <c r="C107" s="561"/>
      <c r="D107" s="560"/>
      <c r="E107" s="562"/>
      <c r="F107" s="563"/>
      <c r="G107" s="564">
        <v>5200000590</v>
      </c>
      <c r="H107" s="565"/>
      <c r="I107" s="565">
        <v>226</v>
      </c>
      <c r="J107" s="598"/>
      <c r="K107" s="566"/>
      <c r="L107" s="567"/>
      <c r="M107" s="567"/>
      <c r="N107" s="567"/>
      <c r="O107" s="567"/>
      <c r="P107" s="567"/>
      <c r="Q107" s="568">
        <f t="shared" si="2"/>
        <v>8000</v>
      </c>
      <c r="R107" s="566">
        <v>8000</v>
      </c>
      <c r="S107" s="566">
        <v>0</v>
      </c>
      <c r="T107" s="566">
        <v>0</v>
      </c>
      <c r="U107" s="566">
        <v>0</v>
      </c>
      <c r="V107" s="569">
        <v>65000</v>
      </c>
      <c r="W107" s="567" t="s">
        <v>678</v>
      </c>
      <c r="X107" s="575"/>
      <c r="Y107" s="575"/>
      <c r="Z107" s="575"/>
      <c r="AA107" s="575"/>
      <c r="AB107" s="569">
        <v>60000</v>
      </c>
      <c r="AC107" s="569">
        <v>60000</v>
      </c>
      <c r="AD107" s="566"/>
      <c r="AE107" s="566"/>
      <c r="AF107" s="566"/>
      <c r="AG107" s="566"/>
      <c r="AH107" s="566"/>
      <c r="AI107" s="566"/>
      <c r="AJ107" s="569"/>
      <c r="AK107" s="570"/>
      <c r="AL107" s="552"/>
      <c r="AM107" s="522"/>
      <c r="AN107" s="522"/>
    </row>
    <row r="108" spans="1:40" ht="15.6" customHeight="1" x14ac:dyDescent="0.25">
      <c r="A108" s="522"/>
      <c r="B108" s="560"/>
      <c r="C108" s="561"/>
      <c r="D108" s="560"/>
      <c r="E108" s="562"/>
      <c r="F108" s="563"/>
      <c r="G108" s="564">
        <v>5200000590</v>
      </c>
      <c r="H108" s="565"/>
      <c r="I108" s="565">
        <v>226</v>
      </c>
      <c r="J108" s="598"/>
      <c r="K108" s="566"/>
      <c r="L108" s="567"/>
      <c r="M108" s="567"/>
      <c r="N108" s="567"/>
      <c r="O108" s="567"/>
      <c r="P108" s="567"/>
      <c r="Q108" s="568">
        <f t="shared" si="2"/>
        <v>9000</v>
      </c>
      <c r="R108" s="566">
        <v>2250</v>
      </c>
      <c r="S108" s="566">
        <v>2250</v>
      </c>
      <c r="T108" s="566">
        <v>2250</v>
      </c>
      <c r="U108" s="566">
        <v>2250</v>
      </c>
      <c r="V108" s="569">
        <v>13884</v>
      </c>
      <c r="W108" s="567" t="s">
        <v>245</v>
      </c>
      <c r="X108" s="575"/>
      <c r="Y108" s="575"/>
      <c r="Z108" s="575"/>
      <c r="AA108" s="575"/>
      <c r="AB108" s="569">
        <v>10000</v>
      </c>
      <c r="AC108" s="569">
        <v>10000</v>
      </c>
      <c r="AD108" s="566"/>
      <c r="AE108" s="566"/>
      <c r="AF108" s="566"/>
      <c r="AG108" s="566"/>
      <c r="AH108" s="566"/>
      <c r="AI108" s="566"/>
      <c r="AJ108" s="569"/>
      <c r="AK108" s="570"/>
      <c r="AL108" s="552"/>
      <c r="AM108" s="522"/>
      <c r="AN108" s="522"/>
    </row>
    <row r="109" spans="1:40" ht="15.6" customHeight="1" x14ac:dyDescent="0.25">
      <c r="A109" s="522"/>
      <c r="B109" s="560"/>
      <c r="C109" s="561"/>
      <c r="D109" s="560"/>
      <c r="E109" s="562"/>
      <c r="F109" s="563"/>
      <c r="G109" s="564">
        <v>5200000590</v>
      </c>
      <c r="H109" s="565"/>
      <c r="I109" s="565">
        <v>226</v>
      </c>
      <c r="J109" s="598"/>
      <c r="K109" s="566"/>
      <c r="L109" s="567"/>
      <c r="M109" s="567"/>
      <c r="N109" s="567"/>
      <c r="O109" s="567"/>
      <c r="P109" s="567"/>
      <c r="Q109" s="568">
        <f t="shared" si="2"/>
        <v>6000</v>
      </c>
      <c r="R109" s="566">
        <v>6000</v>
      </c>
      <c r="S109" s="566"/>
      <c r="T109" s="566"/>
      <c r="U109" s="566"/>
      <c r="V109" s="569">
        <v>15360</v>
      </c>
      <c r="W109" s="566" t="s">
        <v>679</v>
      </c>
      <c r="X109" s="575"/>
      <c r="Y109" s="575"/>
      <c r="Z109" s="575"/>
      <c r="AA109" s="575"/>
      <c r="AB109" s="569">
        <v>5000</v>
      </c>
      <c r="AC109" s="569">
        <v>5000</v>
      </c>
      <c r="AD109" s="566"/>
      <c r="AE109" s="566"/>
      <c r="AF109" s="566"/>
      <c r="AG109" s="566"/>
      <c r="AH109" s="566"/>
      <c r="AI109" s="566"/>
      <c r="AJ109" s="569"/>
      <c r="AK109" s="570"/>
      <c r="AL109" s="552"/>
      <c r="AM109" s="522"/>
      <c r="AN109" s="522"/>
    </row>
    <row r="110" spans="1:40" ht="15.6" customHeight="1" x14ac:dyDescent="0.25">
      <c r="A110" s="522"/>
      <c r="B110" s="560"/>
      <c r="C110" s="561"/>
      <c r="D110" s="560"/>
      <c r="E110" s="562"/>
      <c r="F110" s="563"/>
      <c r="G110" s="564">
        <v>5200000590</v>
      </c>
      <c r="H110" s="565"/>
      <c r="I110" s="565">
        <v>226</v>
      </c>
      <c r="J110" s="598"/>
      <c r="K110" s="566"/>
      <c r="L110" s="567"/>
      <c r="M110" s="567"/>
      <c r="N110" s="567"/>
      <c r="O110" s="567"/>
      <c r="P110" s="567"/>
      <c r="Q110" s="568">
        <f t="shared" si="2"/>
        <v>30000</v>
      </c>
      <c r="R110" s="566">
        <v>30000</v>
      </c>
      <c r="S110" s="566">
        <v>0</v>
      </c>
      <c r="T110" s="566"/>
      <c r="U110" s="566"/>
      <c r="V110" s="569">
        <v>52619.4</v>
      </c>
      <c r="W110" s="566" t="s">
        <v>642</v>
      </c>
      <c r="X110" s="575"/>
      <c r="Y110" s="575"/>
      <c r="Z110" s="575"/>
      <c r="AA110" s="575"/>
      <c r="AB110" s="569">
        <v>0</v>
      </c>
      <c r="AC110" s="569">
        <v>0</v>
      </c>
      <c r="AD110" s="566"/>
      <c r="AE110" s="566"/>
      <c r="AF110" s="566"/>
      <c r="AG110" s="566"/>
      <c r="AH110" s="566"/>
      <c r="AI110" s="566"/>
      <c r="AJ110" s="569"/>
      <c r="AK110" s="570"/>
      <c r="AL110" s="552"/>
      <c r="AM110" s="522"/>
      <c r="AN110" s="522"/>
    </row>
    <row r="111" spans="1:40" ht="15.6" customHeight="1" x14ac:dyDescent="0.25">
      <c r="A111" s="522"/>
      <c r="B111" s="560"/>
      <c r="C111" s="561"/>
      <c r="D111" s="560"/>
      <c r="E111" s="562"/>
      <c r="F111" s="563"/>
      <c r="G111" s="564">
        <v>5200000590</v>
      </c>
      <c r="H111" s="565"/>
      <c r="I111" s="565">
        <v>226</v>
      </c>
      <c r="J111" s="598"/>
      <c r="K111" s="566"/>
      <c r="L111" s="567"/>
      <c r="M111" s="567"/>
      <c r="N111" s="567"/>
      <c r="O111" s="567"/>
      <c r="P111" s="567"/>
      <c r="Q111" s="568">
        <f t="shared" si="2"/>
        <v>52620</v>
      </c>
      <c r="R111" s="566">
        <v>13155</v>
      </c>
      <c r="S111" s="566">
        <v>13155</v>
      </c>
      <c r="T111" s="566">
        <v>13155</v>
      </c>
      <c r="U111" s="566">
        <v>13155</v>
      </c>
      <c r="V111" s="569">
        <v>37066</v>
      </c>
      <c r="W111" s="566" t="s">
        <v>231</v>
      </c>
      <c r="X111" s="575"/>
      <c r="Y111" s="575"/>
      <c r="Z111" s="575"/>
      <c r="AA111" s="575"/>
      <c r="AB111" s="569">
        <v>13500</v>
      </c>
      <c r="AC111" s="569">
        <v>13500</v>
      </c>
      <c r="AD111" s="566"/>
      <c r="AE111" s="566"/>
      <c r="AF111" s="566"/>
      <c r="AG111" s="566"/>
      <c r="AH111" s="566"/>
      <c r="AI111" s="566"/>
      <c r="AJ111" s="569"/>
      <c r="AK111" s="570"/>
      <c r="AL111" s="552"/>
      <c r="AM111" s="522"/>
      <c r="AN111" s="522"/>
    </row>
    <row r="112" spans="1:40" ht="15.6" customHeight="1" x14ac:dyDescent="0.25">
      <c r="A112" s="522"/>
      <c r="B112" s="560"/>
      <c r="C112" s="561"/>
      <c r="D112" s="560"/>
      <c r="E112" s="562"/>
      <c r="F112" s="563"/>
      <c r="G112" s="564">
        <v>5200000590</v>
      </c>
      <c r="H112" s="565"/>
      <c r="I112" s="565">
        <v>226</v>
      </c>
      <c r="J112" s="598"/>
      <c r="K112" s="566"/>
      <c r="L112" s="567"/>
      <c r="M112" s="567"/>
      <c r="N112" s="567"/>
      <c r="O112" s="567"/>
      <c r="P112" s="567"/>
      <c r="Q112" s="568">
        <f t="shared" si="2"/>
        <v>87660</v>
      </c>
      <c r="R112" s="566">
        <v>21915</v>
      </c>
      <c r="S112" s="566">
        <v>21915</v>
      </c>
      <c r="T112" s="566">
        <v>21915</v>
      </c>
      <c r="U112" s="566">
        <v>21915</v>
      </c>
      <c r="V112" s="569">
        <v>28000</v>
      </c>
      <c r="W112" s="566" t="s">
        <v>680</v>
      </c>
      <c r="X112" s="575"/>
      <c r="Y112" s="575"/>
      <c r="Z112" s="575"/>
      <c r="AA112" s="575"/>
      <c r="AB112" s="569">
        <v>0</v>
      </c>
      <c r="AC112" s="569">
        <v>0</v>
      </c>
      <c r="AD112" s="566"/>
      <c r="AE112" s="566"/>
      <c r="AF112" s="566"/>
      <c r="AG112" s="566"/>
      <c r="AH112" s="566"/>
      <c r="AI112" s="566"/>
      <c r="AJ112" s="569"/>
      <c r="AK112" s="570"/>
      <c r="AL112" s="552"/>
      <c r="AM112" s="522"/>
      <c r="AN112" s="522"/>
    </row>
    <row r="113" spans="1:43" ht="15.6" customHeight="1" x14ac:dyDescent="0.25">
      <c r="A113" s="522"/>
      <c r="B113" s="560"/>
      <c r="C113" s="561"/>
      <c r="D113" s="560"/>
      <c r="E113" s="562"/>
      <c r="F113" s="563"/>
      <c r="G113" s="564">
        <v>5200000590</v>
      </c>
      <c r="H113" s="565"/>
      <c r="I113" s="565">
        <v>226</v>
      </c>
      <c r="J113" s="598"/>
      <c r="K113" s="566"/>
      <c r="L113" s="567"/>
      <c r="M113" s="567"/>
      <c r="N113" s="567"/>
      <c r="O113" s="567"/>
      <c r="P113" s="567"/>
      <c r="Q113" s="568">
        <f t="shared" si="2"/>
        <v>10000</v>
      </c>
      <c r="R113" s="566">
        <v>10000</v>
      </c>
      <c r="S113" s="566">
        <v>0</v>
      </c>
      <c r="T113" s="566">
        <v>0</v>
      </c>
      <c r="U113" s="566">
        <v>0</v>
      </c>
      <c r="V113" s="569">
        <v>10000</v>
      </c>
      <c r="W113" s="566" t="s">
        <v>638</v>
      </c>
      <c r="X113" s="575"/>
      <c r="Y113" s="575"/>
      <c r="Z113" s="575"/>
      <c r="AA113" s="575"/>
      <c r="AB113" s="569">
        <v>0</v>
      </c>
      <c r="AC113" s="569">
        <v>0</v>
      </c>
      <c r="AD113" s="566"/>
      <c r="AE113" s="566"/>
      <c r="AF113" s="566"/>
      <c r="AG113" s="566"/>
      <c r="AH113" s="566"/>
      <c r="AI113" s="566"/>
      <c r="AJ113" s="569"/>
      <c r="AK113" s="570"/>
      <c r="AL113" s="552"/>
      <c r="AM113" s="522"/>
      <c r="AN113" s="522"/>
    </row>
    <row r="114" spans="1:43" ht="15.6" customHeight="1" x14ac:dyDescent="0.25">
      <c r="A114" s="522"/>
      <c r="B114" s="560"/>
      <c r="C114" s="561"/>
      <c r="D114" s="560"/>
      <c r="E114" s="562"/>
      <c r="F114" s="563"/>
      <c r="G114" s="564">
        <v>5200000590</v>
      </c>
      <c r="H114" s="565"/>
      <c r="I114" s="565">
        <v>226</v>
      </c>
      <c r="J114" s="598"/>
      <c r="K114" s="566"/>
      <c r="L114" s="567"/>
      <c r="M114" s="567"/>
      <c r="N114" s="567"/>
      <c r="O114" s="567"/>
      <c r="P114" s="567"/>
      <c r="Q114" s="568">
        <f t="shared" si="2"/>
        <v>50000</v>
      </c>
      <c r="R114" s="569">
        <v>50000</v>
      </c>
      <c r="S114" s="566"/>
      <c r="T114" s="566"/>
      <c r="U114" s="566"/>
      <c r="V114" s="569">
        <v>9328</v>
      </c>
      <c r="W114" s="566" t="s">
        <v>247</v>
      </c>
      <c r="X114" s="575"/>
      <c r="Y114" s="575"/>
      <c r="Z114" s="575"/>
      <c r="AA114" s="575"/>
      <c r="AB114" s="569">
        <v>10000</v>
      </c>
      <c r="AC114" s="569">
        <v>10000</v>
      </c>
      <c r="AD114" s="566"/>
      <c r="AE114" s="566"/>
      <c r="AF114" s="566"/>
      <c r="AG114" s="566"/>
      <c r="AH114" s="566"/>
      <c r="AI114" s="566"/>
      <c r="AJ114" s="569"/>
      <c r="AK114" s="570"/>
      <c r="AL114" s="552"/>
      <c r="AM114" s="522"/>
      <c r="AN114" s="522"/>
    </row>
    <row r="115" spans="1:43" ht="15.6" customHeight="1" x14ac:dyDescent="0.25">
      <c r="A115" s="522"/>
      <c r="B115" s="560"/>
      <c r="C115" s="561"/>
      <c r="D115" s="560"/>
      <c r="E115" s="562"/>
      <c r="F115" s="563"/>
      <c r="G115" s="564">
        <v>5200000590</v>
      </c>
      <c r="H115" s="565"/>
      <c r="I115" s="565">
        <v>226</v>
      </c>
      <c r="J115" s="598"/>
      <c r="K115" s="566"/>
      <c r="L115" s="567"/>
      <c r="M115" s="567"/>
      <c r="N115" s="567"/>
      <c r="O115" s="567"/>
      <c r="P115" s="567"/>
      <c r="Q115" s="568">
        <f t="shared" si="2"/>
        <v>15000</v>
      </c>
      <c r="R115" s="566">
        <v>15000</v>
      </c>
      <c r="S115" s="566">
        <v>0</v>
      </c>
      <c r="T115" s="566">
        <v>0</v>
      </c>
      <c r="U115" s="566"/>
      <c r="V115" s="569">
        <v>13000</v>
      </c>
      <c r="W115" s="566" t="s">
        <v>681</v>
      </c>
      <c r="X115" s="575"/>
      <c r="Y115" s="575"/>
      <c r="Z115" s="575"/>
      <c r="AA115" s="575"/>
      <c r="AB115" s="569">
        <v>30000</v>
      </c>
      <c r="AC115" s="569">
        <v>30000</v>
      </c>
      <c r="AD115" s="566"/>
      <c r="AE115" s="566"/>
      <c r="AF115" s="566"/>
      <c r="AG115" s="566"/>
      <c r="AH115" s="566"/>
      <c r="AI115" s="566"/>
      <c r="AJ115" s="569"/>
      <c r="AK115" s="570"/>
      <c r="AL115" s="552"/>
      <c r="AM115" s="522"/>
      <c r="AN115" s="522"/>
    </row>
    <row r="116" spans="1:43" ht="15.6" customHeight="1" x14ac:dyDescent="0.25">
      <c r="A116" s="522"/>
      <c r="B116" s="560"/>
      <c r="C116" s="561"/>
      <c r="D116" s="560"/>
      <c r="E116" s="562"/>
      <c r="F116" s="563"/>
      <c r="G116" s="564">
        <v>5200000590</v>
      </c>
      <c r="H116" s="565"/>
      <c r="I116" s="565">
        <v>226</v>
      </c>
      <c r="J116" s="598"/>
      <c r="K116" s="566"/>
      <c r="L116" s="567"/>
      <c r="M116" s="567"/>
      <c r="N116" s="567"/>
      <c r="O116" s="567"/>
      <c r="P116" s="567"/>
      <c r="Q116" s="568">
        <f t="shared" si="2"/>
        <v>12000</v>
      </c>
      <c r="R116" s="566">
        <v>6000</v>
      </c>
      <c r="S116" s="566">
        <v>3000</v>
      </c>
      <c r="T116" s="566">
        <v>3000</v>
      </c>
      <c r="U116" s="566"/>
      <c r="V116" s="569">
        <v>25000</v>
      </c>
      <c r="W116" s="566" t="s">
        <v>688</v>
      </c>
      <c r="X116" s="575"/>
      <c r="Y116" s="575"/>
      <c r="Z116" s="575"/>
      <c r="AA116" s="575"/>
      <c r="AB116" s="569">
        <v>12000</v>
      </c>
      <c r="AC116" s="569">
        <v>12000</v>
      </c>
      <c r="AD116" s="566"/>
      <c r="AE116" s="566"/>
      <c r="AF116" s="566"/>
      <c r="AG116" s="566"/>
      <c r="AH116" s="566"/>
      <c r="AI116" s="566"/>
      <c r="AJ116" s="569"/>
      <c r="AK116" s="570"/>
      <c r="AL116" s="552"/>
      <c r="AM116" s="522"/>
      <c r="AN116" s="522"/>
    </row>
    <row r="117" spans="1:43" ht="15.6" customHeight="1" x14ac:dyDescent="0.25">
      <c r="A117" s="522"/>
      <c r="B117" s="560"/>
      <c r="C117" s="561"/>
      <c r="D117" s="560"/>
      <c r="E117" s="562"/>
      <c r="F117" s="563"/>
      <c r="G117" s="564">
        <v>5200000590</v>
      </c>
      <c r="H117" s="565"/>
      <c r="I117" s="565">
        <v>226</v>
      </c>
      <c r="J117" s="531"/>
      <c r="K117" s="566"/>
      <c r="L117" s="567"/>
      <c r="M117" s="567"/>
      <c r="N117" s="567"/>
      <c r="O117" s="567"/>
      <c r="P117" s="567"/>
      <c r="Q117" s="568">
        <f>R117+S117+T117+U117</f>
        <v>0</v>
      </c>
      <c r="R117" s="566"/>
      <c r="S117" s="566"/>
      <c r="T117" s="566"/>
      <c r="U117" s="566"/>
      <c r="V117" s="569"/>
      <c r="W117" s="566" t="s">
        <v>374</v>
      </c>
      <c r="X117" s="575"/>
      <c r="Y117" s="575"/>
      <c r="Z117" s="575"/>
      <c r="AA117" s="575"/>
      <c r="AB117" s="569"/>
      <c r="AC117" s="569"/>
      <c r="AD117" s="566"/>
      <c r="AE117" s="566"/>
      <c r="AF117" s="566"/>
      <c r="AG117" s="566"/>
      <c r="AH117" s="566"/>
      <c r="AI117" s="566"/>
      <c r="AJ117" s="569"/>
      <c r="AK117" s="570"/>
      <c r="AL117" s="552"/>
      <c r="AM117" s="522"/>
      <c r="AN117" s="522"/>
    </row>
    <row r="118" spans="1:43" ht="15.6" customHeight="1" x14ac:dyDescent="0.25">
      <c r="A118" s="522"/>
      <c r="B118" s="560"/>
      <c r="C118" s="561"/>
      <c r="D118" s="561" t="s">
        <v>248</v>
      </c>
      <c r="E118" s="607"/>
      <c r="F118" s="608"/>
      <c r="G118" s="564">
        <v>5200000590</v>
      </c>
      <c r="H118" s="609"/>
      <c r="I118" s="609"/>
      <c r="J118" s="610"/>
      <c r="K118" s="590"/>
      <c r="L118" s="556"/>
      <c r="M118" s="556"/>
      <c r="N118" s="556"/>
      <c r="O118" s="556"/>
      <c r="P118" s="556"/>
      <c r="Q118" s="571">
        <f t="shared" si="2"/>
        <v>361680</v>
      </c>
      <c r="R118" s="591">
        <f>R105+R106+R107+R108+R109+R110+R111+R112+R113+R114+R115+R116</f>
        <v>243720</v>
      </c>
      <c r="S118" s="591">
        <f>S105+S106+S107+S108+S109+S110+S111+S112+S113+S114+S115+S116</f>
        <v>40320</v>
      </c>
      <c r="T118" s="591">
        <f>T105+T106+T107+T108+T109+T110+T111+T112+T113+T114+T115+T116</f>
        <v>40320</v>
      </c>
      <c r="U118" s="591">
        <f>U105+U106+U107+U108+U109+U110+U111+U112+U113+U114+U115+U116</f>
        <v>37320</v>
      </c>
      <c r="V118" s="591">
        <v>623038.4</v>
      </c>
      <c r="W118" s="590"/>
      <c r="X118" s="591">
        <f>X105+X106</f>
        <v>0</v>
      </c>
      <c r="Y118" s="592"/>
      <c r="Z118" s="592"/>
      <c r="AA118" s="592"/>
      <c r="AB118" s="591">
        <f>SUM(AB105:AB117)</f>
        <v>363040</v>
      </c>
      <c r="AC118" s="591">
        <f>SUM(AC105:AC117)</f>
        <v>376340</v>
      </c>
      <c r="AD118" s="566"/>
      <c r="AE118" s="566"/>
      <c r="AF118" s="566"/>
      <c r="AG118" s="566"/>
      <c r="AH118" s="566"/>
      <c r="AI118" s="566"/>
      <c r="AJ118" s="569"/>
      <c r="AK118" s="570"/>
      <c r="AL118" s="552"/>
      <c r="AM118" s="522"/>
      <c r="AN118" s="522"/>
    </row>
    <row r="119" spans="1:43" s="519" customFormat="1" ht="15.6" customHeight="1" x14ac:dyDescent="0.25">
      <c r="A119" s="606"/>
      <c r="B119" s="561"/>
      <c r="C119" s="561"/>
      <c r="D119" s="560">
        <v>656520075</v>
      </c>
      <c r="E119" s="562">
        <v>113</v>
      </c>
      <c r="F119" s="563">
        <v>656</v>
      </c>
      <c r="G119" s="564">
        <v>5200000590</v>
      </c>
      <c r="H119" s="565">
        <v>851</v>
      </c>
      <c r="I119" s="565">
        <v>291</v>
      </c>
      <c r="J119" s="598"/>
      <c r="K119" s="566"/>
      <c r="L119" s="567">
        <v>20000</v>
      </c>
      <c r="M119" s="567">
        <v>0</v>
      </c>
      <c r="N119" s="567">
        <v>-2800</v>
      </c>
      <c r="O119" s="567">
        <v>0</v>
      </c>
      <c r="P119" s="567">
        <v>17200</v>
      </c>
      <c r="Q119" s="568">
        <f t="shared" si="2"/>
        <v>1000</v>
      </c>
      <c r="R119" s="566">
        <v>1000</v>
      </c>
      <c r="S119" s="566"/>
      <c r="T119" s="566"/>
      <c r="U119" s="566"/>
      <c r="V119" s="569">
        <v>1000</v>
      </c>
      <c r="W119" s="566" t="s">
        <v>383</v>
      </c>
      <c r="X119" s="575"/>
      <c r="Y119" s="575"/>
      <c r="Z119" s="575"/>
      <c r="AA119" s="575"/>
      <c r="AB119" s="569"/>
      <c r="AC119" s="569"/>
      <c r="AD119" s="590"/>
      <c r="AE119" s="590"/>
      <c r="AF119" s="590"/>
      <c r="AG119" s="590"/>
      <c r="AH119" s="590"/>
      <c r="AI119" s="590"/>
      <c r="AJ119" s="591"/>
      <c r="AK119" s="611"/>
      <c r="AL119" s="612"/>
      <c r="AM119" s="606"/>
      <c r="AN119" s="606"/>
    </row>
    <row r="120" spans="1:43" s="519" customFormat="1" ht="15.6" customHeight="1" x14ac:dyDescent="0.25">
      <c r="A120" s="606"/>
      <c r="B120" s="561"/>
      <c r="C120" s="561"/>
      <c r="D120" s="560">
        <v>656520075</v>
      </c>
      <c r="E120" s="562">
        <v>113</v>
      </c>
      <c r="F120" s="563">
        <v>656</v>
      </c>
      <c r="G120" s="564">
        <v>5200000590</v>
      </c>
      <c r="H120" s="565">
        <v>852</v>
      </c>
      <c r="I120" s="565">
        <v>291</v>
      </c>
      <c r="J120" s="598"/>
      <c r="K120" s="566"/>
      <c r="L120" s="567">
        <v>20000</v>
      </c>
      <c r="M120" s="567">
        <v>0</v>
      </c>
      <c r="N120" s="567">
        <v>-2800</v>
      </c>
      <c r="O120" s="567">
        <v>0</v>
      </c>
      <c r="P120" s="567">
        <v>17200</v>
      </c>
      <c r="Q120" s="568">
        <f t="shared" si="2"/>
        <v>1000</v>
      </c>
      <c r="R120" s="566">
        <v>1000</v>
      </c>
      <c r="S120" s="566"/>
      <c r="T120" s="566"/>
      <c r="U120" s="566"/>
      <c r="V120" s="569">
        <v>8000</v>
      </c>
      <c r="W120" s="566"/>
      <c r="X120" s="575">
        <v>0</v>
      </c>
      <c r="Y120" s="575"/>
      <c r="Z120" s="575"/>
      <c r="AA120" s="575"/>
      <c r="AB120" s="569"/>
      <c r="AC120" s="569"/>
      <c r="AD120" s="590"/>
      <c r="AE120" s="590"/>
      <c r="AF120" s="590"/>
      <c r="AG120" s="590"/>
      <c r="AH120" s="590"/>
      <c r="AI120" s="590"/>
      <c r="AJ120" s="591"/>
      <c r="AK120" s="611"/>
      <c r="AL120" s="612"/>
      <c r="AM120" s="606"/>
      <c r="AN120" s="606"/>
    </row>
    <row r="121" spans="1:43" s="519" customFormat="1" ht="15.6" customHeight="1" x14ac:dyDescent="0.25">
      <c r="A121" s="606"/>
      <c r="B121" s="561"/>
      <c r="C121" s="561"/>
      <c r="D121" s="560">
        <v>656520075</v>
      </c>
      <c r="E121" s="562">
        <v>113</v>
      </c>
      <c r="F121" s="563">
        <v>656</v>
      </c>
      <c r="G121" s="564">
        <v>5200000590</v>
      </c>
      <c r="H121" s="565">
        <v>853</v>
      </c>
      <c r="I121" s="565">
        <v>292</v>
      </c>
      <c r="J121" s="598"/>
      <c r="K121" s="566"/>
      <c r="L121" s="567">
        <v>20000</v>
      </c>
      <c r="M121" s="567">
        <v>0</v>
      </c>
      <c r="N121" s="567">
        <v>-2800</v>
      </c>
      <c r="O121" s="567">
        <v>0</v>
      </c>
      <c r="P121" s="567">
        <v>17200</v>
      </c>
      <c r="Q121" s="568">
        <f t="shared" si="2"/>
        <v>1000</v>
      </c>
      <c r="R121" s="566">
        <v>1000</v>
      </c>
      <c r="S121" s="566"/>
      <c r="T121" s="566"/>
      <c r="U121" s="566"/>
      <c r="V121" s="569">
        <v>8000</v>
      </c>
      <c r="W121" s="566" t="s">
        <v>363</v>
      </c>
      <c r="X121" s="575">
        <v>0</v>
      </c>
      <c r="Y121" s="575"/>
      <c r="Z121" s="575"/>
      <c r="AA121" s="575"/>
      <c r="AB121" s="569"/>
      <c r="AC121" s="569"/>
      <c r="AD121" s="590"/>
      <c r="AE121" s="590"/>
      <c r="AF121" s="590"/>
      <c r="AG121" s="590"/>
      <c r="AH121" s="590"/>
      <c r="AI121" s="590"/>
      <c r="AJ121" s="591"/>
      <c r="AK121" s="611"/>
      <c r="AL121" s="612"/>
      <c r="AM121" s="606"/>
      <c r="AN121" s="606"/>
    </row>
    <row r="122" spans="1:43" ht="15.6" customHeight="1" x14ac:dyDescent="0.25">
      <c r="A122" s="522"/>
      <c r="B122" s="560" t="s">
        <v>239</v>
      </c>
      <c r="C122" s="561" t="s">
        <v>239</v>
      </c>
      <c r="D122" s="560"/>
      <c r="E122" s="562"/>
      <c r="F122" s="563"/>
      <c r="G122" s="564">
        <v>5200000590</v>
      </c>
      <c r="H122" s="565">
        <v>244</v>
      </c>
      <c r="I122" s="565">
        <v>290</v>
      </c>
      <c r="J122" s="598"/>
      <c r="K122" s="566"/>
      <c r="L122" s="567"/>
      <c r="M122" s="567"/>
      <c r="N122" s="567"/>
      <c r="O122" s="567"/>
      <c r="P122" s="567"/>
      <c r="Q122" s="568">
        <f t="shared" si="2"/>
        <v>7500</v>
      </c>
      <c r="R122" s="566"/>
      <c r="S122" s="566"/>
      <c r="T122" s="566"/>
      <c r="U122" s="566">
        <v>7500</v>
      </c>
      <c r="V122" s="569">
        <v>0</v>
      </c>
      <c r="W122" s="566"/>
      <c r="X122" s="575">
        <v>0</v>
      </c>
      <c r="Y122" s="575"/>
      <c r="Z122" s="575"/>
      <c r="AA122" s="575"/>
      <c r="AB122" s="569">
        <v>0</v>
      </c>
      <c r="AC122" s="569">
        <v>0</v>
      </c>
      <c r="AD122" s="566"/>
      <c r="AE122" s="566"/>
      <c r="AF122" s="566"/>
      <c r="AG122" s="566">
        <v>358.11</v>
      </c>
      <c r="AH122" s="566">
        <v>0</v>
      </c>
      <c r="AI122" s="566"/>
      <c r="AJ122" s="569"/>
      <c r="AK122" s="570">
        <v>2.0820348837209304E-2</v>
      </c>
      <c r="AL122" s="552" t="s">
        <v>195</v>
      </c>
      <c r="AM122" s="522"/>
      <c r="AN122" s="522"/>
      <c r="AQ122" s="511"/>
    </row>
    <row r="123" spans="1:43" ht="15.6" customHeight="1" x14ac:dyDescent="0.25">
      <c r="A123" s="522"/>
      <c r="B123" s="560"/>
      <c r="C123" s="561"/>
      <c r="D123" s="561" t="s">
        <v>249</v>
      </c>
      <c r="E123" s="607"/>
      <c r="F123" s="608"/>
      <c r="G123" s="564">
        <v>5200000590</v>
      </c>
      <c r="H123" s="609"/>
      <c r="I123" s="609">
        <v>290</v>
      </c>
      <c r="J123" s="610"/>
      <c r="K123" s="590"/>
      <c r="L123" s="556"/>
      <c r="M123" s="556"/>
      <c r="N123" s="556"/>
      <c r="O123" s="556"/>
      <c r="P123" s="556"/>
      <c r="Q123" s="571">
        <f t="shared" si="2"/>
        <v>8500</v>
      </c>
      <c r="R123" s="591">
        <f>R119+R122</f>
        <v>1000</v>
      </c>
      <c r="S123" s="591">
        <f>S119+S122</f>
        <v>0</v>
      </c>
      <c r="T123" s="591">
        <f>T119+T122</f>
        <v>0</v>
      </c>
      <c r="U123" s="591">
        <f>U119+U122</f>
        <v>7500</v>
      </c>
      <c r="V123" s="569">
        <f>SUM(V119:V122)</f>
        <v>17000</v>
      </c>
      <c r="W123" s="567"/>
      <c r="X123" s="613">
        <v>0</v>
      </c>
      <c r="Y123" s="614"/>
      <c r="Z123" s="592"/>
      <c r="AA123" s="592"/>
      <c r="AB123" s="591">
        <f>AB122+AB121+AB119</f>
        <v>0</v>
      </c>
      <c r="AC123" s="591">
        <f>AC122+AC121+AC119</f>
        <v>0</v>
      </c>
      <c r="AD123" s="566"/>
      <c r="AE123" s="566"/>
      <c r="AF123" s="566"/>
      <c r="AG123" s="566"/>
      <c r="AH123" s="566"/>
      <c r="AI123" s="566"/>
      <c r="AJ123" s="569"/>
      <c r="AK123" s="570"/>
      <c r="AL123" s="552"/>
      <c r="AM123" s="522"/>
      <c r="AN123" s="522"/>
    </row>
    <row r="124" spans="1:43" ht="15.6" customHeight="1" x14ac:dyDescent="0.25">
      <c r="A124" s="522"/>
      <c r="B124" s="560"/>
      <c r="C124" s="561"/>
      <c r="D124" s="561"/>
      <c r="E124" s="607"/>
      <c r="F124" s="608"/>
      <c r="G124" s="564"/>
      <c r="H124" s="609"/>
      <c r="I124" s="615">
        <v>310</v>
      </c>
      <c r="J124" s="610"/>
      <c r="K124" s="590"/>
      <c r="L124" s="556"/>
      <c r="M124" s="556"/>
      <c r="N124" s="556"/>
      <c r="O124" s="556"/>
      <c r="P124" s="556"/>
      <c r="Q124" s="571"/>
      <c r="R124" s="591"/>
      <c r="S124" s="591"/>
      <c r="T124" s="591"/>
      <c r="U124" s="591"/>
      <c r="V124" s="569">
        <v>118000</v>
      </c>
      <c r="W124" s="567" t="s">
        <v>643</v>
      </c>
      <c r="X124" s="613"/>
      <c r="Y124" s="614"/>
      <c r="Z124" s="592"/>
      <c r="AA124" s="592"/>
      <c r="AB124" s="591"/>
      <c r="AC124" s="591"/>
      <c r="AD124" s="566"/>
      <c r="AE124" s="566"/>
      <c r="AF124" s="566"/>
      <c r="AG124" s="566"/>
      <c r="AH124" s="566"/>
      <c r="AI124" s="566"/>
      <c r="AJ124" s="569"/>
      <c r="AK124" s="570"/>
      <c r="AL124" s="552"/>
      <c r="AM124" s="522"/>
      <c r="AN124" s="522"/>
    </row>
    <row r="125" spans="1:43" ht="15.6" customHeight="1" x14ac:dyDescent="0.25">
      <c r="A125" s="522"/>
      <c r="B125" s="560"/>
      <c r="C125" s="561"/>
      <c r="D125" s="561"/>
      <c r="E125" s="607"/>
      <c r="F125" s="608"/>
      <c r="G125" s="564"/>
      <c r="H125" s="609"/>
      <c r="I125" s="615">
        <v>310</v>
      </c>
      <c r="J125" s="610"/>
      <c r="K125" s="590"/>
      <c r="L125" s="556"/>
      <c r="M125" s="556"/>
      <c r="N125" s="556"/>
      <c r="O125" s="556"/>
      <c r="P125" s="556"/>
      <c r="Q125" s="571"/>
      <c r="R125" s="591"/>
      <c r="S125" s="591"/>
      <c r="T125" s="591"/>
      <c r="U125" s="591"/>
      <c r="V125" s="569">
        <v>0</v>
      </c>
      <c r="W125" s="567"/>
      <c r="X125" s="592">
        <v>40000</v>
      </c>
      <c r="Y125" s="592" t="s">
        <v>682</v>
      </c>
      <c r="Z125" s="592"/>
      <c r="AA125" s="592"/>
      <c r="AB125" s="591"/>
      <c r="AC125" s="591"/>
      <c r="AD125" s="566"/>
      <c r="AE125" s="566"/>
      <c r="AF125" s="566"/>
      <c r="AG125" s="566"/>
      <c r="AH125" s="566"/>
      <c r="AI125" s="566"/>
      <c r="AJ125" s="569"/>
      <c r="AK125" s="570"/>
      <c r="AL125" s="552"/>
      <c r="AM125" s="522"/>
      <c r="AN125" s="522"/>
    </row>
    <row r="126" spans="1:43" ht="15.6" customHeight="1" x14ac:dyDescent="0.25">
      <c r="A126" s="522"/>
      <c r="B126" s="560"/>
      <c r="C126" s="561"/>
      <c r="D126" s="561"/>
      <c r="E126" s="607"/>
      <c r="F126" s="608"/>
      <c r="G126" s="564"/>
      <c r="H126" s="609"/>
      <c r="I126" s="615">
        <v>310</v>
      </c>
      <c r="J126" s="610"/>
      <c r="K126" s="590"/>
      <c r="L126" s="556"/>
      <c r="M126" s="556"/>
      <c r="N126" s="556"/>
      <c r="O126" s="556"/>
      <c r="P126" s="556"/>
      <c r="Q126" s="571"/>
      <c r="R126" s="591"/>
      <c r="S126" s="591"/>
      <c r="T126" s="591"/>
      <c r="U126" s="591"/>
      <c r="V126" s="569">
        <v>102680.85999999999</v>
      </c>
      <c r="W126" s="567" t="s">
        <v>683</v>
      </c>
      <c r="X126" s="591"/>
      <c r="Y126" s="592"/>
      <c r="Z126" s="592"/>
      <c r="AA126" s="592"/>
      <c r="AB126" s="591"/>
      <c r="AC126" s="591"/>
      <c r="AD126" s="566"/>
      <c r="AE126" s="566"/>
      <c r="AF126" s="566"/>
      <c r="AG126" s="566"/>
      <c r="AH126" s="566"/>
      <c r="AI126" s="566"/>
      <c r="AJ126" s="569"/>
      <c r="AK126" s="570"/>
      <c r="AL126" s="552"/>
      <c r="AM126" s="522"/>
      <c r="AN126" s="522"/>
    </row>
    <row r="127" spans="1:43" ht="15.6" customHeight="1" x14ac:dyDescent="0.25">
      <c r="A127" s="522"/>
      <c r="B127" s="560"/>
      <c r="C127" s="561"/>
      <c r="D127" s="561"/>
      <c r="E127" s="607"/>
      <c r="F127" s="608"/>
      <c r="G127" s="564"/>
      <c r="H127" s="609"/>
      <c r="I127" s="609">
        <v>310</v>
      </c>
      <c r="J127" s="610"/>
      <c r="K127" s="590"/>
      <c r="L127" s="556"/>
      <c r="M127" s="556"/>
      <c r="N127" s="556"/>
      <c r="O127" s="556"/>
      <c r="P127" s="556"/>
      <c r="Q127" s="571"/>
      <c r="R127" s="591"/>
      <c r="S127" s="591"/>
      <c r="T127" s="591"/>
      <c r="U127" s="591"/>
      <c r="V127" s="591">
        <v>220680.86</v>
      </c>
      <c r="W127" s="582" t="s">
        <v>530</v>
      </c>
      <c r="X127" s="591">
        <f>X125</f>
        <v>40000</v>
      </c>
      <c r="Y127" s="592"/>
      <c r="Z127" s="592"/>
      <c r="AA127" s="592"/>
      <c r="AB127" s="591">
        <v>0</v>
      </c>
      <c r="AC127" s="591">
        <v>0</v>
      </c>
      <c r="AD127" s="566"/>
      <c r="AE127" s="566"/>
      <c r="AF127" s="566"/>
      <c r="AG127" s="566"/>
      <c r="AH127" s="566"/>
      <c r="AI127" s="566"/>
      <c r="AJ127" s="569"/>
      <c r="AK127" s="570"/>
      <c r="AL127" s="552"/>
      <c r="AM127" s="522"/>
      <c r="AN127" s="522"/>
    </row>
    <row r="128" spans="1:43" s="519" customFormat="1" ht="15.6" customHeight="1" x14ac:dyDescent="0.25">
      <c r="A128" s="606"/>
      <c r="B128" s="561"/>
      <c r="C128" s="561"/>
      <c r="D128" s="560">
        <v>656520075</v>
      </c>
      <c r="E128" s="562">
        <v>113</v>
      </c>
      <c r="F128" s="563">
        <v>656</v>
      </c>
      <c r="G128" s="564">
        <v>5200000590</v>
      </c>
      <c r="H128" s="565" t="s">
        <v>219</v>
      </c>
      <c r="I128" s="565">
        <v>342</v>
      </c>
      <c r="J128" s="598"/>
      <c r="K128" s="566"/>
      <c r="L128" s="567">
        <v>3319.34</v>
      </c>
      <c r="M128" s="567">
        <v>0</v>
      </c>
      <c r="N128" s="567">
        <v>0</v>
      </c>
      <c r="O128" s="567">
        <v>0</v>
      </c>
      <c r="P128" s="567">
        <v>3319.34</v>
      </c>
      <c r="Q128" s="568">
        <f t="shared" si="2"/>
        <v>0</v>
      </c>
      <c r="R128" s="566"/>
      <c r="S128" s="566"/>
      <c r="T128" s="566"/>
      <c r="U128" s="566"/>
      <c r="V128" s="569">
        <v>0</v>
      </c>
      <c r="W128" s="566" t="s">
        <v>373</v>
      </c>
      <c r="X128" s="575">
        <v>20000</v>
      </c>
      <c r="Y128" s="575" t="s">
        <v>373</v>
      </c>
      <c r="Z128" s="575"/>
      <c r="AA128" s="575"/>
      <c r="AB128" s="569">
        <v>0</v>
      </c>
      <c r="AC128" s="569">
        <v>0</v>
      </c>
      <c r="AD128" s="590"/>
      <c r="AE128" s="590"/>
      <c r="AF128" s="590"/>
      <c r="AG128" s="590"/>
      <c r="AH128" s="590"/>
      <c r="AI128" s="590"/>
      <c r="AJ128" s="591"/>
      <c r="AK128" s="611"/>
      <c r="AL128" s="612"/>
      <c r="AM128" s="606"/>
      <c r="AN128" s="606"/>
    </row>
    <row r="129" spans="1:42" ht="15.6" customHeight="1" x14ac:dyDescent="0.25">
      <c r="A129" s="522"/>
      <c r="B129" s="560" t="s">
        <v>239</v>
      </c>
      <c r="C129" s="561" t="s">
        <v>239</v>
      </c>
      <c r="D129" s="560">
        <v>656520075</v>
      </c>
      <c r="E129" s="562">
        <v>113</v>
      </c>
      <c r="F129" s="563">
        <v>656</v>
      </c>
      <c r="G129" s="564">
        <v>5200000590</v>
      </c>
      <c r="H129" s="565" t="s">
        <v>219</v>
      </c>
      <c r="I129" s="565">
        <v>340</v>
      </c>
      <c r="J129" s="598" t="s">
        <v>372</v>
      </c>
      <c r="K129" s="566"/>
      <c r="L129" s="567">
        <v>89992.66</v>
      </c>
      <c r="M129" s="567">
        <v>60000</v>
      </c>
      <c r="N129" s="567">
        <v>50000</v>
      </c>
      <c r="O129" s="567">
        <v>0</v>
      </c>
      <c r="P129" s="567">
        <v>199992.66</v>
      </c>
      <c r="Q129" s="568">
        <f t="shared" si="2"/>
        <v>70000</v>
      </c>
      <c r="R129" s="569">
        <v>70000</v>
      </c>
      <c r="S129" s="566"/>
      <c r="T129" s="566"/>
      <c r="U129" s="566"/>
      <c r="V129" s="569">
        <v>180000</v>
      </c>
      <c r="W129" s="605" t="s">
        <v>250</v>
      </c>
      <c r="X129" s="575">
        <v>50000</v>
      </c>
      <c r="Y129" s="575" t="s">
        <v>685</v>
      </c>
      <c r="Z129" s="575"/>
      <c r="AA129" s="575"/>
      <c r="AB129" s="569">
        <v>70000</v>
      </c>
      <c r="AC129" s="569">
        <v>70000</v>
      </c>
      <c r="AD129" s="566"/>
      <c r="AE129" s="566"/>
      <c r="AF129" s="566"/>
      <c r="AG129" s="566">
        <v>41471</v>
      </c>
      <c r="AH129" s="566">
        <v>0</v>
      </c>
      <c r="AI129" s="566"/>
      <c r="AJ129" s="569"/>
      <c r="AK129" s="570">
        <v>1</v>
      </c>
      <c r="AL129" s="552" t="s">
        <v>195</v>
      </c>
      <c r="AM129" s="522"/>
      <c r="AN129" s="522"/>
    </row>
    <row r="130" spans="1:42" ht="15.6" customHeight="1" x14ac:dyDescent="0.25">
      <c r="A130" s="522"/>
      <c r="B130" s="560" t="s">
        <v>239</v>
      </c>
      <c r="C130" s="561" t="s">
        <v>239</v>
      </c>
      <c r="D130" s="560"/>
      <c r="E130" s="562"/>
      <c r="F130" s="563"/>
      <c r="G130" s="564">
        <v>5200000590</v>
      </c>
      <c r="H130" s="565"/>
      <c r="I130" s="565">
        <v>340</v>
      </c>
      <c r="J130" s="569">
        <v>69.5</v>
      </c>
      <c r="K130" s="566"/>
      <c r="L130" s="567"/>
      <c r="M130" s="567"/>
      <c r="N130" s="567"/>
      <c r="O130" s="567"/>
      <c r="P130" s="567"/>
      <c r="Q130" s="568">
        <f t="shared" si="2"/>
        <v>34000</v>
      </c>
      <c r="R130" s="569">
        <v>34000</v>
      </c>
      <c r="S130" s="566"/>
      <c r="T130" s="566"/>
      <c r="U130" s="566"/>
      <c r="V130" s="569">
        <v>84950.12</v>
      </c>
      <c r="W130" s="566" t="s">
        <v>251</v>
      </c>
      <c r="X130" s="575">
        <v>30000</v>
      </c>
      <c r="Y130" s="575" t="s">
        <v>692</v>
      </c>
      <c r="Z130" s="575">
        <v>120000</v>
      </c>
      <c r="AA130" s="575" t="s">
        <v>684</v>
      </c>
      <c r="AB130" s="569">
        <v>10000</v>
      </c>
      <c r="AC130" s="569">
        <v>10000</v>
      </c>
      <c r="AD130" s="566"/>
      <c r="AE130" s="566"/>
      <c r="AF130" s="566"/>
      <c r="AG130" s="566">
        <v>3319.34</v>
      </c>
      <c r="AH130" s="566">
        <v>0</v>
      </c>
      <c r="AI130" s="566"/>
      <c r="AJ130" s="569"/>
      <c r="AK130" s="570">
        <v>1</v>
      </c>
      <c r="AL130" s="552" t="s">
        <v>195</v>
      </c>
      <c r="AM130" s="522"/>
      <c r="AN130" s="522"/>
    </row>
    <row r="131" spans="1:42" ht="15.6" customHeight="1" x14ac:dyDescent="0.25">
      <c r="A131" s="522"/>
      <c r="B131" s="560" t="s">
        <v>239</v>
      </c>
      <c r="C131" s="561" t="s">
        <v>239</v>
      </c>
      <c r="D131" s="560"/>
      <c r="E131" s="562"/>
      <c r="F131" s="563"/>
      <c r="G131" s="564">
        <v>5200000590</v>
      </c>
      <c r="H131" s="565"/>
      <c r="I131" s="565">
        <v>340</v>
      </c>
      <c r="J131" s="569"/>
      <c r="K131" s="566"/>
      <c r="L131" s="567"/>
      <c r="M131" s="567"/>
      <c r="N131" s="567"/>
      <c r="O131" s="567"/>
      <c r="P131" s="567"/>
      <c r="Q131" s="568">
        <f t="shared" si="2"/>
        <v>803.39</v>
      </c>
      <c r="R131" s="569">
        <v>803.39</v>
      </c>
      <c r="S131" s="566"/>
      <c r="T131" s="566"/>
      <c r="U131" s="566"/>
      <c r="V131" s="569">
        <v>39875</v>
      </c>
      <c r="W131" s="566" t="s">
        <v>252</v>
      </c>
      <c r="X131" s="575"/>
      <c r="Y131" s="575"/>
      <c r="Z131" s="575"/>
      <c r="AA131" s="575"/>
      <c r="AB131" s="569">
        <v>10000</v>
      </c>
      <c r="AC131" s="569">
        <v>10000</v>
      </c>
      <c r="AD131" s="566"/>
      <c r="AE131" s="566"/>
      <c r="AF131" s="566"/>
      <c r="AG131" s="566">
        <v>166333.10999999999</v>
      </c>
      <c r="AH131" s="566">
        <v>0</v>
      </c>
      <c r="AI131" s="566"/>
      <c r="AJ131" s="569"/>
      <c r="AK131" s="570">
        <v>0.83169607324588801</v>
      </c>
      <c r="AL131" s="552" t="s">
        <v>195</v>
      </c>
      <c r="AM131" s="522"/>
      <c r="AN131" s="522"/>
    </row>
    <row r="132" spans="1:42" ht="15.6" customHeight="1" x14ac:dyDescent="0.25">
      <c r="A132" s="522"/>
      <c r="B132" s="560"/>
      <c r="C132" s="561"/>
      <c r="D132" s="560"/>
      <c r="E132" s="562"/>
      <c r="F132" s="563"/>
      <c r="G132" s="564">
        <v>5200000590</v>
      </c>
      <c r="H132" s="565"/>
      <c r="I132" s="565">
        <v>340</v>
      </c>
      <c r="J132" s="569"/>
      <c r="K132" s="566"/>
      <c r="L132" s="567"/>
      <c r="M132" s="567"/>
      <c r="N132" s="567"/>
      <c r="O132" s="567"/>
      <c r="P132" s="567"/>
      <c r="Q132" s="568">
        <f t="shared" si="2"/>
        <v>0</v>
      </c>
      <c r="R132" s="569"/>
      <c r="S132" s="566"/>
      <c r="T132" s="566"/>
      <c r="U132" s="566"/>
      <c r="V132" s="569">
        <v>100000</v>
      </c>
      <c r="W132" s="566" t="s">
        <v>644</v>
      </c>
      <c r="X132" s="575">
        <v>40000</v>
      </c>
      <c r="Y132" s="575" t="s">
        <v>645</v>
      </c>
      <c r="Z132" s="575">
        <v>40000</v>
      </c>
      <c r="AA132" s="575" t="s">
        <v>645</v>
      </c>
      <c r="AB132" s="569">
        <v>0</v>
      </c>
      <c r="AC132" s="569">
        <v>0</v>
      </c>
      <c r="AD132" s="566"/>
      <c r="AE132" s="566"/>
      <c r="AF132" s="566"/>
      <c r="AG132" s="566"/>
      <c r="AH132" s="566"/>
      <c r="AI132" s="566"/>
      <c r="AJ132" s="569"/>
      <c r="AK132" s="570"/>
      <c r="AL132" s="552"/>
      <c r="AM132" s="522"/>
      <c r="AN132" s="522"/>
    </row>
    <row r="133" spans="1:42" ht="15.6" customHeight="1" x14ac:dyDescent="0.25">
      <c r="A133" s="522"/>
      <c r="B133" s="560"/>
      <c r="C133" s="561"/>
      <c r="D133" s="561" t="s">
        <v>254</v>
      </c>
      <c r="E133" s="607"/>
      <c r="F133" s="608"/>
      <c r="G133" s="564"/>
      <c r="H133" s="609"/>
      <c r="I133" s="609"/>
      <c r="J133" s="610"/>
      <c r="K133" s="590"/>
      <c r="L133" s="556"/>
      <c r="M133" s="556"/>
      <c r="N133" s="556"/>
      <c r="O133" s="556"/>
      <c r="P133" s="556"/>
      <c r="Q133" s="571">
        <f>R133+S133+T133+U133</f>
        <v>104803.39</v>
      </c>
      <c r="R133" s="591">
        <f>R129+R130+R131+R132</f>
        <v>104803.39</v>
      </c>
      <c r="S133" s="591">
        <f>S129+S130+S131+S132</f>
        <v>0</v>
      </c>
      <c r="T133" s="591">
        <f>T129+T130+T131+T132</f>
        <v>0</v>
      </c>
      <c r="U133" s="591">
        <f>U129+U130+U131+U132</f>
        <v>0</v>
      </c>
      <c r="V133" s="569">
        <v>-114849.12</v>
      </c>
      <c r="W133" s="556" t="s">
        <v>689</v>
      </c>
      <c r="X133" s="613">
        <f>114849.12-50000-29032.375</f>
        <v>35816.744999999995</v>
      </c>
      <c r="Y133" s="616" t="s">
        <v>689</v>
      </c>
      <c r="Z133" s="592">
        <f>114849.12-X133</f>
        <v>79032.375</v>
      </c>
      <c r="AA133" s="592" t="s">
        <v>689</v>
      </c>
      <c r="AB133" s="591">
        <f>SUM(AB128:AB132)</f>
        <v>90000</v>
      </c>
      <c r="AC133" s="591">
        <f>SUM(AC128:AC132)</f>
        <v>90000</v>
      </c>
      <c r="AD133" s="566"/>
      <c r="AE133" s="566"/>
      <c r="AF133" s="566"/>
      <c r="AG133" s="566"/>
      <c r="AH133" s="566"/>
      <c r="AI133" s="566"/>
      <c r="AJ133" s="569"/>
      <c r="AK133" s="570"/>
      <c r="AL133" s="552"/>
      <c r="AM133" s="522"/>
      <c r="AN133" s="522"/>
    </row>
    <row r="134" spans="1:42" ht="15.6" customHeight="1" x14ac:dyDescent="0.25">
      <c r="A134" s="522"/>
      <c r="B134" s="560"/>
      <c r="C134" s="561"/>
      <c r="D134" s="560"/>
      <c r="E134" s="562"/>
      <c r="F134" s="563"/>
      <c r="G134" s="564"/>
      <c r="H134" s="565"/>
      <c r="I134" s="565"/>
      <c r="J134" s="598"/>
      <c r="K134" s="566"/>
      <c r="L134" s="567"/>
      <c r="M134" s="567"/>
      <c r="N134" s="567"/>
      <c r="O134" s="567"/>
      <c r="P134" s="567"/>
      <c r="Q134" s="568">
        <f t="shared" si="2"/>
        <v>0</v>
      </c>
      <c r="R134" s="566"/>
      <c r="S134" s="566"/>
      <c r="T134" s="566"/>
      <c r="U134" s="566"/>
      <c r="V134" s="591">
        <f>SUM(V128:V133)</f>
        <v>289976</v>
      </c>
      <c r="W134" s="566"/>
      <c r="X134" s="591">
        <f>SUM(X128:X133)</f>
        <v>175816.745</v>
      </c>
      <c r="Y134" s="591"/>
      <c r="Z134" s="591">
        <f>SUM(Z128:Z133)</f>
        <v>239032.375</v>
      </c>
      <c r="AA134" s="591"/>
      <c r="AB134" s="569"/>
      <c r="AC134" s="569"/>
      <c r="AD134" s="566"/>
      <c r="AE134" s="566"/>
      <c r="AF134" s="566"/>
      <c r="AG134" s="566"/>
      <c r="AH134" s="566"/>
      <c r="AI134" s="566"/>
      <c r="AJ134" s="569"/>
      <c r="AK134" s="570"/>
      <c r="AL134" s="552"/>
      <c r="AM134" s="522"/>
      <c r="AN134" s="522"/>
    </row>
    <row r="135" spans="1:42" s="519" customFormat="1" ht="15.6" customHeight="1" x14ac:dyDescent="0.25">
      <c r="A135" s="606"/>
      <c r="B135" s="561"/>
      <c r="C135" s="561"/>
      <c r="D135" s="561" t="s">
        <v>254</v>
      </c>
      <c r="E135" s="607"/>
      <c r="F135" s="608"/>
      <c r="G135" s="564">
        <f>V135+V123+V84+V76+V70</f>
        <v>6533425.3700000001</v>
      </c>
      <c r="H135" s="609"/>
      <c r="I135" s="609"/>
      <c r="J135" s="610" t="s">
        <v>375</v>
      </c>
      <c r="K135" s="590"/>
      <c r="L135" s="556"/>
      <c r="M135" s="556"/>
      <c r="N135" s="556"/>
      <c r="O135" s="556"/>
      <c r="P135" s="556"/>
      <c r="Q135" s="568"/>
      <c r="R135" s="591"/>
      <c r="S135" s="591"/>
      <c r="T135" s="591"/>
      <c r="U135" s="591"/>
      <c r="V135" s="591">
        <f>V92+V104+V118+V122+V127+V134</f>
        <v>1628528.37</v>
      </c>
      <c r="W135" s="591">
        <f>V135+V136</f>
        <v>1645528.37</v>
      </c>
      <c r="X135" s="591">
        <f>X92+X104+X118+X122+X127+X134</f>
        <v>323250.17499999999</v>
      </c>
      <c r="Y135" s="556">
        <f>V135+X135</f>
        <v>1951778.5450000002</v>
      </c>
      <c r="Z135" s="556"/>
      <c r="AA135" s="556"/>
      <c r="AB135" s="591">
        <f>AB92+AB104+AB118+AB122+AB127+AB133</f>
        <v>899980</v>
      </c>
      <c r="AC135" s="591">
        <f>AC92+AC104+AC118+AC122+AC127+AC133</f>
        <v>913280</v>
      </c>
      <c r="AD135" s="556"/>
      <c r="AE135" s="556"/>
      <c r="AF135" s="568"/>
      <c r="AG135" s="591"/>
      <c r="AH135" s="591"/>
      <c r="AI135" s="591"/>
      <c r="AJ135" s="591"/>
      <c r="AK135" s="591">
        <f>AK92+AK104+AK118+AK122+AK127+AK133</f>
        <v>2.0820348837209304E-2</v>
      </c>
      <c r="AL135" s="612"/>
      <c r="AM135" s="606"/>
      <c r="AN135" s="606"/>
    </row>
    <row r="136" spans="1:42" s="519" customFormat="1" ht="15.6" customHeight="1" x14ac:dyDescent="0.25">
      <c r="A136" s="606"/>
      <c r="B136" s="561"/>
      <c r="C136" s="561"/>
      <c r="D136" s="561"/>
      <c r="E136" s="607"/>
      <c r="F136" s="608"/>
      <c r="G136" s="564"/>
      <c r="H136" s="609"/>
      <c r="I136" s="609"/>
      <c r="J136" s="610" t="s">
        <v>389</v>
      </c>
      <c r="K136" s="590"/>
      <c r="L136" s="556"/>
      <c r="M136" s="556"/>
      <c r="N136" s="556"/>
      <c r="O136" s="556"/>
      <c r="P136" s="556"/>
      <c r="Q136" s="568"/>
      <c r="R136" s="591"/>
      <c r="S136" s="591"/>
      <c r="T136" s="591"/>
      <c r="U136" s="591"/>
      <c r="V136" s="591">
        <f>V119+V121+V120</f>
        <v>17000</v>
      </c>
      <c r="W136" s="591"/>
      <c r="X136" s="591"/>
      <c r="Y136" s="556"/>
      <c r="Z136" s="556"/>
      <c r="AA136" s="556"/>
      <c r="AB136" s="591"/>
      <c r="AC136" s="591"/>
      <c r="AD136" s="556"/>
      <c r="AE136" s="556"/>
      <c r="AF136" s="568"/>
      <c r="AG136" s="591"/>
      <c r="AH136" s="591"/>
      <c r="AI136" s="591"/>
      <c r="AJ136" s="591"/>
      <c r="AK136" s="591"/>
      <c r="AL136" s="612"/>
      <c r="AM136" s="606"/>
      <c r="AN136" s="606"/>
    </row>
    <row r="137" spans="1:42" ht="15.6" customHeight="1" x14ac:dyDescent="0.25">
      <c r="A137" s="522"/>
      <c r="B137" s="559" t="s">
        <v>212</v>
      </c>
      <c r="C137" s="559"/>
      <c r="D137" s="559"/>
      <c r="E137" s="559"/>
      <c r="F137" s="559"/>
      <c r="G137" s="559"/>
      <c r="H137" s="559"/>
      <c r="I137" s="559"/>
      <c r="J137" s="559"/>
      <c r="K137" s="559"/>
      <c r="L137" s="556">
        <v>554000</v>
      </c>
      <c r="M137" s="556">
        <v>230600</v>
      </c>
      <c r="N137" s="556">
        <v>181395.45</v>
      </c>
      <c r="O137" s="556">
        <v>116640</v>
      </c>
      <c r="P137" s="556">
        <v>1082635.45</v>
      </c>
      <c r="Q137" s="571">
        <f>R137+S137+T137+U137</f>
        <v>797983.39</v>
      </c>
      <c r="R137" s="591">
        <f>R133+R123+R104+R92+R86+R118</f>
        <v>649023.39</v>
      </c>
      <c r="S137" s="591">
        <f>S133+S123+S104+S92+S86+S118</f>
        <v>58820</v>
      </c>
      <c r="T137" s="591">
        <f>T133+T123+T104+T92+T86+T118</f>
        <v>42820</v>
      </c>
      <c r="U137" s="591">
        <f>U133+U123+U104+U92+U86+U118</f>
        <v>47320</v>
      </c>
      <c r="V137" s="591">
        <f>V134+V123+V104+V92+V86+V118+V84+V76+V70+V127</f>
        <v>6533425.3700000001</v>
      </c>
      <c r="W137" s="590"/>
      <c r="X137" s="591">
        <f>X134+X123+X104+X92+X86+X118+X84+X76+X70+X127</f>
        <v>437909.31999999995</v>
      </c>
      <c r="Y137" s="592">
        <f>V137+X137</f>
        <v>6971334.6900000004</v>
      </c>
      <c r="Z137" s="591">
        <f>Z134+Z123+Z104+Z92+Z86+Z118+Z84+Z76+Z70+Z127</f>
        <v>323252.08999999997</v>
      </c>
      <c r="AA137" s="592"/>
      <c r="AB137" s="591">
        <f>AB133+AB123+AB104+AB92+AB86+AB118+AB84+AB76+AB70+AB127</f>
        <v>6396767.9000000004</v>
      </c>
      <c r="AC137" s="591">
        <f>AC133+AC123+AC104+AC92+AC86+AC118+AC84+AC76+AC70+AC127</f>
        <v>4420464</v>
      </c>
      <c r="AD137" s="573"/>
      <c r="AE137" s="573"/>
      <c r="AF137" s="573"/>
      <c r="AG137" s="566">
        <v>696167.33</v>
      </c>
      <c r="AH137" s="566">
        <v>1000</v>
      </c>
      <c r="AI137" s="573"/>
      <c r="AJ137" s="573"/>
      <c r="AK137" s="570">
        <v>0.64210656504920482</v>
      </c>
      <c r="AL137" s="552" t="s">
        <v>195</v>
      </c>
      <c r="AM137" s="522"/>
      <c r="AN137" s="522"/>
      <c r="AO137" s="513">
        <f>V137+X137</f>
        <v>6971334.6900000004</v>
      </c>
    </row>
    <row r="138" spans="1:42" ht="15.6" customHeight="1" x14ac:dyDescent="0.25">
      <c r="A138" s="522"/>
      <c r="B138" s="561"/>
      <c r="C138" s="561"/>
      <c r="D138" s="589" t="s">
        <v>141</v>
      </c>
      <c r="E138" s="589"/>
      <c r="F138" s="589"/>
      <c r="G138" s="589"/>
      <c r="H138" s="589"/>
      <c r="I138" s="589"/>
      <c r="J138" s="589"/>
      <c r="K138" s="589"/>
      <c r="L138" s="589"/>
      <c r="M138" s="589"/>
      <c r="N138" s="589"/>
      <c r="O138" s="589"/>
      <c r="P138" s="589"/>
      <c r="Q138" s="589"/>
      <c r="R138" s="589"/>
      <c r="S138" s="589"/>
      <c r="T138" s="589"/>
      <c r="U138" s="589"/>
      <c r="V138" s="589"/>
      <c r="W138" s="589"/>
      <c r="X138" s="589"/>
      <c r="Y138" s="589"/>
      <c r="Z138" s="589"/>
      <c r="AA138" s="589"/>
      <c r="AB138" s="589"/>
      <c r="AC138" s="589"/>
      <c r="AD138" s="590"/>
      <c r="AE138" s="590"/>
      <c r="AF138" s="590"/>
      <c r="AG138" s="566"/>
      <c r="AH138" s="566"/>
      <c r="AI138" s="590"/>
      <c r="AJ138" s="590"/>
      <c r="AK138" s="570"/>
      <c r="AL138" s="552"/>
      <c r="AM138" s="522"/>
      <c r="AN138" s="522"/>
    </row>
    <row r="139" spans="1:42" ht="15.6" customHeight="1" x14ac:dyDescent="0.25">
      <c r="A139" s="522"/>
      <c r="B139" s="559" t="s">
        <v>255</v>
      </c>
      <c r="C139" s="559"/>
      <c r="D139" s="559"/>
      <c r="E139" s="559"/>
      <c r="F139" s="559"/>
      <c r="G139" s="559"/>
      <c r="H139" s="559"/>
      <c r="I139" s="559"/>
      <c r="J139" s="559"/>
      <c r="K139" s="559"/>
      <c r="L139" s="559"/>
      <c r="M139" s="559"/>
      <c r="N139" s="559"/>
      <c r="O139" s="559"/>
      <c r="P139" s="559"/>
      <c r="Q139" s="559"/>
      <c r="R139" s="559"/>
      <c r="S139" s="559"/>
      <c r="T139" s="559"/>
      <c r="U139" s="559"/>
      <c r="V139" s="559"/>
      <c r="W139" s="559"/>
      <c r="X139" s="559"/>
      <c r="Y139" s="559"/>
      <c r="Z139" s="559"/>
      <c r="AA139" s="559"/>
      <c r="AB139" s="559"/>
      <c r="AC139" s="559"/>
      <c r="AD139" s="559"/>
      <c r="AE139" s="559"/>
      <c r="AF139" s="559"/>
      <c r="AG139" s="559"/>
      <c r="AH139" s="559"/>
      <c r="AI139" s="559"/>
      <c r="AJ139" s="559"/>
      <c r="AK139" s="559"/>
      <c r="AL139" s="552" t="s">
        <v>195</v>
      </c>
      <c r="AM139" s="522"/>
      <c r="AN139" s="522"/>
    </row>
    <row r="140" spans="1:42" ht="15.6" customHeight="1" x14ac:dyDescent="0.25">
      <c r="A140" s="522"/>
      <c r="B140" s="560" t="s">
        <v>255</v>
      </c>
      <c r="C140" s="561" t="s">
        <v>255</v>
      </c>
      <c r="D140" s="560">
        <v>656510012</v>
      </c>
      <c r="E140" s="562">
        <v>113</v>
      </c>
      <c r="F140" s="563">
        <v>656</v>
      </c>
      <c r="G140" s="564">
        <v>5100999</v>
      </c>
      <c r="H140" s="565" t="s">
        <v>228</v>
      </c>
      <c r="I140" s="565">
        <v>290</v>
      </c>
      <c r="J140" s="531">
        <v>292</v>
      </c>
      <c r="K140" s="566"/>
      <c r="L140" s="567">
        <v>0</v>
      </c>
      <c r="M140" s="567">
        <v>0</v>
      </c>
      <c r="N140" s="567">
        <v>0</v>
      </c>
      <c r="O140" s="567">
        <v>0</v>
      </c>
      <c r="P140" s="567">
        <v>0</v>
      </c>
      <c r="Q140" s="568"/>
      <c r="R140" s="566">
        <v>0</v>
      </c>
      <c r="S140" s="566">
        <v>0</v>
      </c>
      <c r="T140" s="566">
        <v>0</v>
      </c>
      <c r="U140" s="566">
        <v>0</v>
      </c>
      <c r="V140" s="569">
        <v>0</v>
      </c>
      <c r="W140" s="566">
        <v>0</v>
      </c>
      <c r="X140" s="575"/>
      <c r="Y140" s="575"/>
      <c r="Z140" s="575"/>
      <c r="AA140" s="575"/>
      <c r="AB140" s="566">
        <v>650000</v>
      </c>
      <c r="AC140" s="617">
        <f>1326000+12000</f>
        <v>1338000</v>
      </c>
      <c r="AD140" s="566"/>
      <c r="AE140" s="566"/>
      <c r="AF140" s="566"/>
      <c r="AG140" s="566">
        <v>0</v>
      </c>
      <c r="AH140" s="566">
        <v>0</v>
      </c>
      <c r="AI140" s="566"/>
      <c r="AJ140" s="569"/>
      <c r="AK140" s="570"/>
      <c r="AL140" s="552" t="s">
        <v>195</v>
      </c>
      <c r="AM140" s="522"/>
      <c r="AN140" s="522"/>
      <c r="AO140" s="513"/>
      <c r="AP140" s="513"/>
    </row>
    <row r="141" spans="1:42" ht="15.6" customHeight="1" x14ac:dyDescent="0.25">
      <c r="A141" s="522"/>
      <c r="B141" s="559" t="s">
        <v>212</v>
      </c>
      <c r="C141" s="559"/>
      <c r="D141" s="559"/>
      <c r="E141" s="559"/>
      <c r="F141" s="559"/>
      <c r="G141" s="559"/>
      <c r="H141" s="559"/>
      <c r="I141" s="559"/>
      <c r="J141" s="559"/>
      <c r="K141" s="559"/>
      <c r="L141" s="556">
        <v>0</v>
      </c>
      <c r="M141" s="556">
        <v>0</v>
      </c>
      <c r="N141" s="556">
        <v>0</v>
      </c>
      <c r="O141" s="556">
        <v>0</v>
      </c>
      <c r="P141" s="556">
        <v>0</v>
      </c>
      <c r="Q141" s="568"/>
      <c r="R141" s="590">
        <v>0</v>
      </c>
      <c r="S141" s="566">
        <v>0</v>
      </c>
      <c r="T141" s="590">
        <v>0</v>
      </c>
      <c r="U141" s="566">
        <v>0</v>
      </c>
      <c r="V141" s="591">
        <v>0</v>
      </c>
      <c r="W141" s="590">
        <v>0</v>
      </c>
      <c r="X141" s="592"/>
      <c r="Y141" s="592"/>
      <c r="Z141" s="592"/>
      <c r="AA141" s="592"/>
      <c r="AB141" s="590">
        <f>AB140</f>
        <v>650000</v>
      </c>
      <c r="AC141" s="618">
        <f>AC140</f>
        <v>1338000</v>
      </c>
      <c r="AD141" s="573"/>
      <c r="AE141" s="573"/>
      <c r="AF141" s="573"/>
      <c r="AG141" s="566">
        <v>0</v>
      </c>
      <c r="AH141" s="566">
        <v>0</v>
      </c>
      <c r="AI141" s="573"/>
      <c r="AJ141" s="573"/>
      <c r="AK141" s="570"/>
      <c r="AL141" s="552" t="s">
        <v>195</v>
      </c>
      <c r="AM141" s="522"/>
      <c r="AN141" s="522"/>
      <c r="AP141" s="511"/>
    </row>
    <row r="142" spans="1:42" ht="15.6" customHeight="1" x14ac:dyDescent="0.25"/>
    <row r="143" spans="1:42" ht="15.6" customHeight="1" x14ac:dyDescent="0.25"/>
    <row r="144" spans="1:42" ht="15.6" customHeight="1" x14ac:dyDescent="0.25">
      <c r="A144" s="522"/>
      <c r="B144" s="559" t="s">
        <v>212</v>
      </c>
      <c r="C144" s="559"/>
      <c r="D144" s="559"/>
      <c r="E144" s="559"/>
      <c r="F144" s="559"/>
      <c r="G144" s="559"/>
      <c r="H144" s="559"/>
      <c r="I144" s="559"/>
      <c r="J144" s="559"/>
      <c r="K144" s="559"/>
      <c r="L144" s="556">
        <v>0</v>
      </c>
      <c r="M144" s="556">
        <v>0</v>
      </c>
      <c r="N144" s="556">
        <v>0</v>
      </c>
      <c r="O144" s="556">
        <v>0</v>
      </c>
      <c r="P144" s="556">
        <v>0</v>
      </c>
      <c r="Q144" s="568"/>
      <c r="R144" s="590"/>
      <c r="S144" s="566">
        <v>0</v>
      </c>
      <c r="T144" s="590">
        <v>0</v>
      </c>
      <c r="U144" s="566">
        <v>0</v>
      </c>
      <c r="V144" s="591">
        <v>0</v>
      </c>
      <c r="W144" s="590">
        <v>0</v>
      </c>
      <c r="X144" s="592"/>
      <c r="Y144" s="592"/>
      <c r="Z144" s="592"/>
      <c r="AA144" s="592"/>
      <c r="AB144" s="590">
        <v>0</v>
      </c>
      <c r="AC144" s="618">
        <v>0</v>
      </c>
      <c r="AD144" s="573"/>
      <c r="AE144" s="573"/>
      <c r="AF144" s="573"/>
      <c r="AG144" s="566">
        <v>0</v>
      </c>
      <c r="AH144" s="566">
        <v>0</v>
      </c>
      <c r="AI144" s="573"/>
      <c r="AJ144" s="573"/>
      <c r="AK144" s="570"/>
      <c r="AL144" s="552" t="s">
        <v>195</v>
      </c>
      <c r="AM144" s="522"/>
      <c r="AN144" s="522"/>
    </row>
    <row r="145" spans="1:41" ht="15.6" customHeight="1" x14ac:dyDescent="0.25">
      <c r="A145" s="522"/>
      <c r="B145" s="561"/>
      <c r="C145" s="561"/>
      <c r="D145" s="589" t="s">
        <v>256</v>
      </c>
      <c r="E145" s="589"/>
      <c r="F145" s="589"/>
      <c r="G145" s="589"/>
      <c r="H145" s="589"/>
      <c r="I145" s="589"/>
      <c r="J145" s="589"/>
      <c r="K145" s="589"/>
      <c r="L145" s="589"/>
      <c r="M145" s="589"/>
      <c r="N145" s="589"/>
      <c r="O145" s="589"/>
      <c r="P145" s="589"/>
      <c r="Q145" s="589"/>
      <c r="R145" s="589"/>
      <c r="S145" s="589"/>
      <c r="T145" s="589"/>
      <c r="U145" s="589"/>
      <c r="V145" s="589"/>
      <c r="W145" s="589"/>
      <c r="X145" s="589"/>
      <c r="Y145" s="589"/>
      <c r="Z145" s="589"/>
      <c r="AA145" s="589"/>
      <c r="AB145" s="589"/>
      <c r="AC145" s="589"/>
      <c r="AD145" s="590"/>
      <c r="AE145" s="590"/>
      <c r="AF145" s="590"/>
      <c r="AG145" s="566"/>
      <c r="AH145" s="566"/>
      <c r="AI145" s="590"/>
      <c r="AJ145" s="590"/>
      <c r="AK145" s="570"/>
      <c r="AL145" s="552"/>
      <c r="AM145" s="522"/>
      <c r="AN145" s="522"/>
    </row>
    <row r="146" spans="1:41" ht="15.6" customHeight="1" x14ac:dyDescent="0.25">
      <c r="A146" s="522"/>
      <c r="B146" s="561"/>
      <c r="C146" s="561"/>
      <c r="D146" s="620" t="s">
        <v>257</v>
      </c>
      <c r="E146" s="620"/>
      <c r="F146" s="620"/>
      <c r="G146" s="620"/>
      <c r="H146" s="620"/>
      <c r="I146" s="620"/>
      <c r="J146" s="620"/>
      <c r="K146" s="620"/>
      <c r="L146" s="620"/>
      <c r="M146" s="620"/>
      <c r="N146" s="620"/>
      <c r="O146" s="620"/>
      <c r="P146" s="620"/>
      <c r="Q146" s="620"/>
      <c r="R146" s="620"/>
      <c r="S146" s="620"/>
      <c r="T146" s="620"/>
      <c r="U146" s="620"/>
      <c r="V146" s="620"/>
      <c r="W146" s="620"/>
      <c r="X146" s="620"/>
      <c r="Y146" s="621"/>
      <c r="Z146" s="621"/>
      <c r="AA146" s="621"/>
      <c r="AB146" s="515"/>
      <c r="AC146" s="515"/>
      <c r="AD146" s="590"/>
      <c r="AE146" s="590"/>
      <c r="AF146" s="590"/>
      <c r="AG146" s="566"/>
      <c r="AH146" s="566"/>
      <c r="AI146" s="590"/>
      <c r="AJ146" s="590"/>
      <c r="AK146" s="570"/>
      <c r="AL146" s="552"/>
      <c r="AM146" s="522"/>
      <c r="AN146" s="522"/>
    </row>
    <row r="147" spans="1:41" ht="15.6" customHeight="1" x14ac:dyDescent="0.25">
      <c r="A147" s="522"/>
      <c r="B147" s="559" t="s">
        <v>258</v>
      </c>
      <c r="C147" s="559"/>
      <c r="D147" s="559"/>
      <c r="E147" s="559"/>
      <c r="F147" s="559"/>
      <c r="G147" s="559"/>
      <c r="H147" s="559"/>
      <c r="I147" s="559"/>
      <c r="J147" s="559"/>
      <c r="K147" s="559"/>
      <c r="L147" s="559"/>
      <c r="M147" s="559"/>
      <c r="N147" s="559"/>
      <c r="O147" s="559"/>
      <c r="P147" s="559"/>
      <c r="Q147" s="559"/>
      <c r="R147" s="559"/>
      <c r="S147" s="559"/>
      <c r="T147" s="559"/>
      <c r="U147" s="559"/>
      <c r="V147" s="559"/>
      <c r="W147" s="559"/>
      <c r="X147" s="559"/>
      <c r="Y147" s="559"/>
      <c r="Z147" s="559"/>
      <c r="AA147" s="559"/>
      <c r="AB147" s="559"/>
      <c r="AC147" s="559"/>
      <c r="AD147" s="559"/>
      <c r="AE147" s="559"/>
      <c r="AF147" s="559"/>
      <c r="AG147" s="559"/>
      <c r="AH147" s="559"/>
      <c r="AI147" s="559"/>
      <c r="AJ147" s="559"/>
      <c r="AK147" s="559"/>
      <c r="AL147" s="552" t="s">
        <v>195</v>
      </c>
      <c r="AM147" s="522"/>
      <c r="AN147" s="522"/>
    </row>
    <row r="148" spans="1:41" ht="15.6" customHeight="1" x14ac:dyDescent="0.25">
      <c r="A148" s="522"/>
      <c r="B148" s="560" t="s">
        <v>258</v>
      </c>
      <c r="C148" s="561" t="s">
        <v>258</v>
      </c>
      <c r="D148" s="560">
        <v>656500051</v>
      </c>
      <c r="E148" s="562">
        <v>203</v>
      </c>
      <c r="F148" s="563">
        <v>656</v>
      </c>
      <c r="G148" s="564">
        <v>500005118</v>
      </c>
      <c r="H148" s="565" t="s">
        <v>211</v>
      </c>
      <c r="I148" s="565">
        <v>211</v>
      </c>
      <c r="J148" s="531">
        <v>0</v>
      </c>
      <c r="K148" s="566"/>
      <c r="L148" s="567">
        <v>124000</v>
      </c>
      <c r="M148" s="567">
        <v>0</v>
      </c>
      <c r="N148" s="567">
        <v>0</v>
      </c>
      <c r="O148" s="567">
        <v>0</v>
      </c>
      <c r="P148" s="567">
        <v>124000</v>
      </c>
      <c r="Q148" s="568">
        <f>R148+S148+T148+U148</f>
        <v>118000</v>
      </c>
      <c r="R148" s="569">
        <v>118000</v>
      </c>
      <c r="S148" s="566"/>
      <c r="T148" s="566"/>
      <c r="U148" s="566"/>
      <c r="V148" s="569">
        <v>128500</v>
      </c>
      <c r="W148" s="569" t="s">
        <v>461</v>
      </c>
      <c r="X148" s="575"/>
      <c r="Y148" s="575"/>
      <c r="Z148" s="575"/>
      <c r="AA148" s="575"/>
      <c r="AB148" s="569">
        <v>128500</v>
      </c>
      <c r="AC148" s="569">
        <v>128500</v>
      </c>
      <c r="AD148" s="566"/>
      <c r="AE148" s="566"/>
      <c r="AF148" s="566"/>
      <c r="AG148" s="566">
        <v>84094.68</v>
      </c>
      <c r="AH148" s="566">
        <v>0</v>
      </c>
      <c r="AI148" s="566"/>
      <c r="AJ148" s="569"/>
      <c r="AK148" s="570">
        <v>0.65046080645161275</v>
      </c>
      <c r="AL148" s="552" t="s">
        <v>195</v>
      </c>
      <c r="AM148" s="522"/>
      <c r="AN148" s="522"/>
    </row>
    <row r="149" spans="1:41" ht="15.6" customHeight="1" x14ac:dyDescent="0.25">
      <c r="A149" s="522"/>
      <c r="B149" s="560" t="s">
        <v>258</v>
      </c>
      <c r="C149" s="561" t="s">
        <v>258</v>
      </c>
      <c r="D149" s="560">
        <v>656500051</v>
      </c>
      <c r="E149" s="562">
        <v>203</v>
      </c>
      <c r="F149" s="563">
        <v>656</v>
      </c>
      <c r="G149" s="564">
        <v>500005118</v>
      </c>
      <c r="H149" s="565" t="s">
        <v>211</v>
      </c>
      <c r="I149" s="565">
        <v>213</v>
      </c>
      <c r="J149" s="531">
        <v>0</v>
      </c>
      <c r="K149" s="566"/>
      <c r="L149" s="567">
        <v>38000</v>
      </c>
      <c r="M149" s="567">
        <v>0</v>
      </c>
      <c r="N149" s="567">
        <v>0</v>
      </c>
      <c r="O149" s="567">
        <v>0</v>
      </c>
      <c r="P149" s="567">
        <v>38000</v>
      </c>
      <c r="Q149" s="568">
        <f>R149+S149+T149+U149</f>
        <v>35600</v>
      </c>
      <c r="R149" s="569">
        <v>35600</v>
      </c>
      <c r="S149" s="566"/>
      <c r="T149" s="566"/>
      <c r="U149" s="566"/>
      <c r="V149" s="569">
        <v>38700</v>
      </c>
      <c r="W149" s="569" t="s">
        <v>395</v>
      </c>
      <c r="X149" s="575"/>
      <c r="Y149" s="575"/>
      <c r="Z149" s="575"/>
      <c r="AA149" s="575"/>
      <c r="AB149" s="569">
        <v>38700</v>
      </c>
      <c r="AC149" s="569">
        <v>38700</v>
      </c>
      <c r="AD149" s="566"/>
      <c r="AE149" s="566"/>
      <c r="AF149" s="566"/>
      <c r="AG149" s="566">
        <v>28128.94</v>
      </c>
      <c r="AH149" s="566">
        <v>0</v>
      </c>
      <c r="AI149" s="566"/>
      <c r="AJ149" s="569"/>
      <c r="AK149" s="570">
        <v>0.63992105263157895</v>
      </c>
      <c r="AL149" s="552" t="s">
        <v>195</v>
      </c>
      <c r="AM149" s="522"/>
      <c r="AN149" s="522"/>
    </row>
    <row r="150" spans="1:41" ht="15.6" customHeight="1" x14ac:dyDescent="0.25">
      <c r="A150" s="522"/>
      <c r="B150" s="559" t="s">
        <v>212</v>
      </c>
      <c r="C150" s="559"/>
      <c r="D150" s="559"/>
      <c r="E150" s="559"/>
      <c r="F150" s="559"/>
      <c r="G150" s="559"/>
      <c r="H150" s="559"/>
      <c r="I150" s="559"/>
      <c r="J150" s="559"/>
      <c r="K150" s="559"/>
      <c r="L150" s="556">
        <v>162000</v>
      </c>
      <c r="M150" s="556">
        <v>0</v>
      </c>
      <c r="N150" s="556">
        <v>0</v>
      </c>
      <c r="O150" s="556">
        <v>0</v>
      </c>
      <c r="P150" s="556">
        <v>162000</v>
      </c>
      <c r="Q150" s="571">
        <f>R150+S150+T150+U150</f>
        <v>153600</v>
      </c>
      <c r="R150" s="591">
        <f>R148+R149</f>
        <v>153600</v>
      </c>
      <c r="S150" s="566"/>
      <c r="T150" s="590"/>
      <c r="U150" s="566"/>
      <c r="V150" s="591">
        <f>V148+V149</f>
        <v>167200</v>
      </c>
      <c r="W150" s="591"/>
      <c r="X150" s="592"/>
      <c r="Y150" s="592"/>
      <c r="Z150" s="592"/>
      <c r="AA150" s="592"/>
      <c r="AB150" s="591">
        <f>AB148+AB149</f>
        <v>167200</v>
      </c>
      <c r="AC150" s="591">
        <f>AC148+AC149</f>
        <v>167200</v>
      </c>
      <c r="AD150" s="573"/>
      <c r="AE150" s="573"/>
      <c r="AF150" s="573"/>
      <c r="AG150" s="566">
        <v>112223.62</v>
      </c>
      <c r="AH150" s="566">
        <v>0</v>
      </c>
      <c r="AI150" s="573"/>
      <c r="AJ150" s="573"/>
      <c r="AK150" s="570">
        <v>0.64798851851851846</v>
      </c>
      <c r="AL150" s="552" t="s">
        <v>195</v>
      </c>
      <c r="AM150" s="522"/>
      <c r="AN150" s="522"/>
      <c r="AO150" s="513"/>
    </row>
    <row r="151" spans="1:41" ht="15.6" customHeight="1" x14ac:dyDescent="0.25">
      <c r="A151" s="522"/>
      <c r="B151" s="559" t="s">
        <v>259</v>
      </c>
      <c r="C151" s="559"/>
      <c r="D151" s="559"/>
      <c r="E151" s="559"/>
      <c r="F151" s="559"/>
      <c r="G151" s="559"/>
      <c r="H151" s="559"/>
      <c r="I151" s="559"/>
      <c r="J151" s="559"/>
      <c r="K151" s="559"/>
      <c r="L151" s="559"/>
      <c r="M151" s="559"/>
      <c r="N151" s="559"/>
      <c r="O151" s="559"/>
      <c r="P151" s="559"/>
      <c r="Q151" s="559"/>
      <c r="R151" s="559"/>
      <c r="S151" s="559"/>
      <c r="T151" s="559"/>
      <c r="U151" s="559"/>
      <c r="V151" s="559"/>
      <c r="W151" s="559"/>
      <c r="X151" s="559"/>
      <c r="Y151" s="559"/>
      <c r="Z151" s="559"/>
      <c r="AA151" s="559"/>
      <c r="AB151" s="559"/>
      <c r="AC151" s="559"/>
      <c r="AD151" s="559"/>
      <c r="AE151" s="559"/>
      <c r="AF151" s="559"/>
      <c r="AG151" s="559"/>
      <c r="AH151" s="559"/>
      <c r="AI151" s="559"/>
      <c r="AJ151" s="559"/>
      <c r="AK151" s="559"/>
      <c r="AL151" s="552" t="s">
        <v>195</v>
      </c>
      <c r="AM151" s="522"/>
      <c r="AN151" s="522"/>
    </row>
    <row r="152" spans="1:41" ht="15.6" customHeight="1" x14ac:dyDescent="0.25">
      <c r="A152" s="522"/>
      <c r="B152" s="560" t="s">
        <v>259</v>
      </c>
      <c r="C152" s="561" t="s">
        <v>259</v>
      </c>
      <c r="D152" s="560">
        <v>656500052</v>
      </c>
      <c r="E152" s="562">
        <v>203</v>
      </c>
      <c r="F152" s="563">
        <v>656</v>
      </c>
      <c r="G152" s="564">
        <v>500005118</v>
      </c>
      <c r="H152" s="565" t="s">
        <v>219</v>
      </c>
      <c r="I152" s="565">
        <v>225</v>
      </c>
      <c r="J152" s="531" t="s">
        <v>260</v>
      </c>
      <c r="K152" s="566"/>
      <c r="L152" s="567">
        <v>0</v>
      </c>
      <c r="M152" s="567">
        <v>0</v>
      </c>
      <c r="N152" s="567">
        <v>0</v>
      </c>
      <c r="O152" s="567">
        <v>0</v>
      </c>
      <c r="P152" s="567">
        <v>0</v>
      </c>
      <c r="Q152" s="568"/>
      <c r="R152" s="569">
        <v>1400</v>
      </c>
      <c r="S152" s="566"/>
      <c r="T152" s="566"/>
      <c r="U152" s="566"/>
      <c r="V152" s="569"/>
      <c r="W152" s="605" t="s">
        <v>462</v>
      </c>
      <c r="X152" s="575"/>
      <c r="Y152" s="575"/>
      <c r="Z152" s="575"/>
      <c r="AA152" s="575"/>
      <c r="AB152" s="569"/>
      <c r="AC152" s="569"/>
      <c r="AD152" s="566"/>
      <c r="AE152" s="566"/>
      <c r="AF152" s="566"/>
      <c r="AG152" s="566">
        <v>0</v>
      </c>
      <c r="AH152" s="566">
        <v>0</v>
      </c>
      <c r="AI152" s="566"/>
      <c r="AJ152" s="569"/>
      <c r="AK152" s="570">
        <v>0</v>
      </c>
      <c r="AL152" s="552" t="s">
        <v>195</v>
      </c>
      <c r="AM152" s="522"/>
      <c r="AN152" s="522"/>
      <c r="AO152" s="513"/>
    </row>
    <row r="153" spans="1:41" ht="15.6" customHeight="1" x14ac:dyDescent="0.25">
      <c r="A153" s="522"/>
      <c r="B153" s="560" t="s">
        <v>259</v>
      </c>
      <c r="C153" s="561" t="s">
        <v>259</v>
      </c>
      <c r="D153" s="560">
        <v>656500052</v>
      </c>
      <c r="E153" s="562">
        <v>203</v>
      </c>
      <c r="F153" s="563">
        <v>656</v>
      </c>
      <c r="G153" s="564">
        <v>500005118</v>
      </c>
      <c r="H153" s="565" t="s">
        <v>219</v>
      </c>
      <c r="I153" s="565">
        <v>226</v>
      </c>
      <c r="J153" s="531" t="s">
        <v>260</v>
      </c>
      <c r="K153" s="566"/>
      <c r="L153" s="567">
        <v>0</v>
      </c>
      <c r="M153" s="567">
        <v>0</v>
      </c>
      <c r="N153" s="567">
        <v>0</v>
      </c>
      <c r="O153" s="567">
        <v>0</v>
      </c>
      <c r="P153" s="567">
        <v>0</v>
      </c>
      <c r="Q153" s="568"/>
      <c r="R153" s="569">
        <v>1400</v>
      </c>
      <c r="S153" s="566"/>
      <c r="T153" s="566"/>
      <c r="U153" s="566"/>
      <c r="V153" s="569"/>
      <c r="W153" s="569"/>
      <c r="X153" s="575"/>
      <c r="Y153" s="575"/>
      <c r="Z153" s="575"/>
      <c r="AA153" s="575"/>
      <c r="AB153" s="569"/>
      <c r="AC153" s="569"/>
      <c r="AD153" s="566"/>
      <c r="AE153" s="566"/>
      <c r="AF153" s="566"/>
      <c r="AG153" s="566">
        <v>0</v>
      </c>
      <c r="AH153" s="566">
        <v>0</v>
      </c>
      <c r="AI153" s="566"/>
      <c r="AJ153" s="569"/>
      <c r="AK153" s="570">
        <v>0</v>
      </c>
      <c r="AL153" s="552" t="s">
        <v>195</v>
      </c>
      <c r="AM153" s="522"/>
      <c r="AN153" s="522"/>
      <c r="AO153" s="513"/>
    </row>
    <row r="154" spans="1:41" ht="15.6" customHeight="1" x14ac:dyDescent="0.25">
      <c r="A154" s="522"/>
      <c r="B154" s="560" t="s">
        <v>259</v>
      </c>
      <c r="C154" s="561" t="s">
        <v>259</v>
      </c>
      <c r="D154" s="560">
        <v>656500052</v>
      </c>
      <c r="E154" s="562">
        <v>203</v>
      </c>
      <c r="F154" s="563">
        <v>656</v>
      </c>
      <c r="G154" s="564">
        <v>500005118</v>
      </c>
      <c r="H154" s="565" t="s">
        <v>219</v>
      </c>
      <c r="I154" s="565">
        <v>310</v>
      </c>
      <c r="J154" s="531" t="s">
        <v>260</v>
      </c>
      <c r="K154" s="566"/>
      <c r="L154" s="567">
        <v>0</v>
      </c>
      <c r="M154" s="567">
        <v>0</v>
      </c>
      <c r="N154" s="567">
        <v>0</v>
      </c>
      <c r="O154" s="567">
        <v>0</v>
      </c>
      <c r="P154" s="567">
        <v>0</v>
      </c>
      <c r="Q154" s="568"/>
      <c r="R154" s="569">
        <v>1400</v>
      </c>
      <c r="S154" s="566"/>
      <c r="T154" s="566"/>
      <c r="U154" s="566"/>
      <c r="V154" s="569">
        <v>42900</v>
      </c>
      <c r="W154" s="569" t="s">
        <v>466</v>
      </c>
      <c r="X154" s="575"/>
      <c r="Y154" s="575">
        <f>AC150+AC160</f>
        <v>227300</v>
      </c>
      <c r="Z154" s="575"/>
      <c r="AA154" s="575"/>
      <c r="AB154" s="569">
        <v>46800</v>
      </c>
      <c r="AC154" s="569">
        <v>60100</v>
      </c>
      <c r="AD154" s="566"/>
      <c r="AE154" s="566"/>
      <c r="AF154" s="566"/>
      <c r="AG154" s="566">
        <v>0</v>
      </c>
      <c r="AH154" s="566">
        <v>0</v>
      </c>
      <c r="AI154" s="566"/>
      <c r="AJ154" s="569"/>
      <c r="AK154" s="570">
        <v>0</v>
      </c>
      <c r="AL154" s="552" t="s">
        <v>195</v>
      </c>
      <c r="AM154" s="522"/>
      <c r="AN154" s="522"/>
    </row>
    <row r="155" spans="1:41" ht="15.6" customHeight="1" x14ac:dyDescent="0.25">
      <c r="A155" s="522"/>
      <c r="B155" s="560" t="s">
        <v>259</v>
      </c>
      <c r="C155" s="561" t="s">
        <v>259</v>
      </c>
      <c r="D155" s="560">
        <v>656020012</v>
      </c>
      <c r="E155" s="562">
        <v>203</v>
      </c>
      <c r="F155" s="563">
        <v>656</v>
      </c>
      <c r="G155" s="564">
        <v>13600</v>
      </c>
      <c r="H155" s="565" t="s">
        <v>219</v>
      </c>
      <c r="I155" s="565">
        <v>340</v>
      </c>
      <c r="J155" s="531" t="s">
        <v>261</v>
      </c>
      <c r="K155" s="566"/>
      <c r="L155" s="567">
        <v>4100</v>
      </c>
      <c r="M155" s="567">
        <v>0</v>
      </c>
      <c r="N155" s="567">
        <v>0</v>
      </c>
      <c r="O155" s="567">
        <v>0</v>
      </c>
      <c r="P155" s="567">
        <v>4100</v>
      </c>
      <c r="Q155" s="568"/>
      <c r="R155" s="569"/>
      <c r="S155" s="566"/>
      <c r="T155" s="566"/>
      <c r="U155" s="566"/>
      <c r="V155" s="569"/>
      <c r="W155" s="569">
        <v>0</v>
      </c>
      <c r="X155" s="575"/>
      <c r="Y155" s="575"/>
      <c r="Z155" s="575"/>
      <c r="AA155" s="575"/>
      <c r="AB155" s="569"/>
      <c r="AC155" s="569"/>
      <c r="AD155" s="566"/>
      <c r="AE155" s="566"/>
      <c r="AF155" s="566"/>
      <c r="AG155" s="566">
        <v>0</v>
      </c>
      <c r="AH155" s="566">
        <v>0</v>
      </c>
      <c r="AI155" s="566"/>
      <c r="AJ155" s="569"/>
      <c r="AK155" s="570">
        <v>0</v>
      </c>
      <c r="AL155" s="552" t="s">
        <v>195</v>
      </c>
      <c r="AM155" s="522"/>
      <c r="AN155" s="522"/>
    </row>
    <row r="156" spans="1:41" ht="15.6" customHeight="1" x14ac:dyDescent="0.25">
      <c r="A156" s="522"/>
      <c r="B156" s="560" t="s">
        <v>259</v>
      </c>
      <c r="C156" s="561" t="s">
        <v>259</v>
      </c>
      <c r="D156" s="560"/>
      <c r="E156" s="562"/>
      <c r="F156" s="563"/>
      <c r="G156" s="564"/>
      <c r="H156" s="565"/>
      <c r="I156" s="565">
        <v>340</v>
      </c>
      <c r="J156" s="531" t="s">
        <v>261</v>
      </c>
      <c r="K156" s="566"/>
      <c r="L156" s="567">
        <v>4100</v>
      </c>
      <c r="M156" s="567">
        <v>0</v>
      </c>
      <c r="N156" s="567">
        <v>0</v>
      </c>
      <c r="O156" s="567">
        <v>0</v>
      </c>
      <c r="P156" s="567">
        <v>4100</v>
      </c>
      <c r="Q156" s="568"/>
      <c r="R156" s="569"/>
      <c r="S156" s="566"/>
      <c r="T156" s="566"/>
      <c r="U156" s="566"/>
      <c r="V156" s="569"/>
      <c r="W156" s="569">
        <v>0</v>
      </c>
      <c r="X156" s="575"/>
      <c r="Y156" s="575"/>
      <c r="Z156" s="575"/>
      <c r="AA156" s="575"/>
      <c r="AB156" s="569"/>
      <c r="AC156" s="569"/>
      <c r="AD156" s="566"/>
      <c r="AE156" s="566"/>
      <c r="AF156" s="566"/>
      <c r="AG156" s="566">
        <v>0</v>
      </c>
      <c r="AH156" s="566">
        <v>0</v>
      </c>
      <c r="AI156" s="566"/>
      <c r="AJ156" s="569"/>
      <c r="AK156" s="570">
        <v>0</v>
      </c>
      <c r="AL156" s="552" t="s">
        <v>195</v>
      </c>
      <c r="AM156" s="522"/>
      <c r="AN156" s="522"/>
    </row>
    <row r="157" spans="1:41" ht="15.6" customHeight="1" x14ac:dyDescent="0.25">
      <c r="A157" s="522"/>
      <c r="B157" s="560" t="s">
        <v>259</v>
      </c>
      <c r="C157" s="561" t="s">
        <v>259</v>
      </c>
      <c r="D157" s="560"/>
      <c r="E157" s="562"/>
      <c r="F157" s="563"/>
      <c r="G157" s="564"/>
      <c r="H157" s="565"/>
      <c r="I157" s="565">
        <v>340</v>
      </c>
      <c r="J157" s="531" t="s">
        <v>261</v>
      </c>
      <c r="K157" s="566"/>
      <c r="L157" s="567">
        <v>4100</v>
      </c>
      <c r="M157" s="567">
        <v>0</v>
      </c>
      <c r="N157" s="567">
        <v>0</v>
      </c>
      <c r="O157" s="567">
        <v>0</v>
      </c>
      <c r="P157" s="567">
        <v>4100</v>
      </c>
      <c r="Q157" s="568"/>
      <c r="R157" s="569"/>
      <c r="S157" s="566"/>
      <c r="T157" s="566"/>
      <c r="U157" s="566"/>
      <c r="V157" s="569"/>
      <c r="W157" s="569">
        <v>0</v>
      </c>
      <c r="X157" s="575"/>
      <c r="Y157" s="575"/>
      <c r="Z157" s="575"/>
      <c r="AA157" s="575"/>
      <c r="AB157" s="569"/>
      <c r="AC157" s="569"/>
      <c r="AD157" s="566"/>
      <c r="AE157" s="566"/>
      <c r="AF157" s="566"/>
      <c r="AG157" s="566">
        <v>0</v>
      </c>
      <c r="AH157" s="566">
        <v>0</v>
      </c>
      <c r="AI157" s="566"/>
      <c r="AJ157" s="569"/>
      <c r="AK157" s="570">
        <v>0</v>
      </c>
      <c r="AL157" s="552" t="s">
        <v>195</v>
      </c>
      <c r="AM157" s="522"/>
      <c r="AN157" s="522"/>
    </row>
    <row r="158" spans="1:41" s="514" customFormat="1" ht="15.6" customHeight="1" x14ac:dyDescent="0.25">
      <c r="A158" s="578"/>
      <c r="B158" s="579"/>
      <c r="C158" s="561"/>
      <c r="D158" s="579" t="s">
        <v>254</v>
      </c>
      <c r="E158" s="580"/>
      <c r="F158" s="581"/>
      <c r="G158" s="622"/>
      <c r="H158" s="623"/>
      <c r="I158" s="623">
        <v>340</v>
      </c>
      <c r="J158" s="535"/>
      <c r="K158" s="582"/>
      <c r="L158" s="583"/>
      <c r="M158" s="583"/>
      <c r="N158" s="583"/>
      <c r="O158" s="583"/>
      <c r="P158" s="583"/>
      <c r="Q158" s="571"/>
      <c r="R158" s="585"/>
      <c r="S158" s="582"/>
      <c r="T158" s="582"/>
      <c r="U158" s="582"/>
      <c r="V158" s="585"/>
      <c r="W158" s="585">
        <f>W155+W156+W157</f>
        <v>0</v>
      </c>
      <c r="X158" s="599"/>
      <c r="Y158" s="599"/>
      <c r="Z158" s="599"/>
      <c r="AA158" s="599"/>
      <c r="AB158" s="585"/>
      <c r="AC158" s="585"/>
      <c r="AD158" s="582"/>
      <c r="AE158" s="582"/>
      <c r="AF158" s="582"/>
      <c r="AG158" s="582"/>
      <c r="AH158" s="582"/>
      <c r="AI158" s="582"/>
      <c r="AJ158" s="585"/>
      <c r="AK158" s="586"/>
      <c r="AL158" s="587"/>
      <c r="AM158" s="578"/>
      <c r="AN158" s="578"/>
    </row>
    <row r="159" spans="1:41" ht="15.6" customHeight="1" x14ac:dyDescent="0.25">
      <c r="A159" s="522"/>
      <c r="B159" s="560" t="s">
        <v>259</v>
      </c>
      <c r="C159" s="561" t="s">
        <v>259</v>
      </c>
      <c r="D159" s="560">
        <v>656500052</v>
      </c>
      <c r="E159" s="562">
        <v>203</v>
      </c>
      <c r="F159" s="563">
        <v>656</v>
      </c>
      <c r="G159" s="564">
        <v>500005118</v>
      </c>
      <c r="H159" s="565" t="s">
        <v>219</v>
      </c>
      <c r="I159" s="565">
        <v>340</v>
      </c>
      <c r="J159" s="531" t="s">
        <v>261</v>
      </c>
      <c r="K159" s="566"/>
      <c r="L159" s="567">
        <v>0</v>
      </c>
      <c r="M159" s="567">
        <v>0</v>
      </c>
      <c r="N159" s="567">
        <v>0</v>
      </c>
      <c r="O159" s="567">
        <v>0</v>
      </c>
      <c r="P159" s="567">
        <v>0</v>
      </c>
      <c r="Q159" s="568"/>
      <c r="R159" s="569">
        <v>1400</v>
      </c>
      <c r="S159" s="566"/>
      <c r="T159" s="566"/>
      <c r="U159" s="566"/>
      <c r="V159" s="569"/>
      <c r="W159" s="569" t="s">
        <v>463</v>
      </c>
      <c r="X159" s="575"/>
      <c r="Y159" s="575"/>
      <c r="Z159" s="575"/>
      <c r="AA159" s="575"/>
      <c r="AB159" s="569"/>
      <c r="AC159" s="569"/>
      <c r="AD159" s="566"/>
      <c r="AE159" s="566"/>
      <c r="AF159" s="566"/>
      <c r="AG159" s="566">
        <v>0</v>
      </c>
      <c r="AH159" s="566">
        <v>0</v>
      </c>
      <c r="AI159" s="566"/>
      <c r="AJ159" s="569"/>
      <c r="AK159" s="570">
        <v>0</v>
      </c>
      <c r="AL159" s="552" t="s">
        <v>195</v>
      </c>
      <c r="AM159" s="522"/>
      <c r="AN159" s="522"/>
    </row>
    <row r="160" spans="1:41" ht="15.6" customHeight="1" x14ac:dyDescent="0.25">
      <c r="A160" s="522"/>
      <c r="B160" s="559" t="s">
        <v>212</v>
      </c>
      <c r="C160" s="559"/>
      <c r="D160" s="559"/>
      <c r="E160" s="559"/>
      <c r="F160" s="559"/>
      <c r="G160" s="559"/>
      <c r="H160" s="559"/>
      <c r="I160" s="559"/>
      <c r="J160" s="559"/>
      <c r="K160" s="559"/>
      <c r="L160" s="556">
        <v>5100</v>
      </c>
      <c r="M160" s="556">
        <v>0</v>
      </c>
      <c r="N160" s="556">
        <v>0</v>
      </c>
      <c r="O160" s="556">
        <v>0</v>
      </c>
      <c r="P160" s="556">
        <v>5100</v>
      </c>
      <c r="Q160" s="571">
        <f>R160+S160+T160+U160</f>
        <v>2800</v>
      </c>
      <c r="R160" s="591">
        <f>R158+R154+R153</f>
        <v>2800</v>
      </c>
      <c r="S160" s="566"/>
      <c r="T160" s="590"/>
      <c r="U160" s="566"/>
      <c r="V160" s="591">
        <f>V153+V154+V159+V152</f>
        <v>42900</v>
      </c>
      <c r="W160" s="590">
        <f>V160+V150</f>
        <v>210100</v>
      </c>
      <c r="X160" s="592"/>
      <c r="Y160" s="592">
        <f>AB150+AB160</f>
        <v>214000</v>
      </c>
      <c r="Z160" s="592"/>
      <c r="AA160" s="592"/>
      <c r="AB160" s="591">
        <f>AB158+AB154+AB153</f>
        <v>46800</v>
      </c>
      <c r="AC160" s="591">
        <f>AC158+AC154+AC153</f>
        <v>60100</v>
      </c>
      <c r="AD160" s="573"/>
      <c r="AE160" s="573"/>
      <c r="AF160" s="573"/>
      <c r="AG160" s="566">
        <v>0</v>
      </c>
      <c r="AH160" s="566">
        <v>0</v>
      </c>
      <c r="AI160" s="573"/>
      <c r="AJ160" s="573"/>
      <c r="AK160" s="570">
        <v>0</v>
      </c>
      <c r="AL160" s="552" t="s">
        <v>195</v>
      </c>
      <c r="AM160" s="522"/>
      <c r="AN160" s="522"/>
      <c r="AO160" s="513"/>
    </row>
    <row r="161" spans="1:40" ht="15.6" customHeight="1" x14ac:dyDescent="0.25">
      <c r="A161" s="522"/>
      <c r="B161" s="561"/>
      <c r="C161" s="561"/>
      <c r="D161" s="593" t="s">
        <v>262</v>
      </c>
      <c r="E161" s="593"/>
      <c r="F161" s="593"/>
      <c r="G161" s="593"/>
      <c r="H161" s="593"/>
      <c r="I161" s="593"/>
      <c r="J161" s="593"/>
      <c r="K161" s="593"/>
      <c r="L161" s="593"/>
      <c r="M161" s="593"/>
      <c r="N161" s="593"/>
      <c r="O161" s="593"/>
      <c r="P161" s="593"/>
      <c r="Q161" s="593"/>
      <c r="R161" s="593"/>
      <c r="S161" s="593"/>
      <c r="T161" s="593"/>
      <c r="U161" s="593"/>
      <c r="V161" s="593"/>
      <c r="W161" s="593"/>
      <c r="X161" s="592"/>
      <c r="Y161" s="592"/>
      <c r="Z161" s="592"/>
      <c r="AA161" s="592"/>
      <c r="AB161" s="591"/>
      <c r="AC161" s="591"/>
      <c r="AD161" s="590"/>
      <c r="AE161" s="590"/>
      <c r="AF161" s="590"/>
      <c r="AG161" s="566"/>
      <c r="AH161" s="566"/>
      <c r="AI161" s="590"/>
      <c r="AJ161" s="590"/>
      <c r="AK161" s="570"/>
      <c r="AL161" s="552"/>
      <c r="AM161" s="522"/>
      <c r="AN161" s="522"/>
    </row>
    <row r="162" spans="1:40" ht="15.6" customHeight="1" x14ac:dyDescent="0.25">
      <c r="A162" s="522"/>
      <c r="B162" s="559" t="s">
        <v>263</v>
      </c>
      <c r="C162" s="559"/>
      <c r="D162" s="559"/>
      <c r="E162" s="559"/>
      <c r="F162" s="559"/>
      <c r="G162" s="559"/>
      <c r="H162" s="559"/>
      <c r="I162" s="559"/>
      <c r="J162" s="559"/>
      <c r="K162" s="559"/>
      <c r="L162" s="559"/>
      <c r="M162" s="559"/>
      <c r="N162" s="559"/>
      <c r="O162" s="559"/>
      <c r="P162" s="559"/>
      <c r="Q162" s="559"/>
      <c r="R162" s="559"/>
      <c r="S162" s="559"/>
      <c r="T162" s="559"/>
      <c r="U162" s="559"/>
      <c r="V162" s="559"/>
      <c r="W162" s="559"/>
      <c r="X162" s="559"/>
      <c r="Y162" s="559"/>
      <c r="Z162" s="559"/>
      <c r="AA162" s="559"/>
      <c r="AB162" s="559"/>
      <c r="AC162" s="559"/>
      <c r="AD162" s="559"/>
      <c r="AE162" s="559"/>
      <c r="AF162" s="559"/>
      <c r="AG162" s="559"/>
      <c r="AH162" s="559"/>
      <c r="AI162" s="559"/>
      <c r="AJ162" s="559"/>
      <c r="AK162" s="559"/>
      <c r="AL162" s="552" t="s">
        <v>195</v>
      </c>
      <c r="AM162" s="522"/>
      <c r="AN162" s="522"/>
    </row>
    <row r="163" spans="1:40" ht="15.6" customHeight="1" x14ac:dyDescent="0.25">
      <c r="A163" s="522"/>
      <c r="B163" s="560" t="s">
        <v>263</v>
      </c>
      <c r="C163" s="561" t="s">
        <v>263</v>
      </c>
      <c r="D163" s="560">
        <v>656500061</v>
      </c>
      <c r="E163" s="562">
        <v>304</v>
      </c>
      <c r="F163" s="563">
        <v>656</v>
      </c>
      <c r="G163" s="564" t="s">
        <v>358</v>
      </c>
      <c r="H163" s="565" t="s">
        <v>219</v>
      </c>
      <c r="I163" s="565">
        <v>290</v>
      </c>
      <c r="J163" s="531" t="s">
        <v>261</v>
      </c>
      <c r="K163" s="566"/>
      <c r="L163" s="567">
        <v>9000</v>
      </c>
      <c r="M163" s="567">
        <v>-2881</v>
      </c>
      <c r="N163" s="567">
        <v>0</v>
      </c>
      <c r="O163" s="567">
        <v>0</v>
      </c>
      <c r="P163" s="567">
        <v>6119</v>
      </c>
      <c r="Q163" s="568">
        <f>R163+S163+T163+U163</f>
        <v>6800</v>
      </c>
      <c r="R163" s="569">
        <v>6800</v>
      </c>
      <c r="S163" s="566"/>
      <c r="T163" s="566"/>
      <c r="U163" s="566"/>
      <c r="V163" s="569">
        <v>1470</v>
      </c>
      <c r="W163" s="566" t="s">
        <v>465</v>
      </c>
      <c r="X163" s="575"/>
      <c r="Y163" s="575"/>
      <c r="Z163" s="575"/>
      <c r="AA163" s="575"/>
      <c r="AB163" s="569">
        <v>1470</v>
      </c>
      <c r="AC163" s="569">
        <v>1470</v>
      </c>
      <c r="AD163" s="566"/>
      <c r="AE163" s="566"/>
      <c r="AF163" s="566"/>
      <c r="AG163" s="566">
        <v>6119</v>
      </c>
      <c r="AH163" s="566">
        <v>0</v>
      </c>
      <c r="AI163" s="566"/>
      <c r="AJ163" s="569"/>
      <c r="AK163" s="570">
        <v>1</v>
      </c>
      <c r="AL163" s="552" t="s">
        <v>195</v>
      </c>
      <c r="AM163" s="522"/>
      <c r="AN163" s="522"/>
    </row>
    <row r="164" spans="1:40" ht="15.6" customHeight="1" x14ac:dyDescent="0.25">
      <c r="A164" s="522"/>
      <c r="B164" s="560" t="s">
        <v>263</v>
      </c>
      <c r="C164" s="561" t="s">
        <v>263</v>
      </c>
      <c r="D164" s="560">
        <v>656500061</v>
      </c>
      <c r="E164" s="562">
        <v>304</v>
      </c>
      <c r="F164" s="563">
        <v>656</v>
      </c>
      <c r="G164" s="564">
        <v>5000059300</v>
      </c>
      <c r="H164" s="565" t="s">
        <v>219</v>
      </c>
      <c r="I164" s="565">
        <v>340</v>
      </c>
      <c r="J164" s="531" t="s">
        <v>261</v>
      </c>
      <c r="K164" s="566"/>
      <c r="L164" s="567">
        <v>0</v>
      </c>
      <c r="M164" s="567">
        <v>2881</v>
      </c>
      <c r="N164" s="567">
        <v>0</v>
      </c>
      <c r="O164" s="567">
        <v>0</v>
      </c>
      <c r="P164" s="567">
        <v>2881</v>
      </c>
      <c r="Q164" s="568">
        <f>R164+S164+T164+U164</f>
        <v>3000</v>
      </c>
      <c r="R164" s="569">
        <v>3000</v>
      </c>
      <c r="S164" s="566"/>
      <c r="T164" s="566"/>
      <c r="U164" s="566"/>
      <c r="V164" s="569">
        <v>10570</v>
      </c>
      <c r="W164" s="566" t="s">
        <v>464</v>
      </c>
      <c r="X164" s="575"/>
      <c r="Y164" s="575"/>
      <c r="Z164" s="575"/>
      <c r="AA164" s="575"/>
      <c r="AB164" s="569">
        <v>10570</v>
      </c>
      <c r="AC164" s="569">
        <v>10570</v>
      </c>
      <c r="AD164" s="566"/>
      <c r="AE164" s="566"/>
      <c r="AF164" s="566"/>
      <c r="AG164" s="566">
        <v>2881</v>
      </c>
      <c r="AH164" s="566">
        <v>0</v>
      </c>
      <c r="AI164" s="566"/>
      <c r="AJ164" s="569"/>
      <c r="AK164" s="570">
        <v>1</v>
      </c>
      <c r="AL164" s="552" t="s">
        <v>195</v>
      </c>
      <c r="AM164" s="522"/>
      <c r="AN164" s="522"/>
    </row>
    <row r="165" spans="1:40" ht="15.6" customHeight="1" x14ac:dyDescent="0.25">
      <c r="A165" s="522"/>
      <c r="B165" s="559" t="s">
        <v>212</v>
      </c>
      <c r="C165" s="559"/>
      <c r="D165" s="559"/>
      <c r="E165" s="559"/>
      <c r="F165" s="559"/>
      <c r="G165" s="559"/>
      <c r="H165" s="559"/>
      <c r="I165" s="559"/>
      <c r="J165" s="559"/>
      <c r="K165" s="559"/>
      <c r="L165" s="556">
        <v>9000</v>
      </c>
      <c r="M165" s="556">
        <v>0</v>
      </c>
      <c r="N165" s="556">
        <v>0</v>
      </c>
      <c r="O165" s="556">
        <v>0</v>
      </c>
      <c r="P165" s="556">
        <v>9000</v>
      </c>
      <c r="Q165" s="571">
        <f>R165+S165+T165+U165</f>
        <v>9800</v>
      </c>
      <c r="R165" s="591">
        <f>R163+R164</f>
        <v>9800</v>
      </c>
      <c r="S165" s="566"/>
      <c r="T165" s="590"/>
      <c r="U165" s="566"/>
      <c r="V165" s="591">
        <f>V163+V164</f>
        <v>12040</v>
      </c>
      <c r="W165" s="590"/>
      <c r="X165" s="592"/>
      <c r="Y165" s="592"/>
      <c r="Z165" s="592"/>
      <c r="AA165" s="592"/>
      <c r="AB165" s="591">
        <f>AB163+AB164</f>
        <v>12040</v>
      </c>
      <c r="AC165" s="591">
        <f>AC163+AC164</f>
        <v>12040</v>
      </c>
      <c r="AD165" s="573"/>
      <c r="AE165" s="573"/>
      <c r="AF165" s="573"/>
      <c r="AG165" s="566">
        <v>9000</v>
      </c>
      <c r="AH165" s="566">
        <v>0</v>
      </c>
      <c r="AI165" s="573"/>
      <c r="AJ165" s="573"/>
      <c r="AK165" s="570">
        <v>1</v>
      </c>
      <c r="AL165" s="552" t="s">
        <v>195</v>
      </c>
      <c r="AM165" s="522"/>
      <c r="AN165" s="522"/>
    </row>
    <row r="166" spans="1:40" ht="15.6" customHeight="1" x14ac:dyDescent="0.25">
      <c r="A166" s="522"/>
      <c r="B166" s="559" t="s">
        <v>265</v>
      </c>
      <c r="C166" s="559"/>
      <c r="D166" s="559"/>
      <c r="E166" s="559"/>
      <c r="F166" s="559"/>
      <c r="G166" s="559"/>
      <c r="H166" s="559"/>
      <c r="I166" s="559"/>
      <c r="J166" s="559"/>
      <c r="K166" s="559"/>
      <c r="L166" s="559"/>
      <c r="M166" s="559"/>
      <c r="N166" s="559"/>
      <c r="O166" s="559"/>
      <c r="P166" s="559"/>
      <c r="Q166" s="559"/>
      <c r="R166" s="559"/>
      <c r="S166" s="559"/>
      <c r="T166" s="559"/>
      <c r="U166" s="559"/>
      <c r="V166" s="559"/>
      <c r="W166" s="559"/>
      <c r="X166" s="559"/>
      <c r="Y166" s="559"/>
      <c r="Z166" s="559"/>
      <c r="AA166" s="559"/>
      <c r="AB166" s="559"/>
      <c r="AC166" s="559"/>
      <c r="AD166" s="559"/>
      <c r="AE166" s="559"/>
      <c r="AF166" s="559"/>
      <c r="AG166" s="559"/>
      <c r="AH166" s="559"/>
      <c r="AI166" s="559"/>
      <c r="AJ166" s="559"/>
      <c r="AK166" s="559"/>
      <c r="AL166" s="552" t="s">
        <v>195</v>
      </c>
      <c r="AM166" s="522"/>
      <c r="AN166" s="522"/>
    </row>
    <row r="167" spans="1:40" ht="15.6" customHeight="1" x14ac:dyDescent="0.25">
      <c r="A167" s="522"/>
      <c r="B167" s="561"/>
      <c r="C167" s="561"/>
      <c r="D167" s="593" t="s">
        <v>266</v>
      </c>
      <c r="E167" s="593"/>
      <c r="F167" s="593"/>
      <c r="G167" s="593"/>
      <c r="H167" s="593"/>
      <c r="I167" s="593"/>
      <c r="J167" s="593"/>
      <c r="K167" s="593"/>
      <c r="L167" s="593"/>
      <c r="M167" s="593"/>
      <c r="N167" s="593"/>
      <c r="O167" s="593"/>
      <c r="P167" s="593"/>
      <c r="Q167" s="593"/>
      <c r="R167" s="593"/>
      <c r="S167" s="593"/>
      <c r="T167" s="593"/>
      <c r="U167" s="593"/>
      <c r="V167" s="593"/>
      <c r="W167" s="593"/>
      <c r="X167" s="593"/>
      <c r="Y167" s="593"/>
      <c r="Z167" s="593"/>
      <c r="AA167" s="593"/>
      <c r="AB167" s="593"/>
      <c r="AC167" s="593"/>
      <c r="AD167" s="561"/>
      <c r="AE167" s="561"/>
      <c r="AF167" s="561"/>
      <c r="AG167" s="561"/>
      <c r="AH167" s="561"/>
      <c r="AI167" s="561"/>
      <c r="AJ167" s="561"/>
      <c r="AK167" s="561"/>
      <c r="AL167" s="552"/>
      <c r="AM167" s="522"/>
      <c r="AN167" s="522"/>
    </row>
    <row r="168" spans="1:40" ht="15.6" customHeight="1" x14ac:dyDescent="0.25">
      <c r="A168" s="522"/>
      <c r="B168" s="560" t="s">
        <v>267</v>
      </c>
      <c r="C168" s="561" t="s">
        <v>267</v>
      </c>
      <c r="D168" s="560">
        <v>656550011</v>
      </c>
      <c r="E168" s="562">
        <v>309</v>
      </c>
      <c r="F168" s="563">
        <v>656</v>
      </c>
      <c r="G168" s="564">
        <v>550009990</v>
      </c>
      <c r="H168" s="565" t="s">
        <v>219</v>
      </c>
      <c r="I168" s="565">
        <v>225</v>
      </c>
      <c r="J168" s="531">
        <v>0</v>
      </c>
      <c r="K168" s="566"/>
      <c r="L168" s="567"/>
      <c r="M168" s="567"/>
      <c r="N168" s="567"/>
      <c r="O168" s="567"/>
      <c r="P168" s="567"/>
      <c r="Q168" s="568">
        <f>R168+S168+T168+U168</f>
        <v>0</v>
      </c>
      <c r="R168" s="566"/>
      <c r="S168" s="566"/>
      <c r="T168" s="566">
        <v>0</v>
      </c>
      <c r="U168" s="566"/>
      <c r="V168" s="569"/>
      <c r="W168" s="568" t="s">
        <v>601</v>
      </c>
      <c r="X168" s="575"/>
      <c r="Y168" s="575"/>
      <c r="Z168" s="575"/>
      <c r="AA168" s="575" t="s">
        <v>700</v>
      </c>
      <c r="AB168" s="566"/>
      <c r="AC168" s="617"/>
      <c r="AD168" s="566"/>
      <c r="AE168" s="566"/>
      <c r="AF168" s="566"/>
      <c r="AG168" s="566">
        <v>184509.84</v>
      </c>
      <c r="AH168" s="566">
        <v>0</v>
      </c>
      <c r="AI168" s="566"/>
      <c r="AJ168" s="569"/>
      <c r="AK168" s="570">
        <v>0.93516001990036035</v>
      </c>
      <c r="AL168" s="552" t="s">
        <v>195</v>
      </c>
      <c r="AM168" s="522"/>
      <c r="AN168" s="522"/>
    </row>
    <row r="169" spans="1:40" ht="15.6" customHeight="1" x14ac:dyDescent="0.25">
      <c r="A169" s="522"/>
      <c r="B169" s="560"/>
      <c r="C169" s="561"/>
      <c r="D169" s="560"/>
      <c r="E169" s="562"/>
      <c r="F169" s="563"/>
      <c r="G169" s="564">
        <v>550009990</v>
      </c>
      <c r="H169" s="565" t="s">
        <v>219</v>
      </c>
      <c r="I169" s="565">
        <v>226</v>
      </c>
      <c r="J169" s="531"/>
      <c r="K169" s="566"/>
      <c r="L169" s="567"/>
      <c r="M169" s="567"/>
      <c r="N169" s="567"/>
      <c r="O169" s="567"/>
      <c r="P169" s="567"/>
      <c r="Q169" s="568"/>
      <c r="R169" s="566"/>
      <c r="S169" s="566"/>
      <c r="T169" s="566"/>
      <c r="U169" s="566"/>
      <c r="V169" s="569"/>
      <c r="W169" s="568" t="s">
        <v>604</v>
      </c>
      <c r="X169" s="575"/>
      <c r="Y169" s="575"/>
      <c r="Z169" s="575"/>
      <c r="AA169" s="575"/>
      <c r="AB169" s="566"/>
      <c r="AC169" s="617"/>
      <c r="AD169" s="566"/>
      <c r="AE169" s="566"/>
      <c r="AF169" s="566"/>
      <c r="AG169" s="566"/>
      <c r="AH169" s="566"/>
      <c r="AI169" s="566"/>
      <c r="AJ169" s="569"/>
      <c r="AK169" s="570"/>
      <c r="AL169" s="552"/>
      <c r="AM169" s="522"/>
      <c r="AN169" s="522"/>
    </row>
    <row r="170" spans="1:40" ht="15.6" customHeight="1" x14ac:dyDescent="0.25">
      <c r="A170" s="522"/>
      <c r="B170" s="560"/>
      <c r="C170" s="561"/>
      <c r="D170" s="560"/>
      <c r="E170" s="562"/>
      <c r="F170" s="563"/>
      <c r="G170" s="564"/>
      <c r="H170" s="565" t="s">
        <v>219</v>
      </c>
      <c r="I170" s="565">
        <v>226</v>
      </c>
      <c r="J170" s="531"/>
      <c r="K170" s="566"/>
      <c r="L170" s="567"/>
      <c r="M170" s="567"/>
      <c r="N170" s="567"/>
      <c r="O170" s="567"/>
      <c r="P170" s="567"/>
      <c r="Q170" s="568"/>
      <c r="R170" s="566"/>
      <c r="S170" s="566"/>
      <c r="T170" s="566"/>
      <c r="U170" s="566"/>
      <c r="V170" s="575">
        <v>200000</v>
      </c>
      <c r="W170" s="568" t="s">
        <v>560</v>
      </c>
      <c r="X170" s="575">
        <v>100000</v>
      </c>
      <c r="Y170" s="575" t="s">
        <v>621</v>
      </c>
      <c r="Z170" s="575"/>
      <c r="AA170" s="575"/>
      <c r="AB170" s="566"/>
      <c r="AC170" s="617"/>
      <c r="AD170" s="566"/>
      <c r="AE170" s="566"/>
      <c r="AF170" s="566"/>
      <c r="AG170" s="566"/>
      <c r="AH170" s="566"/>
      <c r="AI170" s="566"/>
      <c r="AJ170" s="569"/>
      <c r="AK170" s="570"/>
      <c r="AL170" s="552"/>
      <c r="AM170" s="522"/>
      <c r="AN170" s="522"/>
    </row>
    <row r="171" spans="1:40" ht="15.6" customHeight="1" x14ac:dyDescent="0.25">
      <c r="A171" s="522"/>
      <c r="B171" s="560"/>
      <c r="C171" s="561"/>
      <c r="D171" s="560"/>
      <c r="E171" s="562"/>
      <c r="F171" s="563"/>
      <c r="G171" s="564"/>
      <c r="H171" s="565" t="s">
        <v>219</v>
      </c>
      <c r="I171" s="565">
        <v>226</v>
      </c>
      <c r="J171" s="531"/>
      <c r="K171" s="566"/>
      <c r="L171" s="567"/>
      <c r="M171" s="567"/>
      <c r="N171" s="567"/>
      <c r="O171" s="567"/>
      <c r="P171" s="567"/>
      <c r="Q171" s="568"/>
      <c r="R171" s="566"/>
      <c r="S171" s="566"/>
      <c r="T171" s="566"/>
      <c r="U171" s="566"/>
      <c r="V171" s="575">
        <v>100000</v>
      </c>
      <c r="W171" s="568" t="s">
        <v>540</v>
      </c>
      <c r="X171" s="575"/>
      <c r="Y171" s="575"/>
      <c r="Z171" s="575"/>
      <c r="AA171" s="575"/>
      <c r="AB171" s="566"/>
      <c r="AC171" s="617"/>
      <c r="AD171" s="566"/>
      <c r="AE171" s="566"/>
      <c r="AF171" s="566"/>
      <c r="AG171" s="566"/>
      <c r="AH171" s="566"/>
      <c r="AI171" s="566"/>
      <c r="AJ171" s="569"/>
      <c r="AK171" s="570"/>
      <c r="AL171" s="552"/>
      <c r="AM171" s="522"/>
      <c r="AN171" s="522"/>
    </row>
    <row r="172" spans="1:40" ht="15.6" customHeight="1" x14ac:dyDescent="0.25">
      <c r="A172" s="522"/>
      <c r="B172" s="560"/>
      <c r="C172" s="561"/>
      <c r="D172" s="560"/>
      <c r="E172" s="562"/>
      <c r="F172" s="563"/>
      <c r="G172" s="564"/>
      <c r="H172" s="565" t="s">
        <v>219</v>
      </c>
      <c r="I172" s="565">
        <v>226</v>
      </c>
      <c r="J172" s="531"/>
      <c r="K172" s="566"/>
      <c r="L172" s="567"/>
      <c r="M172" s="567"/>
      <c r="N172" s="567"/>
      <c r="O172" s="567"/>
      <c r="P172" s="567"/>
      <c r="Q172" s="568"/>
      <c r="R172" s="566"/>
      <c r="S172" s="566"/>
      <c r="T172" s="566"/>
      <c r="U172" s="566"/>
      <c r="V172" s="569">
        <v>50000</v>
      </c>
      <c r="W172" s="568" t="s">
        <v>414</v>
      </c>
      <c r="X172" s="575">
        <v>100000</v>
      </c>
      <c r="Y172" s="566" t="s">
        <v>622</v>
      </c>
      <c r="Z172" s="566">
        <v>100000</v>
      </c>
      <c r="AA172" s="566"/>
      <c r="AB172" s="566"/>
      <c r="AC172" s="566"/>
      <c r="AD172" s="566"/>
      <c r="AE172" s="566"/>
      <c r="AF172" s="566"/>
      <c r="AG172" s="566"/>
      <c r="AH172" s="566"/>
      <c r="AI172" s="566"/>
      <c r="AJ172" s="569"/>
      <c r="AK172" s="570"/>
      <c r="AL172" s="552"/>
      <c r="AM172" s="522"/>
      <c r="AN172" s="522"/>
    </row>
    <row r="173" spans="1:40" ht="15.6" customHeight="1" x14ac:dyDescent="0.25">
      <c r="A173" s="522"/>
      <c r="B173" s="560" t="s">
        <v>267</v>
      </c>
      <c r="C173" s="561" t="s">
        <v>267</v>
      </c>
      <c r="D173" s="560">
        <v>656550011</v>
      </c>
      <c r="E173" s="562">
        <v>309</v>
      </c>
      <c r="F173" s="563">
        <v>656</v>
      </c>
      <c r="G173" s="564">
        <v>550009990</v>
      </c>
      <c r="H173" s="565" t="s">
        <v>219</v>
      </c>
      <c r="I173" s="565">
        <v>226</v>
      </c>
      <c r="J173" s="531">
        <v>0</v>
      </c>
      <c r="K173" s="566"/>
      <c r="L173" s="567">
        <v>75370.759999999995</v>
      </c>
      <c r="M173" s="567">
        <v>60799.97</v>
      </c>
      <c r="N173" s="567">
        <v>61132.23</v>
      </c>
      <c r="O173" s="567">
        <v>0</v>
      </c>
      <c r="P173" s="567">
        <v>197302.96</v>
      </c>
      <c r="Q173" s="568">
        <f>R173+S173+T173+U173</f>
        <v>100000</v>
      </c>
      <c r="R173" s="566">
        <v>100000</v>
      </c>
      <c r="S173" s="566"/>
      <c r="T173" s="566">
        <v>0</v>
      </c>
      <c r="U173" s="566">
        <v>0</v>
      </c>
      <c r="V173" s="575">
        <v>1880</v>
      </c>
      <c r="W173" s="568" t="s">
        <v>542</v>
      </c>
      <c r="X173" s="575"/>
      <c r="Y173" s="575"/>
      <c r="Z173" s="575"/>
      <c r="AA173" s="575"/>
      <c r="AB173" s="566"/>
      <c r="AC173" s="617">
        <v>0</v>
      </c>
      <c r="AD173" s="566"/>
      <c r="AE173" s="566"/>
      <c r="AF173" s="566"/>
      <c r="AG173" s="566">
        <v>184509.84</v>
      </c>
      <c r="AH173" s="566">
        <v>0</v>
      </c>
      <c r="AI173" s="566"/>
      <c r="AJ173" s="569"/>
      <c r="AK173" s="570">
        <v>0.93516001990036035</v>
      </c>
      <c r="AL173" s="552" t="s">
        <v>195</v>
      </c>
      <c r="AM173" s="522"/>
      <c r="AN173" s="522"/>
    </row>
    <row r="174" spans="1:40" ht="15.6" customHeight="1" x14ac:dyDescent="0.25">
      <c r="A174" s="522"/>
      <c r="B174" s="560"/>
      <c r="C174" s="561"/>
      <c r="D174" s="560"/>
      <c r="E174" s="562"/>
      <c r="F174" s="563"/>
      <c r="G174" s="564"/>
      <c r="H174" s="565" t="s">
        <v>219</v>
      </c>
      <c r="I174" s="565">
        <v>226</v>
      </c>
      <c r="J174" s="531"/>
      <c r="K174" s="566"/>
      <c r="L174" s="567"/>
      <c r="M174" s="567"/>
      <c r="N174" s="567"/>
      <c r="O174" s="567"/>
      <c r="P174" s="567"/>
      <c r="Q174" s="568"/>
      <c r="R174" s="566"/>
      <c r="S174" s="566"/>
      <c r="T174" s="566"/>
      <c r="U174" s="566"/>
      <c r="V174" s="569">
        <f>17840+22000+18120</f>
        <v>57960</v>
      </c>
      <c r="W174" s="568" t="s">
        <v>602</v>
      </c>
      <c r="X174" s="575">
        <v>21720</v>
      </c>
      <c r="Y174" s="575"/>
      <c r="Z174" s="575"/>
      <c r="AA174" s="575"/>
      <c r="AB174" s="566"/>
      <c r="AC174" s="617"/>
      <c r="AD174" s="566"/>
      <c r="AE174" s="566"/>
      <c r="AF174" s="566"/>
      <c r="AG174" s="566"/>
      <c r="AH174" s="566"/>
      <c r="AI174" s="566"/>
      <c r="AJ174" s="569"/>
      <c r="AK174" s="570"/>
      <c r="AL174" s="552"/>
      <c r="AM174" s="522"/>
      <c r="AN174" s="522"/>
    </row>
    <row r="175" spans="1:40" ht="15.6" customHeight="1" x14ac:dyDescent="0.25">
      <c r="A175" s="522"/>
      <c r="B175" s="560" t="s">
        <v>267</v>
      </c>
      <c r="C175" s="561" t="s">
        <v>267</v>
      </c>
      <c r="D175" s="560">
        <v>656550011</v>
      </c>
      <c r="E175" s="562">
        <v>309</v>
      </c>
      <c r="F175" s="563">
        <v>656</v>
      </c>
      <c r="G175" s="564">
        <v>550009990</v>
      </c>
      <c r="H175" s="565" t="s">
        <v>219</v>
      </c>
      <c r="I175" s="565">
        <v>226</v>
      </c>
      <c r="J175" s="531">
        <v>0</v>
      </c>
      <c r="K175" s="566"/>
      <c r="L175" s="567">
        <v>75370.759999999995</v>
      </c>
      <c r="M175" s="567">
        <v>60799.97</v>
      </c>
      <c r="N175" s="567">
        <v>61132.23</v>
      </c>
      <c r="O175" s="567">
        <v>0</v>
      </c>
      <c r="P175" s="567">
        <v>197302.96</v>
      </c>
      <c r="Q175" s="568">
        <f>R175+S175+T175+U175</f>
        <v>100000</v>
      </c>
      <c r="R175" s="566">
        <v>100000</v>
      </c>
      <c r="S175" s="566"/>
      <c r="T175" s="566">
        <v>0</v>
      </c>
      <c r="U175" s="566">
        <v>0</v>
      </c>
      <c r="V175" s="575">
        <v>40000</v>
      </c>
      <c r="W175" s="568" t="s">
        <v>541</v>
      </c>
      <c r="X175" s="575"/>
      <c r="Y175" s="568"/>
      <c r="Z175" s="568"/>
      <c r="AA175" s="568"/>
      <c r="AB175" s="566"/>
      <c r="AC175" s="617">
        <v>0</v>
      </c>
      <c r="AD175" s="566"/>
      <c r="AE175" s="566"/>
      <c r="AF175" s="566"/>
      <c r="AG175" s="566">
        <v>184509.84</v>
      </c>
      <c r="AH175" s="566">
        <v>0</v>
      </c>
      <c r="AI175" s="566"/>
      <c r="AJ175" s="569"/>
      <c r="AK175" s="570">
        <v>0.93516001990036035</v>
      </c>
      <c r="AL175" s="552" t="s">
        <v>195</v>
      </c>
      <c r="AM175" s="522"/>
      <c r="AN175" s="522"/>
    </row>
    <row r="176" spans="1:40" ht="15.6" customHeight="1" x14ac:dyDescent="0.25">
      <c r="A176" s="522"/>
      <c r="B176" s="560" t="s">
        <v>267</v>
      </c>
      <c r="C176" s="561" t="s">
        <v>267</v>
      </c>
      <c r="D176" s="560">
        <v>656550011</v>
      </c>
      <c r="E176" s="562">
        <v>309</v>
      </c>
      <c r="F176" s="563">
        <v>656</v>
      </c>
      <c r="G176" s="564">
        <v>550009990</v>
      </c>
      <c r="H176" s="565" t="s">
        <v>219</v>
      </c>
      <c r="I176" s="565">
        <v>344</v>
      </c>
      <c r="J176" s="531">
        <v>0</v>
      </c>
      <c r="K176" s="566"/>
      <c r="L176" s="567">
        <v>75370.759999999995</v>
      </c>
      <c r="M176" s="567">
        <v>60799.97</v>
      </c>
      <c r="N176" s="567">
        <v>61132.23</v>
      </c>
      <c r="O176" s="567">
        <v>0</v>
      </c>
      <c r="P176" s="567">
        <v>197302.96</v>
      </c>
      <c r="Q176" s="568">
        <f>R176+S176+T176+U176</f>
        <v>100000</v>
      </c>
      <c r="R176" s="566">
        <v>100000</v>
      </c>
      <c r="S176" s="566"/>
      <c r="T176" s="566">
        <v>0</v>
      </c>
      <c r="U176" s="566">
        <v>0</v>
      </c>
      <c r="V176" s="575"/>
      <c r="W176" s="568" t="s">
        <v>603</v>
      </c>
      <c r="X176" s="575">
        <f>30000-1880</f>
        <v>28120</v>
      </c>
      <c r="Y176" s="575"/>
      <c r="Z176" s="575"/>
      <c r="AA176" s="575"/>
      <c r="AB176" s="566"/>
      <c r="AC176" s="617">
        <v>0</v>
      </c>
      <c r="AD176" s="566"/>
      <c r="AE176" s="566"/>
      <c r="AF176" s="566"/>
      <c r="AG176" s="566">
        <v>184509.84</v>
      </c>
      <c r="AH176" s="566">
        <v>0</v>
      </c>
      <c r="AI176" s="566"/>
      <c r="AJ176" s="569"/>
      <c r="AK176" s="570">
        <v>0.93516001990036035</v>
      </c>
      <c r="AL176" s="552" t="s">
        <v>195</v>
      </c>
      <c r="AM176" s="522"/>
      <c r="AN176" s="522"/>
    </row>
    <row r="177" spans="1:40" ht="15.6" customHeight="1" x14ac:dyDescent="0.25">
      <c r="A177" s="522"/>
      <c r="B177" s="560" t="s">
        <v>267</v>
      </c>
      <c r="C177" s="561" t="s">
        <v>267</v>
      </c>
      <c r="D177" s="560">
        <v>656550011</v>
      </c>
      <c r="E177" s="562">
        <v>309</v>
      </c>
      <c r="F177" s="563">
        <v>656</v>
      </c>
      <c r="G177" s="564">
        <v>550009990</v>
      </c>
      <c r="H177" s="565" t="s">
        <v>219</v>
      </c>
      <c r="I177" s="565">
        <v>344</v>
      </c>
      <c r="J177" s="531">
        <v>0</v>
      </c>
      <c r="K177" s="566"/>
      <c r="L177" s="567">
        <v>75370.759999999995</v>
      </c>
      <c r="M177" s="567">
        <v>60799.97</v>
      </c>
      <c r="N177" s="567">
        <v>61132.23</v>
      </c>
      <c r="O177" s="567">
        <v>0</v>
      </c>
      <c r="P177" s="567">
        <v>197302.96</v>
      </c>
      <c r="Q177" s="568">
        <f>R177+S177+T177+U177</f>
        <v>100000</v>
      </c>
      <c r="R177" s="566">
        <v>100000</v>
      </c>
      <c r="S177" s="566"/>
      <c r="T177" s="566">
        <v>0</v>
      </c>
      <c r="U177" s="566">
        <v>0</v>
      </c>
      <c r="V177" s="575">
        <v>20000</v>
      </c>
      <c r="W177" s="568" t="s">
        <v>543</v>
      </c>
      <c r="X177" s="575">
        <v>-10000</v>
      </c>
      <c r="Y177" s="575">
        <f>Y178-W178</f>
        <v>-89840</v>
      </c>
      <c r="Z177" s="575"/>
      <c r="AA177" s="575"/>
      <c r="AB177" s="566"/>
      <c r="AC177" s="617">
        <v>0</v>
      </c>
      <c r="AD177" s="566"/>
      <c r="AE177" s="566"/>
      <c r="AF177" s="566"/>
      <c r="AG177" s="566">
        <v>184509.84</v>
      </c>
      <c r="AH177" s="566">
        <v>0</v>
      </c>
      <c r="AI177" s="566"/>
      <c r="AJ177" s="569"/>
      <c r="AK177" s="570">
        <v>0.93516001990036035</v>
      </c>
      <c r="AL177" s="552" t="s">
        <v>195</v>
      </c>
      <c r="AM177" s="522"/>
      <c r="AN177" s="522"/>
    </row>
    <row r="178" spans="1:40" ht="15.6" customHeight="1" x14ac:dyDescent="0.25">
      <c r="A178" s="522"/>
      <c r="B178" s="559" t="s">
        <v>212</v>
      </c>
      <c r="C178" s="559"/>
      <c r="D178" s="559"/>
      <c r="E178" s="559"/>
      <c r="F178" s="559"/>
      <c r="G178" s="559"/>
      <c r="H178" s="559"/>
      <c r="I178" s="559"/>
      <c r="J178" s="559"/>
      <c r="K178" s="559"/>
      <c r="L178" s="556">
        <v>105370.76</v>
      </c>
      <c r="M178" s="556">
        <v>70000</v>
      </c>
      <c r="N178" s="556">
        <v>61132.23</v>
      </c>
      <c r="O178" s="556">
        <v>0</v>
      </c>
      <c r="P178" s="556">
        <v>236502.99</v>
      </c>
      <c r="Q178" s="571">
        <f>R178+S178+T178+U178</f>
        <v>100000</v>
      </c>
      <c r="R178" s="591">
        <f>R168+R173</f>
        <v>100000</v>
      </c>
      <c r="S178" s="591">
        <f>S168+S173</f>
        <v>0</v>
      </c>
      <c r="T178" s="591">
        <f>T168+T173</f>
        <v>0</v>
      </c>
      <c r="U178" s="591">
        <f>U168+U173</f>
        <v>0</v>
      </c>
      <c r="V178" s="591">
        <f>SUM(V168:V177)</f>
        <v>469840</v>
      </c>
      <c r="W178" s="590">
        <f>V178+X178</f>
        <v>709680</v>
      </c>
      <c r="X178" s="592">
        <f>SUM(X168:X177)</f>
        <v>239840</v>
      </c>
      <c r="Y178" s="592">
        <v>619840</v>
      </c>
      <c r="Z178" s="591">
        <f>SUM(Z168:Z177)</f>
        <v>100000</v>
      </c>
      <c r="AA178" s="592"/>
      <c r="AB178" s="591">
        <f>AB172+AB168+AB169</f>
        <v>0</v>
      </c>
      <c r="AC178" s="591">
        <f>AC172</f>
        <v>0</v>
      </c>
      <c r="AD178" s="573"/>
      <c r="AE178" s="573"/>
      <c r="AF178" s="573"/>
      <c r="AG178" s="566">
        <v>209409.82</v>
      </c>
      <c r="AH178" s="566">
        <v>0</v>
      </c>
      <c r="AI178" s="573"/>
      <c r="AJ178" s="573"/>
      <c r="AK178" s="570">
        <v>0.88544258996471903</v>
      </c>
      <c r="AL178" s="552" t="s">
        <v>195</v>
      </c>
      <c r="AM178" s="522"/>
      <c r="AN178" s="522"/>
    </row>
    <row r="179" spans="1:40" ht="15.6" customHeight="1" x14ac:dyDescent="0.25">
      <c r="A179" s="522"/>
      <c r="B179" s="624"/>
      <c r="C179" s="625"/>
      <c r="D179" s="626" t="s">
        <v>268</v>
      </c>
      <c r="E179" s="626"/>
      <c r="F179" s="626"/>
      <c r="G179" s="626"/>
      <c r="H179" s="626"/>
      <c r="I179" s="626"/>
      <c r="J179" s="626"/>
      <c r="K179" s="626"/>
      <c r="L179" s="626"/>
      <c r="M179" s="626"/>
      <c r="N179" s="626"/>
      <c r="O179" s="626"/>
      <c r="P179" s="626"/>
      <c r="Q179" s="626"/>
      <c r="R179" s="626"/>
      <c r="S179" s="626"/>
      <c r="T179" s="626"/>
      <c r="U179" s="626"/>
      <c r="V179" s="626"/>
      <c r="W179" s="625"/>
      <c r="X179" s="627"/>
      <c r="Y179" s="627"/>
      <c r="Z179" s="627"/>
      <c r="AA179" s="627"/>
      <c r="AB179" s="625"/>
      <c r="AC179" s="625"/>
      <c r="AD179" s="625"/>
      <c r="AE179" s="625"/>
      <c r="AF179" s="625"/>
      <c r="AG179" s="625"/>
      <c r="AH179" s="625"/>
      <c r="AI179" s="625"/>
      <c r="AJ179" s="625"/>
      <c r="AK179" s="625"/>
      <c r="AL179" s="552" t="s">
        <v>195</v>
      </c>
      <c r="AM179" s="522"/>
      <c r="AN179" s="522"/>
    </row>
    <row r="180" spans="1:40" ht="15.6" customHeight="1" x14ac:dyDescent="0.25">
      <c r="A180" s="522"/>
      <c r="B180" s="560" t="s">
        <v>268</v>
      </c>
      <c r="C180" s="561" t="s">
        <v>268</v>
      </c>
      <c r="D180" s="560">
        <v>656030031</v>
      </c>
      <c r="E180" s="562">
        <v>309</v>
      </c>
      <c r="F180" s="563">
        <v>656</v>
      </c>
      <c r="G180" s="564">
        <v>7953101</v>
      </c>
      <c r="H180" s="565" t="s">
        <v>219</v>
      </c>
      <c r="I180" s="565">
        <v>226</v>
      </c>
      <c r="J180" s="531">
        <v>0</v>
      </c>
      <c r="K180" s="566"/>
      <c r="L180" s="567">
        <v>13891.92</v>
      </c>
      <c r="M180" s="567">
        <v>0</v>
      </c>
      <c r="N180" s="567">
        <v>8139.89</v>
      </c>
      <c r="O180" s="567">
        <v>0</v>
      </c>
      <c r="P180" s="567">
        <v>22031.81</v>
      </c>
      <c r="Q180" s="568"/>
      <c r="R180" s="566"/>
      <c r="S180" s="566"/>
      <c r="T180" s="566"/>
      <c r="U180" s="566"/>
      <c r="V180" s="569"/>
      <c r="W180" s="566"/>
      <c r="X180" s="575"/>
      <c r="Y180" s="575"/>
      <c r="Z180" s="575"/>
      <c r="AA180" s="575"/>
      <c r="AB180" s="566"/>
      <c r="AC180" s="617"/>
      <c r="AD180" s="566"/>
      <c r="AE180" s="566"/>
      <c r="AF180" s="566"/>
      <c r="AG180" s="566">
        <v>22031.81</v>
      </c>
      <c r="AH180" s="566">
        <v>0</v>
      </c>
      <c r="AI180" s="566"/>
      <c r="AJ180" s="569"/>
      <c r="AK180" s="570">
        <v>1</v>
      </c>
      <c r="AL180" s="552" t="s">
        <v>195</v>
      </c>
      <c r="AM180" s="522"/>
      <c r="AN180" s="522"/>
    </row>
    <row r="181" spans="1:40" ht="15.6" customHeight="1" x14ac:dyDescent="0.25">
      <c r="A181" s="522"/>
      <c r="B181" s="559" t="s">
        <v>212</v>
      </c>
      <c r="C181" s="559"/>
      <c r="D181" s="559"/>
      <c r="E181" s="559"/>
      <c r="F181" s="559"/>
      <c r="G181" s="559"/>
      <c r="H181" s="559"/>
      <c r="I181" s="559"/>
      <c r="J181" s="559"/>
      <c r="K181" s="559"/>
      <c r="L181" s="556">
        <v>13891.92</v>
      </c>
      <c r="M181" s="556">
        <v>0</v>
      </c>
      <c r="N181" s="556">
        <v>8139.89</v>
      </c>
      <c r="O181" s="556">
        <v>0</v>
      </c>
      <c r="P181" s="556">
        <v>22031.81</v>
      </c>
      <c r="Q181" s="568"/>
      <c r="R181" s="590"/>
      <c r="S181" s="566"/>
      <c r="T181" s="590"/>
      <c r="U181" s="566"/>
      <c r="V181" s="591"/>
      <c r="W181" s="590"/>
      <c r="X181" s="592"/>
      <c r="Y181" s="592"/>
      <c r="Z181" s="592"/>
      <c r="AA181" s="592"/>
      <c r="AB181" s="590"/>
      <c r="AC181" s="618"/>
      <c r="AD181" s="573"/>
      <c r="AE181" s="573"/>
      <c r="AF181" s="573"/>
      <c r="AG181" s="566">
        <v>22031.81</v>
      </c>
      <c r="AH181" s="566">
        <v>0</v>
      </c>
      <c r="AI181" s="573"/>
      <c r="AJ181" s="573"/>
      <c r="AK181" s="570">
        <v>1</v>
      </c>
      <c r="AL181" s="552" t="s">
        <v>195</v>
      </c>
      <c r="AM181" s="522"/>
      <c r="AN181" s="522"/>
    </row>
    <row r="182" spans="1:40" ht="15.6" customHeight="1" x14ac:dyDescent="0.25">
      <c r="A182" s="522"/>
      <c r="B182" s="559" t="s">
        <v>269</v>
      </c>
      <c r="C182" s="559"/>
      <c r="D182" s="559"/>
      <c r="E182" s="559"/>
      <c r="F182" s="559"/>
      <c r="G182" s="559"/>
      <c r="H182" s="559"/>
      <c r="I182" s="559"/>
      <c r="J182" s="559"/>
      <c r="K182" s="559"/>
      <c r="L182" s="559"/>
      <c r="M182" s="559"/>
      <c r="N182" s="559"/>
      <c r="O182" s="559"/>
      <c r="P182" s="559"/>
      <c r="Q182" s="559"/>
      <c r="R182" s="559"/>
      <c r="S182" s="559"/>
      <c r="T182" s="559"/>
      <c r="U182" s="559"/>
      <c r="V182" s="559"/>
      <c r="W182" s="559"/>
      <c r="X182" s="559"/>
      <c r="Y182" s="559"/>
      <c r="Z182" s="559"/>
      <c r="AA182" s="559"/>
      <c r="AB182" s="559"/>
      <c r="AC182" s="559"/>
      <c r="AD182" s="559"/>
      <c r="AE182" s="559"/>
      <c r="AF182" s="559"/>
      <c r="AG182" s="559"/>
      <c r="AH182" s="559"/>
      <c r="AI182" s="559"/>
      <c r="AJ182" s="559"/>
      <c r="AK182" s="559"/>
      <c r="AL182" s="552" t="s">
        <v>195</v>
      </c>
      <c r="AM182" s="522"/>
      <c r="AN182" s="522"/>
    </row>
    <row r="183" spans="1:40" ht="15.6" customHeight="1" x14ac:dyDescent="0.25">
      <c r="A183" s="522"/>
      <c r="B183" s="560" t="s">
        <v>269</v>
      </c>
      <c r="C183" s="561" t="s">
        <v>269</v>
      </c>
      <c r="D183" s="560">
        <v>656030032</v>
      </c>
      <c r="E183" s="562">
        <v>309</v>
      </c>
      <c r="F183" s="563">
        <v>656</v>
      </c>
      <c r="G183" s="564">
        <v>5227601</v>
      </c>
      <c r="H183" s="565" t="s">
        <v>219</v>
      </c>
      <c r="I183" s="565">
        <v>226</v>
      </c>
      <c r="J183" s="531">
        <v>0</v>
      </c>
      <c r="K183" s="566"/>
      <c r="L183" s="567">
        <v>0</v>
      </c>
      <c r="M183" s="567">
        <v>125100</v>
      </c>
      <c r="N183" s="567">
        <v>0</v>
      </c>
      <c r="O183" s="567">
        <v>0</v>
      </c>
      <c r="P183" s="567">
        <v>125100</v>
      </c>
      <c r="Q183" s="568"/>
      <c r="R183" s="566">
        <v>125100</v>
      </c>
      <c r="S183" s="566"/>
      <c r="T183" s="566"/>
      <c r="U183" s="566"/>
      <c r="V183" s="569"/>
      <c r="W183" s="566"/>
      <c r="X183" s="575"/>
      <c r="Y183" s="575"/>
      <c r="Z183" s="575"/>
      <c r="AA183" s="575"/>
      <c r="AB183" s="566"/>
      <c r="AC183" s="617"/>
      <c r="AD183" s="566"/>
      <c r="AE183" s="566"/>
      <c r="AF183" s="566"/>
      <c r="AG183" s="566">
        <v>125027.31</v>
      </c>
      <c r="AH183" s="566">
        <v>0</v>
      </c>
      <c r="AI183" s="566"/>
      <c r="AJ183" s="569"/>
      <c r="AK183" s="570">
        <v>0.99941894484412463</v>
      </c>
      <c r="AL183" s="552" t="s">
        <v>195</v>
      </c>
      <c r="AM183" s="522"/>
      <c r="AN183" s="522"/>
    </row>
    <row r="184" spans="1:40" ht="15.6" customHeight="1" x14ac:dyDescent="0.25">
      <c r="A184" s="522"/>
      <c r="B184" s="559" t="s">
        <v>212</v>
      </c>
      <c r="C184" s="559"/>
      <c r="D184" s="559"/>
      <c r="E184" s="559"/>
      <c r="F184" s="559"/>
      <c r="G184" s="559"/>
      <c r="H184" s="559"/>
      <c r="I184" s="559"/>
      <c r="J184" s="559"/>
      <c r="K184" s="559"/>
      <c r="L184" s="556">
        <v>0</v>
      </c>
      <c r="M184" s="556">
        <v>125100</v>
      </c>
      <c r="N184" s="556">
        <v>0</v>
      </c>
      <c r="O184" s="556">
        <v>0</v>
      </c>
      <c r="P184" s="556">
        <v>125100</v>
      </c>
      <c r="Q184" s="568"/>
      <c r="R184" s="590">
        <v>125100</v>
      </c>
      <c r="S184" s="566"/>
      <c r="T184" s="590"/>
      <c r="U184" s="566"/>
      <c r="V184" s="591"/>
      <c r="W184" s="590"/>
      <c r="X184" s="592"/>
      <c r="Y184" s="592"/>
      <c r="Z184" s="592"/>
      <c r="AA184" s="592"/>
      <c r="AB184" s="590"/>
      <c r="AC184" s="618"/>
      <c r="AD184" s="573"/>
      <c r="AE184" s="573"/>
      <c r="AF184" s="573"/>
      <c r="AG184" s="566">
        <v>125027.31</v>
      </c>
      <c r="AH184" s="566">
        <v>0</v>
      </c>
      <c r="AI184" s="573"/>
      <c r="AJ184" s="573"/>
      <c r="AK184" s="570">
        <v>0.99941894484412463</v>
      </c>
      <c r="AL184" s="552" t="s">
        <v>195</v>
      </c>
      <c r="AM184" s="522"/>
      <c r="AN184" s="522"/>
    </row>
    <row r="185" spans="1:40" ht="15.6" customHeight="1" x14ac:dyDescent="0.25">
      <c r="A185" s="522"/>
      <c r="B185" s="559" t="s">
        <v>270</v>
      </c>
      <c r="C185" s="559"/>
      <c r="D185" s="559"/>
      <c r="E185" s="559"/>
      <c r="F185" s="559"/>
      <c r="G185" s="559"/>
      <c r="H185" s="559"/>
      <c r="I185" s="559"/>
      <c r="J185" s="559"/>
      <c r="K185" s="559"/>
      <c r="L185" s="559"/>
      <c r="M185" s="559"/>
      <c r="N185" s="559"/>
      <c r="O185" s="559"/>
      <c r="P185" s="559"/>
      <c r="Q185" s="559"/>
      <c r="R185" s="559"/>
      <c r="S185" s="559"/>
      <c r="T185" s="559"/>
      <c r="U185" s="559"/>
      <c r="V185" s="559"/>
      <c r="W185" s="559"/>
      <c r="X185" s="559"/>
      <c r="Y185" s="559"/>
      <c r="Z185" s="559"/>
      <c r="AA185" s="559"/>
      <c r="AB185" s="559"/>
      <c r="AC185" s="559"/>
      <c r="AD185" s="559"/>
      <c r="AE185" s="559"/>
      <c r="AF185" s="559"/>
      <c r="AG185" s="559"/>
      <c r="AH185" s="559"/>
      <c r="AI185" s="559"/>
      <c r="AJ185" s="559"/>
      <c r="AK185" s="559"/>
      <c r="AL185" s="552" t="s">
        <v>195</v>
      </c>
      <c r="AM185" s="522"/>
      <c r="AN185" s="522"/>
    </row>
    <row r="186" spans="1:40" ht="15.6" customHeight="1" x14ac:dyDescent="0.25">
      <c r="A186" s="522"/>
      <c r="B186" s="560" t="s">
        <v>269</v>
      </c>
      <c r="C186" s="561" t="s">
        <v>269</v>
      </c>
      <c r="D186" s="560">
        <v>656030032</v>
      </c>
      <c r="E186" s="562">
        <v>309</v>
      </c>
      <c r="F186" s="563">
        <v>656</v>
      </c>
      <c r="G186" s="564">
        <v>5227601</v>
      </c>
      <c r="H186" s="565" t="s">
        <v>219</v>
      </c>
      <c r="I186" s="565">
        <v>226</v>
      </c>
      <c r="J186" s="531">
        <v>0</v>
      </c>
      <c r="K186" s="566"/>
      <c r="L186" s="567">
        <v>0</v>
      </c>
      <c r="M186" s="567">
        <v>125100</v>
      </c>
      <c r="N186" s="567">
        <v>0</v>
      </c>
      <c r="O186" s="567">
        <v>0</v>
      </c>
      <c r="P186" s="567"/>
      <c r="Q186" s="568"/>
      <c r="R186" s="569"/>
      <c r="S186" s="566">
        <v>133200</v>
      </c>
      <c r="T186" s="566"/>
      <c r="U186" s="566"/>
      <c r="V186" s="569">
        <v>0</v>
      </c>
      <c r="W186" s="566"/>
      <c r="X186" s="575"/>
      <c r="Y186" s="575"/>
      <c r="Z186" s="575"/>
      <c r="AA186" s="575"/>
      <c r="AB186" s="566"/>
      <c r="AC186" s="617"/>
      <c r="AD186" s="566"/>
      <c r="AE186" s="566"/>
      <c r="AF186" s="566"/>
      <c r="AG186" s="566">
        <v>125027.31</v>
      </c>
      <c r="AH186" s="566">
        <v>0</v>
      </c>
      <c r="AI186" s="566"/>
      <c r="AJ186" s="569"/>
      <c r="AK186" s="570">
        <v>0.99941894484412463</v>
      </c>
      <c r="AL186" s="552" t="s">
        <v>195</v>
      </c>
      <c r="AM186" s="522"/>
      <c r="AN186" s="522"/>
    </row>
    <row r="187" spans="1:40" ht="15.6" customHeight="1" x14ac:dyDescent="0.25">
      <c r="A187" s="522"/>
      <c r="B187" s="559" t="s">
        <v>212</v>
      </c>
      <c r="C187" s="559"/>
      <c r="D187" s="559"/>
      <c r="E187" s="559"/>
      <c r="F187" s="559"/>
      <c r="G187" s="559"/>
      <c r="H187" s="559"/>
      <c r="I187" s="559"/>
      <c r="J187" s="559"/>
      <c r="K187" s="559"/>
      <c r="L187" s="556">
        <v>0</v>
      </c>
      <c r="M187" s="556">
        <v>125100</v>
      </c>
      <c r="N187" s="556">
        <v>0</v>
      </c>
      <c r="O187" s="556">
        <v>0</v>
      </c>
      <c r="P187" s="556"/>
      <c r="Q187" s="568"/>
      <c r="R187" s="591"/>
      <c r="S187" s="582">
        <f>S186</f>
        <v>133200</v>
      </c>
      <c r="T187" s="590"/>
      <c r="U187" s="566"/>
      <c r="V187" s="591">
        <f>V186</f>
        <v>0</v>
      </c>
      <c r="W187" s="590"/>
      <c r="X187" s="592"/>
      <c r="Y187" s="592"/>
      <c r="Z187" s="592"/>
      <c r="AA187" s="592"/>
      <c r="AB187" s="590"/>
      <c r="AC187" s="618"/>
      <c r="AD187" s="573"/>
      <c r="AE187" s="573"/>
      <c r="AF187" s="573"/>
      <c r="AG187" s="566">
        <v>125027.31</v>
      </c>
      <c r="AH187" s="566">
        <v>0</v>
      </c>
      <c r="AI187" s="573"/>
      <c r="AJ187" s="573"/>
      <c r="AK187" s="570">
        <v>0.99941894484412463</v>
      </c>
      <c r="AL187" s="552" t="s">
        <v>195</v>
      </c>
      <c r="AM187" s="522"/>
      <c r="AN187" s="522"/>
    </row>
    <row r="188" spans="1:40" ht="15.6" customHeight="1" x14ac:dyDescent="0.25">
      <c r="A188" s="522"/>
      <c r="B188" s="561"/>
      <c r="C188" s="561"/>
      <c r="D188" s="561"/>
      <c r="E188" s="561"/>
      <c r="F188" s="561"/>
      <c r="G188" s="561"/>
      <c r="H188" s="561"/>
      <c r="I188" s="561"/>
      <c r="J188" s="561"/>
      <c r="K188" s="561"/>
      <c r="L188" s="556"/>
      <c r="M188" s="556"/>
      <c r="N188" s="556"/>
      <c r="O188" s="556"/>
      <c r="P188" s="556"/>
      <c r="Q188" s="568"/>
      <c r="R188" s="591"/>
      <c r="S188" s="582"/>
      <c r="T188" s="590"/>
      <c r="U188" s="566"/>
      <c r="V188" s="591"/>
      <c r="W188" s="590"/>
      <c r="X188" s="592"/>
      <c r="Y188" s="592"/>
      <c r="Z188" s="592"/>
      <c r="AA188" s="592"/>
      <c r="AB188" s="590"/>
      <c r="AC188" s="618"/>
      <c r="AD188" s="590"/>
      <c r="AE188" s="590"/>
      <c r="AF188" s="590"/>
      <c r="AG188" s="566"/>
      <c r="AH188" s="566"/>
      <c r="AI188" s="590"/>
      <c r="AJ188" s="590"/>
      <c r="AK188" s="570"/>
      <c r="AL188" s="552"/>
      <c r="AM188" s="522"/>
      <c r="AN188" s="522"/>
    </row>
    <row r="189" spans="1:40" ht="15.6" customHeight="1" x14ac:dyDescent="0.25">
      <c r="A189" s="522"/>
      <c r="B189" s="561"/>
      <c r="C189" s="561"/>
      <c r="D189" s="561"/>
      <c r="E189" s="561"/>
      <c r="F189" s="561"/>
      <c r="G189" s="561"/>
      <c r="H189" s="561"/>
      <c r="I189" s="561"/>
      <c r="J189" s="561"/>
      <c r="K189" s="561"/>
      <c r="L189" s="556"/>
      <c r="M189" s="556"/>
      <c r="N189" s="556"/>
      <c r="O189" s="556"/>
      <c r="P189" s="556"/>
      <c r="Q189" s="568"/>
      <c r="R189" s="591"/>
      <c r="S189" s="582"/>
      <c r="T189" s="590"/>
      <c r="U189" s="566"/>
      <c r="V189" s="591"/>
      <c r="W189" s="590"/>
      <c r="X189" s="592"/>
      <c r="Y189" s="592"/>
      <c r="Z189" s="592"/>
      <c r="AA189" s="592"/>
      <c r="AB189" s="590"/>
      <c r="AC189" s="618"/>
      <c r="AD189" s="590"/>
      <c r="AE189" s="590"/>
      <c r="AF189" s="590"/>
      <c r="AG189" s="566"/>
      <c r="AH189" s="566"/>
      <c r="AI189" s="590"/>
      <c r="AJ189" s="590"/>
      <c r="AK189" s="570"/>
      <c r="AL189" s="552"/>
      <c r="AM189" s="522"/>
      <c r="AN189" s="522"/>
    </row>
    <row r="190" spans="1:40" ht="15.6" customHeight="1" x14ac:dyDescent="0.25">
      <c r="A190" s="522"/>
      <c r="B190" s="559" t="s">
        <v>271</v>
      </c>
      <c r="C190" s="559"/>
      <c r="D190" s="559"/>
      <c r="E190" s="559"/>
      <c r="F190" s="559"/>
      <c r="G190" s="559"/>
      <c r="H190" s="559"/>
      <c r="I190" s="559"/>
      <c r="J190" s="559"/>
      <c r="K190" s="559"/>
      <c r="L190" s="559"/>
      <c r="M190" s="559"/>
      <c r="N190" s="559"/>
      <c r="O190" s="559"/>
      <c r="P190" s="559"/>
      <c r="Q190" s="559"/>
      <c r="R190" s="559"/>
      <c r="S190" s="559"/>
      <c r="T190" s="559"/>
      <c r="U190" s="559"/>
      <c r="V190" s="559"/>
      <c r="W190" s="559"/>
      <c r="X190" s="559"/>
      <c r="Y190" s="559"/>
      <c r="Z190" s="559"/>
      <c r="AA190" s="559"/>
      <c r="AB190" s="559"/>
      <c r="AC190" s="559"/>
      <c r="AD190" s="559"/>
      <c r="AE190" s="559"/>
      <c r="AF190" s="559"/>
      <c r="AG190" s="559"/>
      <c r="AH190" s="559"/>
      <c r="AI190" s="559"/>
      <c r="AJ190" s="559"/>
      <c r="AK190" s="559"/>
      <c r="AL190" s="552" t="s">
        <v>195</v>
      </c>
      <c r="AM190" s="522"/>
      <c r="AN190" s="522"/>
    </row>
    <row r="191" spans="1:40" ht="15.6" customHeight="1" x14ac:dyDescent="0.25">
      <c r="A191" s="522"/>
      <c r="B191" s="560" t="s">
        <v>269</v>
      </c>
      <c r="C191" s="561" t="s">
        <v>269</v>
      </c>
      <c r="D191" s="560">
        <v>656580011</v>
      </c>
      <c r="E191" s="562">
        <v>309</v>
      </c>
      <c r="F191" s="563">
        <v>656</v>
      </c>
      <c r="G191" s="564" t="s">
        <v>405</v>
      </c>
      <c r="H191" s="565" t="s">
        <v>219</v>
      </c>
      <c r="I191" s="565">
        <v>226</v>
      </c>
      <c r="J191" s="531">
        <v>0</v>
      </c>
      <c r="K191" s="566"/>
      <c r="L191" s="567">
        <v>0</v>
      </c>
      <c r="M191" s="567">
        <v>125100</v>
      </c>
      <c r="N191" s="567">
        <v>0</v>
      </c>
      <c r="O191" s="567">
        <v>0</v>
      </c>
      <c r="P191" s="567"/>
      <c r="Q191" s="568">
        <f>R191+S191+T191+U191</f>
        <v>80000</v>
      </c>
      <c r="R191" s="569">
        <v>80000</v>
      </c>
      <c r="S191" s="566"/>
      <c r="T191" s="566"/>
      <c r="U191" s="566"/>
      <c r="V191" s="569">
        <v>450000</v>
      </c>
      <c r="W191" s="605" t="s">
        <v>534</v>
      </c>
      <c r="X191" s="569"/>
      <c r="Y191" s="575"/>
      <c r="Z191" s="575"/>
      <c r="AA191" s="575"/>
      <c r="AB191" s="569"/>
      <c r="AC191" s="569"/>
      <c r="AD191" s="566"/>
      <c r="AE191" s="566"/>
      <c r="AF191" s="566"/>
      <c r="AG191" s="566">
        <v>125027.31</v>
      </c>
      <c r="AH191" s="566">
        <v>0</v>
      </c>
      <c r="AI191" s="566"/>
      <c r="AJ191" s="569"/>
      <c r="AK191" s="570">
        <v>0.99941894484412463</v>
      </c>
      <c r="AL191" s="552" t="s">
        <v>195</v>
      </c>
      <c r="AM191" s="522"/>
      <c r="AN191" s="522"/>
    </row>
    <row r="192" spans="1:40" ht="15.6" customHeight="1" x14ac:dyDescent="0.25">
      <c r="A192" s="522"/>
      <c r="B192" s="559" t="s">
        <v>212</v>
      </c>
      <c r="C192" s="559"/>
      <c r="D192" s="559"/>
      <c r="E192" s="559"/>
      <c r="F192" s="559"/>
      <c r="G192" s="559"/>
      <c r="H192" s="559"/>
      <c r="I192" s="559"/>
      <c r="J192" s="559"/>
      <c r="K192" s="559"/>
      <c r="L192" s="556">
        <v>0</v>
      </c>
      <c r="M192" s="556">
        <v>125100</v>
      </c>
      <c r="N192" s="556">
        <v>0</v>
      </c>
      <c r="O192" s="556">
        <v>0</v>
      </c>
      <c r="P192" s="556"/>
      <c r="Q192" s="571">
        <f>R192+S192+T192+U192</f>
        <v>80000</v>
      </c>
      <c r="R192" s="591">
        <f>R191</f>
        <v>80000</v>
      </c>
      <c r="S192" s="566"/>
      <c r="T192" s="590"/>
      <c r="U192" s="566"/>
      <c r="V192" s="591">
        <f>V191</f>
        <v>450000</v>
      </c>
      <c r="W192" s="590" t="s">
        <v>563</v>
      </c>
      <c r="X192" s="591"/>
      <c r="Y192" s="592"/>
      <c r="Z192" s="592"/>
      <c r="AA192" s="592"/>
      <c r="AB192" s="591">
        <f>AB191</f>
        <v>0</v>
      </c>
      <c r="AC192" s="591">
        <f>AC191</f>
        <v>0</v>
      </c>
      <c r="AD192" s="573"/>
      <c r="AE192" s="573"/>
      <c r="AF192" s="573"/>
      <c r="AG192" s="566">
        <v>125027.31</v>
      </c>
      <c r="AH192" s="566">
        <v>0</v>
      </c>
      <c r="AI192" s="573"/>
      <c r="AJ192" s="573"/>
      <c r="AK192" s="570">
        <v>0.99941894484412463</v>
      </c>
      <c r="AL192" s="552" t="s">
        <v>195</v>
      </c>
      <c r="AM192" s="522"/>
      <c r="AN192" s="522"/>
    </row>
    <row r="193" spans="1:40" ht="15.6" customHeight="1" x14ac:dyDescent="0.25">
      <c r="A193" s="522"/>
      <c r="B193" s="559" t="s">
        <v>272</v>
      </c>
      <c r="C193" s="559"/>
      <c r="D193" s="559"/>
      <c r="E193" s="559"/>
      <c r="F193" s="559"/>
      <c r="G193" s="559"/>
      <c r="H193" s="559"/>
      <c r="I193" s="559"/>
      <c r="J193" s="559"/>
      <c r="K193" s="559"/>
      <c r="L193" s="559"/>
      <c r="M193" s="559"/>
      <c r="N193" s="559"/>
      <c r="O193" s="559"/>
      <c r="P193" s="559"/>
      <c r="Q193" s="559"/>
      <c r="R193" s="559"/>
      <c r="S193" s="559"/>
      <c r="T193" s="559"/>
      <c r="U193" s="559"/>
      <c r="V193" s="559"/>
      <c r="W193" s="559"/>
      <c r="X193" s="559"/>
      <c r="Y193" s="559"/>
      <c r="Z193" s="559"/>
      <c r="AA193" s="559"/>
      <c r="AB193" s="559"/>
      <c r="AC193" s="559"/>
      <c r="AD193" s="559"/>
      <c r="AE193" s="559"/>
      <c r="AF193" s="559"/>
      <c r="AG193" s="559"/>
      <c r="AH193" s="559"/>
      <c r="AI193" s="559"/>
      <c r="AJ193" s="559"/>
      <c r="AK193" s="559"/>
      <c r="AL193" s="552" t="s">
        <v>195</v>
      </c>
      <c r="AM193" s="522"/>
      <c r="AN193" s="522"/>
    </row>
    <row r="194" spans="1:40" ht="15.6" customHeight="1" x14ac:dyDescent="0.25">
      <c r="A194" s="522"/>
      <c r="B194" s="560" t="s">
        <v>272</v>
      </c>
      <c r="C194" s="561" t="s">
        <v>272</v>
      </c>
      <c r="D194" s="560">
        <v>656030041</v>
      </c>
      <c r="E194" s="562">
        <v>314</v>
      </c>
      <c r="F194" s="563">
        <v>656</v>
      </c>
      <c r="G194" s="564">
        <v>7951600</v>
      </c>
      <c r="H194" s="565" t="s">
        <v>226</v>
      </c>
      <c r="I194" s="565">
        <v>251</v>
      </c>
      <c r="J194" s="531">
        <v>0</v>
      </c>
      <c r="K194" s="566"/>
      <c r="L194" s="567">
        <v>0</v>
      </c>
      <c r="M194" s="567">
        <v>0</v>
      </c>
      <c r="N194" s="567">
        <v>0</v>
      </c>
      <c r="O194" s="567">
        <v>0</v>
      </c>
      <c r="P194" s="567">
        <v>0</v>
      </c>
      <c r="Q194" s="568"/>
      <c r="R194" s="566">
        <v>0</v>
      </c>
      <c r="S194" s="566">
        <v>0</v>
      </c>
      <c r="T194" s="566">
        <v>0</v>
      </c>
      <c r="U194" s="566">
        <v>0</v>
      </c>
      <c r="V194" s="569"/>
      <c r="W194" s="566"/>
      <c r="X194" s="575"/>
      <c r="Y194" s="575"/>
      <c r="Z194" s="575"/>
      <c r="AA194" s="575"/>
      <c r="AB194" s="566"/>
      <c r="AC194" s="617"/>
      <c r="AD194" s="566"/>
      <c r="AE194" s="566"/>
      <c r="AF194" s="566"/>
      <c r="AG194" s="566">
        <v>0</v>
      </c>
      <c r="AH194" s="566">
        <v>0</v>
      </c>
      <c r="AI194" s="566"/>
      <c r="AJ194" s="569"/>
      <c r="AK194" s="570"/>
      <c r="AL194" s="552" t="s">
        <v>195</v>
      </c>
      <c r="AM194" s="522"/>
      <c r="AN194" s="522"/>
    </row>
    <row r="195" spans="1:40" ht="15.6" customHeight="1" x14ac:dyDescent="0.25">
      <c r="A195" s="522"/>
      <c r="B195" s="559" t="s">
        <v>212</v>
      </c>
      <c r="C195" s="559"/>
      <c r="D195" s="559"/>
      <c r="E195" s="559"/>
      <c r="F195" s="559"/>
      <c r="G195" s="559"/>
      <c r="H195" s="559"/>
      <c r="I195" s="559"/>
      <c r="J195" s="559"/>
      <c r="K195" s="559"/>
      <c r="L195" s="556">
        <v>0</v>
      </c>
      <c r="M195" s="556">
        <v>0</v>
      </c>
      <c r="N195" s="556">
        <v>0</v>
      </c>
      <c r="O195" s="556">
        <v>0</v>
      </c>
      <c r="P195" s="556">
        <v>0</v>
      </c>
      <c r="Q195" s="568"/>
      <c r="R195" s="590">
        <v>0</v>
      </c>
      <c r="S195" s="566">
        <v>0</v>
      </c>
      <c r="T195" s="590">
        <v>0</v>
      </c>
      <c r="U195" s="566">
        <v>0</v>
      </c>
      <c r="V195" s="591"/>
      <c r="W195" s="590"/>
      <c r="X195" s="592"/>
      <c r="Y195" s="592"/>
      <c r="Z195" s="592"/>
      <c r="AA195" s="592"/>
      <c r="AB195" s="590"/>
      <c r="AC195" s="618"/>
      <c r="AD195" s="573"/>
      <c r="AE195" s="573"/>
      <c r="AF195" s="573"/>
      <c r="AG195" s="566">
        <v>0</v>
      </c>
      <c r="AH195" s="566">
        <v>0</v>
      </c>
      <c r="AI195" s="573"/>
      <c r="AJ195" s="573"/>
      <c r="AK195" s="570"/>
      <c r="AL195" s="552" t="s">
        <v>195</v>
      </c>
      <c r="AM195" s="522"/>
      <c r="AN195" s="522"/>
    </row>
    <row r="196" spans="1:40" ht="15.6" customHeight="1" x14ac:dyDescent="0.25">
      <c r="A196" s="522"/>
      <c r="B196" s="559" t="s">
        <v>273</v>
      </c>
      <c r="C196" s="559"/>
      <c r="D196" s="559"/>
      <c r="E196" s="559"/>
      <c r="F196" s="559"/>
      <c r="G196" s="559"/>
      <c r="H196" s="559"/>
      <c r="I196" s="559"/>
      <c r="J196" s="559"/>
      <c r="K196" s="559"/>
      <c r="L196" s="559"/>
      <c r="M196" s="559"/>
      <c r="N196" s="559"/>
      <c r="O196" s="559"/>
      <c r="P196" s="559"/>
      <c r="Q196" s="559"/>
      <c r="R196" s="559"/>
      <c r="S196" s="559"/>
      <c r="T196" s="559"/>
      <c r="U196" s="559"/>
      <c r="V196" s="559"/>
      <c r="W196" s="559"/>
      <c r="X196" s="559"/>
      <c r="Y196" s="559"/>
      <c r="Z196" s="559"/>
      <c r="AA196" s="559"/>
      <c r="AB196" s="559"/>
      <c r="AC196" s="559"/>
      <c r="AD196" s="559"/>
      <c r="AE196" s="559"/>
      <c r="AF196" s="559"/>
      <c r="AG196" s="559"/>
      <c r="AH196" s="559"/>
      <c r="AI196" s="559"/>
      <c r="AJ196" s="559"/>
      <c r="AK196" s="559"/>
      <c r="AL196" s="552" t="s">
        <v>195</v>
      </c>
      <c r="AM196" s="522"/>
      <c r="AN196" s="522"/>
    </row>
    <row r="197" spans="1:40" ht="15.6" customHeight="1" x14ac:dyDescent="0.25">
      <c r="A197" s="522"/>
      <c r="B197" s="560" t="s">
        <v>273</v>
      </c>
      <c r="C197" s="561" t="s">
        <v>273</v>
      </c>
      <c r="D197" s="560">
        <v>656030042</v>
      </c>
      <c r="E197" s="562">
        <v>314</v>
      </c>
      <c r="F197" s="563">
        <v>656</v>
      </c>
      <c r="G197" s="564">
        <v>5220700</v>
      </c>
      <c r="H197" s="565" t="s">
        <v>226</v>
      </c>
      <c r="I197" s="565">
        <v>251</v>
      </c>
      <c r="J197" s="531">
        <v>0</v>
      </c>
      <c r="K197" s="566"/>
      <c r="L197" s="567">
        <v>0</v>
      </c>
      <c r="M197" s="567">
        <v>0</v>
      </c>
      <c r="N197" s="567">
        <v>0</v>
      </c>
      <c r="O197" s="567">
        <v>0</v>
      </c>
      <c r="P197" s="567">
        <v>0</v>
      </c>
      <c r="Q197" s="568"/>
      <c r="R197" s="566">
        <v>0</v>
      </c>
      <c r="S197" s="566">
        <v>0</v>
      </c>
      <c r="T197" s="566">
        <v>0</v>
      </c>
      <c r="U197" s="566">
        <v>0</v>
      </c>
      <c r="V197" s="569"/>
      <c r="W197" s="566"/>
      <c r="X197" s="575"/>
      <c r="Y197" s="575"/>
      <c r="Z197" s="575"/>
      <c r="AA197" s="575"/>
      <c r="AB197" s="566"/>
      <c r="AC197" s="617"/>
      <c r="AD197" s="566"/>
      <c r="AE197" s="566"/>
      <c r="AF197" s="566"/>
      <c r="AG197" s="566">
        <v>0</v>
      </c>
      <c r="AH197" s="566">
        <v>0</v>
      </c>
      <c r="AI197" s="566"/>
      <c r="AJ197" s="569"/>
      <c r="AK197" s="570"/>
      <c r="AL197" s="552" t="s">
        <v>195</v>
      </c>
      <c r="AM197" s="522"/>
      <c r="AN197" s="522"/>
    </row>
    <row r="198" spans="1:40" ht="15.6" customHeight="1" x14ac:dyDescent="0.25">
      <c r="A198" s="522"/>
      <c r="B198" s="559" t="s">
        <v>212</v>
      </c>
      <c r="C198" s="559"/>
      <c r="D198" s="559"/>
      <c r="E198" s="559"/>
      <c r="F198" s="559"/>
      <c r="G198" s="559"/>
      <c r="H198" s="559"/>
      <c r="I198" s="559"/>
      <c r="J198" s="559"/>
      <c r="K198" s="559"/>
      <c r="L198" s="556">
        <v>0</v>
      </c>
      <c r="M198" s="556">
        <v>0</v>
      </c>
      <c r="N198" s="556">
        <v>0</v>
      </c>
      <c r="O198" s="556">
        <v>0</v>
      </c>
      <c r="P198" s="556">
        <v>0</v>
      </c>
      <c r="Q198" s="568"/>
      <c r="R198" s="590">
        <v>0</v>
      </c>
      <c r="S198" s="566">
        <v>0</v>
      </c>
      <c r="T198" s="590">
        <v>0</v>
      </c>
      <c r="U198" s="566">
        <v>0</v>
      </c>
      <c r="V198" s="591"/>
      <c r="W198" s="590"/>
      <c r="X198" s="592"/>
      <c r="Y198" s="592"/>
      <c r="Z198" s="592"/>
      <c r="AA198" s="592"/>
      <c r="AB198" s="590"/>
      <c r="AC198" s="618"/>
      <c r="AD198" s="573"/>
      <c r="AE198" s="573"/>
      <c r="AF198" s="573"/>
      <c r="AG198" s="566">
        <v>0</v>
      </c>
      <c r="AH198" s="566">
        <v>0</v>
      </c>
      <c r="AI198" s="573"/>
      <c r="AJ198" s="573"/>
      <c r="AK198" s="570"/>
      <c r="AL198" s="552" t="s">
        <v>195</v>
      </c>
      <c r="AM198" s="522"/>
      <c r="AN198" s="522"/>
    </row>
    <row r="199" spans="1:40" ht="15.6" customHeight="1" x14ac:dyDescent="0.25">
      <c r="A199" s="522"/>
      <c r="B199" s="559" t="s">
        <v>274</v>
      </c>
      <c r="C199" s="559"/>
      <c r="D199" s="559"/>
      <c r="E199" s="559"/>
      <c r="F199" s="559"/>
      <c r="G199" s="559"/>
      <c r="H199" s="559"/>
      <c r="I199" s="559"/>
      <c r="J199" s="559"/>
      <c r="K199" s="559"/>
      <c r="L199" s="559"/>
      <c r="M199" s="559"/>
      <c r="N199" s="559"/>
      <c r="O199" s="559"/>
      <c r="P199" s="559"/>
      <c r="Q199" s="559"/>
      <c r="R199" s="559"/>
      <c r="S199" s="559"/>
      <c r="T199" s="559"/>
      <c r="U199" s="559"/>
      <c r="V199" s="559"/>
      <c r="W199" s="559"/>
      <c r="X199" s="559"/>
      <c r="Y199" s="559"/>
      <c r="Z199" s="559"/>
      <c r="AA199" s="559"/>
      <c r="AB199" s="559"/>
      <c r="AC199" s="559"/>
      <c r="AD199" s="559"/>
      <c r="AE199" s="559"/>
      <c r="AF199" s="559"/>
      <c r="AG199" s="559"/>
      <c r="AH199" s="559"/>
      <c r="AI199" s="559"/>
      <c r="AJ199" s="559"/>
      <c r="AK199" s="559"/>
      <c r="AL199" s="552" t="s">
        <v>195</v>
      </c>
      <c r="AM199" s="522"/>
      <c r="AN199" s="522"/>
    </row>
    <row r="200" spans="1:40" ht="15.6" customHeight="1" x14ac:dyDescent="0.25">
      <c r="A200" s="522"/>
      <c r="B200" s="560" t="s">
        <v>274</v>
      </c>
      <c r="C200" s="561" t="s">
        <v>274</v>
      </c>
      <c r="D200" s="560">
        <v>656030043</v>
      </c>
      <c r="E200" s="562">
        <v>314</v>
      </c>
      <c r="F200" s="563">
        <v>656</v>
      </c>
      <c r="G200" s="564">
        <v>7956561</v>
      </c>
      <c r="H200" s="565" t="s">
        <v>219</v>
      </c>
      <c r="I200" s="565">
        <v>225</v>
      </c>
      <c r="J200" s="531">
        <v>0</v>
      </c>
      <c r="K200" s="566"/>
      <c r="L200" s="567">
        <v>237520</v>
      </c>
      <c r="M200" s="567">
        <v>-40470</v>
      </c>
      <c r="N200" s="567">
        <v>152950</v>
      </c>
      <c r="O200" s="567">
        <v>0</v>
      </c>
      <c r="P200" s="567">
        <v>350000</v>
      </c>
      <c r="Q200" s="568"/>
      <c r="R200" s="566"/>
      <c r="S200" s="566"/>
      <c r="T200" s="566"/>
      <c r="U200" s="566"/>
      <c r="V200" s="569"/>
      <c r="W200" s="566"/>
      <c r="X200" s="575"/>
      <c r="Y200" s="575"/>
      <c r="Z200" s="575"/>
      <c r="AA200" s="575"/>
      <c r="AB200" s="566"/>
      <c r="AC200" s="617"/>
      <c r="AD200" s="566"/>
      <c r="AE200" s="566"/>
      <c r="AF200" s="566"/>
      <c r="AG200" s="566">
        <v>350000</v>
      </c>
      <c r="AH200" s="566">
        <v>0</v>
      </c>
      <c r="AI200" s="566"/>
      <c r="AJ200" s="569"/>
      <c r="AK200" s="570">
        <v>1</v>
      </c>
      <c r="AL200" s="552" t="s">
        <v>195</v>
      </c>
      <c r="AM200" s="522"/>
      <c r="AN200" s="522"/>
    </row>
    <row r="201" spans="1:40" ht="15.6" customHeight="1" x14ac:dyDescent="0.25">
      <c r="A201" s="522"/>
      <c r="B201" s="560" t="s">
        <v>274</v>
      </c>
      <c r="C201" s="561" t="s">
        <v>274</v>
      </c>
      <c r="D201" s="560">
        <v>656030043</v>
      </c>
      <c r="E201" s="562">
        <v>314</v>
      </c>
      <c r="F201" s="563">
        <v>656</v>
      </c>
      <c r="G201" s="564">
        <v>7956561</v>
      </c>
      <c r="H201" s="565" t="s">
        <v>219</v>
      </c>
      <c r="I201" s="565">
        <v>310</v>
      </c>
      <c r="J201" s="531" t="s">
        <v>275</v>
      </c>
      <c r="K201" s="566"/>
      <c r="L201" s="567">
        <v>0</v>
      </c>
      <c r="M201" s="567">
        <v>19599.990000000002</v>
      </c>
      <c r="N201" s="567">
        <v>0</v>
      </c>
      <c r="O201" s="567">
        <v>0</v>
      </c>
      <c r="P201" s="567">
        <v>19599.990000000002</v>
      </c>
      <c r="Q201" s="568"/>
      <c r="R201" s="566"/>
      <c r="S201" s="566"/>
      <c r="T201" s="566"/>
      <c r="U201" s="566"/>
      <c r="V201" s="569"/>
      <c r="W201" s="566"/>
      <c r="X201" s="575"/>
      <c r="Y201" s="575"/>
      <c r="Z201" s="575"/>
      <c r="AA201" s="575"/>
      <c r="AB201" s="566"/>
      <c r="AC201" s="617"/>
      <c r="AD201" s="566"/>
      <c r="AE201" s="566"/>
      <c r="AF201" s="566"/>
      <c r="AG201" s="566">
        <v>19599.990000000002</v>
      </c>
      <c r="AH201" s="566">
        <v>0</v>
      </c>
      <c r="AI201" s="566"/>
      <c r="AJ201" s="569"/>
      <c r="AK201" s="570">
        <v>1</v>
      </c>
      <c r="AL201" s="552" t="s">
        <v>195</v>
      </c>
      <c r="AM201" s="522"/>
      <c r="AN201" s="522"/>
    </row>
    <row r="202" spans="1:40" ht="15.6" customHeight="1" x14ac:dyDescent="0.25">
      <c r="A202" s="522"/>
      <c r="B202" s="560" t="s">
        <v>274</v>
      </c>
      <c r="C202" s="561" t="s">
        <v>274</v>
      </c>
      <c r="D202" s="560">
        <v>656030043</v>
      </c>
      <c r="E202" s="562">
        <v>314</v>
      </c>
      <c r="F202" s="563">
        <v>656</v>
      </c>
      <c r="G202" s="564">
        <v>7956561</v>
      </c>
      <c r="H202" s="565" t="s">
        <v>219</v>
      </c>
      <c r="I202" s="565">
        <v>340</v>
      </c>
      <c r="J202" s="531" t="s">
        <v>261</v>
      </c>
      <c r="K202" s="566"/>
      <c r="L202" s="567">
        <v>0</v>
      </c>
      <c r="M202" s="567">
        <v>20870.009999999998</v>
      </c>
      <c r="N202" s="567">
        <v>0</v>
      </c>
      <c r="O202" s="567">
        <v>0</v>
      </c>
      <c r="P202" s="567">
        <v>20870.009999999998</v>
      </c>
      <c r="Q202" s="568"/>
      <c r="R202" s="566"/>
      <c r="S202" s="566"/>
      <c r="T202" s="566"/>
      <c r="U202" s="566"/>
      <c r="V202" s="569"/>
      <c r="W202" s="566"/>
      <c r="X202" s="575"/>
      <c r="Y202" s="575"/>
      <c r="Z202" s="575"/>
      <c r="AA202" s="575"/>
      <c r="AB202" s="566"/>
      <c r="AC202" s="617"/>
      <c r="AD202" s="566"/>
      <c r="AE202" s="566"/>
      <c r="AF202" s="566"/>
      <c r="AG202" s="566">
        <v>20870.009999999998</v>
      </c>
      <c r="AH202" s="566">
        <v>0</v>
      </c>
      <c r="AI202" s="566"/>
      <c r="AJ202" s="569"/>
      <c r="AK202" s="570">
        <v>1</v>
      </c>
      <c r="AL202" s="552" t="s">
        <v>195</v>
      </c>
      <c r="AM202" s="522"/>
      <c r="AN202" s="522"/>
    </row>
    <row r="203" spans="1:40" ht="15.6" customHeight="1" x14ac:dyDescent="0.25">
      <c r="A203" s="522"/>
      <c r="B203" s="559" t="s">
        <v>212</v>
      </c>
      <c r="C203" s="559"/>
      <c r="D203" s="559"/>
      <c r="E203" s="559"/>
      <c r="F203" s="559"/>
      <c r="G203" s="559"/>
      <c r="H203" s="559"/>
      <c r="I203" s="559"/>
      <c r="J203" s="559"/>
      <c r="K203" s="559"/>
      <c r="L203" s="556">
        <v>237520</v>
      </c>
      <c r="M203" s="556">
        <v>0</v>
      </c>
      <c r="N203" s="556">
        <v>152950</v>
      </c>
      <c r="O203" s="556">
        <v>0</v>
      </c>
      <c r="P203" s="556">
        <v>390470</v>
      </c>
      <c r="Q203" s="568"/>
      <c r="R203" s="590"/>
      <c r="S203" s="566"/>
      <c r="T203" s="590"/>
      <c r="U203" s="566"/>
      <c r="V203" s="591"/>
      <c r="W203" s="590"/>
      <c r="X203" s="592"/>
      <c r="Y203" s="592"/>
      <c r="Z203" s="592"/>
      <c r="AA203" s="592"/>
      <c r="AB203" s="590"/>
      <c r="AC203" s="618"/>
      <c r="AD203" s="573"/>
      <c r="AE203" s="573"/>
      <c r="AF203" s="573"/>
      <c r="AG203" s="566">
        <v>390470</v>
      </c>
      <c r="AH203" s="566">
        <v>0</v>
      </c>
      <c r="AI203" s="573"/>
      <c r="AJ203" s="573"/>
      <c r="AK203" s="570">
        <v>1</v>
      </c>
      <c r="AL203" s="552" t="s">
        <v>195</v>
      </c>
      <c r="AM203" s="522"/>
      <c r="AN203" s="522"/>
    </row>
    <row r="204" spans="1:40" ht="15.6" customHeight="1" x14ac:dyDescent="0.25">
      <c r="A204" s="522"/>
      <c r="B204" s="559" t="s">
        <v>276</v>
      </c>
      <c r="C204" s="559"/>
      <c r="D204" s="559"/>
      <c r="E204" s="559"/>
      <c r="F204" s="559"/>
      <c r="G204" s="559"/>
      <c r="H204" s="559"/>
      <c r="I204" s="559"/>
      <c r="J204" s="559"/>
      <c r="K204" s="559"/>
      <c r="L204" s="559"/>
      <c r="M204" s="559"/>
      <c r="N204" s="559"/>
      <c r="O204" s="559"/>
      <c r="P204" s="559"/>
      <c r="Q204" s="559"/>
      <c r="R204" s="559"/>
      <c r="S204" s="559"/>
      <c r="T204" s="559"/>
      <c r="U204" s="559"/>
      <c r="V204" s="559"/>
      <c r="W204" s="559"/>
      <c r="X204" s="559"/>
      <c r="Y204" s="559"/>
      <c r="Z204" s="559"/>
      <c r="AA204" s="559"/>
      <c r="AB204" s="559"/>
      <c r="AC204" s="559"/>
      <c r="AD204" s="559"/>
      <c r="AE204" s="559"/>
      <c r="AF204" s="559"/>
      <c r="AG204" s="559"/>
      <c r="AH204" s="559"/>
      <c r="AI204" s="559"/>
      <c r="AJ204" s="559"/>
      <c r="AK204" s="559"/>
      <c r="AL204" s="552" t="s">
        <v>195</v>
      </c>
      <c r="AM204" s="522"/>
      <c r="AN204" s="522"/>
    </row>
    <row r="205" spans="1:40" ht="15.6" customHeight="1" x14ac:dyDescent="0.25">
      <c r="A205" s="522"/>
      <c r="B205" s="560" t="s">
        <v>276</v>
      </c>
      <c r="C205" s="561" t="s">
        <v>276</v>
      </c>
      <c r="D205" s="560">
        <v>656030051</v>
      </c>
      <c r="E205" s="562">
        <v>314</v>
      </c>
      <c r="F205" s="563">
        <v>656</v>
      </c>
      <c r="G205" s="564">
        <v>7952800</v>
      </c>
      <c r="H205" s="565" t="s">
        <v>226</v>
      </c>
      <c r="I205" s="565">
        <v>251</v>
      </c>
      <c r="J205" s="531">
        <v>0</v>
      </c>
      <c r="K205" s="566"/>
      <c r="L205" s="567">
        <v>0</v>
      </c>
      <c r="M205" s="567">
        <v>0</v>
      </c>
      <c r="N205" s="567">
        <v>0</v>
      </c>
      <c r="O205" s="567">
        <v>0</v>
      </c>
      <c r="P205" s="567">
        <v>0</v>
      </c>
      <c r="Q205" s="568"/>
      <c r="R205" s="566"/>
      <c r="S205" s="566"/>
      <c r="T205" s="566"/>
      <c r="U205" s="566"/>
      <c r="V205" s="569"/>
      <c r="W205" s="566"/>
      <c r="X205" s="575"/>
      <c r="Y205" s="575"/>
      <c r="Z205" s="575"/>
      <c r="AA205" s="575"/>
      <c r="AB205" s="566"/>
      <c r="AC205" s="617"/>
      <c r="AD205" s="566"/>
      <c r="AE205" s="566"/>
      <c r="AF205" s="566"/>
      <c r="AG205" s="566">
        <v>0</v>
      </c>
      <c r="AH205" s="566">
        <v>0</v>
      </c>
      <c r="AI205" s="566"/>
      <c r="AJ205" s="569"/>
      <c r="AK205" s="570"/>
      <c r="AL205" s="552" t="s">
        <v>195</v>
      </c>
      <c r="AM205" s="522"/>
      <c r="AN205" s="522"/>
    </row>
    <row r="206" spans="1:40" ht="15.6" customHeight="1" x14ac:dyDescent="0.25">
      <c r="A206" s="522"/>
      <c r="B206" s="559" t="s">
        <v>212</v>
      </c>
      <c r="C206" s="559"/>
      <c r="D206" s="559"/>
      <c r="E206" s="559"/>
      <c r="F206" s="559"/>
      <c r="G206" s="559"/>
      <c r="H206" s="559"/>
      <c r="I206" s="559"/>
      <c r="J206" s="559"/>
      <c r="K206" s="559"/>
      <c r="L206" s="556">
        <v>0</v>
      </c>
      <c r="M206" s="556">
        <v>0</v>
      </c>
      <c r="N206" s="556">
        <v>0</v>
      </c>
      <c r="O206" s="556">
        <v>0</v>
      </c>
      <c r="P206" s="556">
        <v>0</v>
      </c>
      <c r="Q206" s="568"/>
      <c r="R206" s="590"/>
      <c r="S206" s="566"/>
      <c r="T206" s="590"/>
      <c r="U206" s="566"/>
      <c r="V206" s="591"/>
      <c r="W206" s="590"/>
      <c r="X206" s="592"/>
      <c r="Y206" s="592"/>
      <c r="Z206" s="592"/>
      <c r="AA206" s="592"/>
      <c r="AB206" s="590"/>
      <c r="AC206" s="618"/>
      <c r="AD206" s="573"/>
      <c r="AE206" s="573"/>
      <c r="AF206" s="573"/>
      <c r="AG206" s="566">
        <v>0</v>
      </c>
      <c r="AH206" s="566">
        <v>0</v>
      </c>
      <c r="AI206" s="573"/>
      <c r="AJ206" s="573"/>
      <c r="AK206" s="570"/>
      <c r="AL206" s="552" t="s">
        <v>195</v>
      </c>
      <c r="AM206" s="522"/>
      <c r="AN206" s="522"/>
    </row>
    <row r="207" spans="1:40" ht="15.6" customHeight="1" x14ac:dyDescent="0.25">
      <c r="A207" s="522"/>
      <c r="B207" s="559" t="s">
        <v>277</v>
      </c>
      <c r="C207" s="559"/>
      <c r="D207" s="559"/>
      <c r="E207" s="559"/>
      <c r="F207" s="559"/>
      <c r="G207" s="559"/>
      <c r="H207" s="559"/>
      <c r="I207" s="559"/>
      <c r="J207" s="559"/>
      <c r="K207" s="559"/>
      <c r="L207" s="559"/>
      <c r="M207" s="559"/>
      <c r="N207" s="559"/>
      <c r="O207" s="559"/>
      <c r="P207" s="559"/>
      <c r="Q207" s="559"/>
      <c r="R207" s="559"/>
      <c r="S207" s="559"/>
      <c r="T207" s="559"/>
      <c r="U207" s="559"/>
      <c r="V207" s="559"/>
      <c r="W207" s="559"/>
      <c r="X207" s="559"/>
      <c r="Y207" s="559"/>
      <c r="Z207" s="559"/>
      <c r="AA207" s="559"/>
      <c r="AB207" s="559"/>
      <c r="AC207" s="559"/>
      <c r="AD207" s="559"/>
      <c r="AE207" s="559"/>
      <c r="AF207" s="559"/>
      <c r="AG207" s="559"/>
      <c r="AH207" s="559"/>
      <c r="AI207" s="559"/>
      <c r="AJ207" s="559"/>
      <c r="AK207" s="559"/>
      <c r="AL207" s="552" t="s">
        <v>195</v>
      </c>
      <c r="AM207" s="522"/>
      <c r="AN207" s="522"/>
    </row>
    <row r="208" spans="1:40" ht="15.6" customHeight="1" x14ac:dyDescent="0.25">
      <c r="A208" s="522"/>
      <c r="B208" s="560" t="s">
        <v>277</v>
      </c>
      <c r="C208" s="561" t="s">
        <v>277</v>
      </c>
      <c r="D208" s="560">
        <v>656030052</v>
      </c>
      <c r="E208" s="562">
        <v>314</v>
      </c>
      <c r="F208" s="563">
        <v>656</v>
      </c>
      <c r="G208" s="564">
        <v>7952801</v>
      </c>
      <c r="H208" s="565" t="s">
        <v>219</v>
      </c>
      <c r="I208" s="565">
        <v>340</v>
      </c>
      <c r="J208" s="531" t="s">
        <v>261</v>
      </c>
      <c r="K208" s="566"/>
      <c r="L208" s="567">
        <v>0</v>
      </c>
      <c r="M208" s="567">
        <v>0</v>
      </c>
      <c r="N208" s="567">
        <v>444</v>
      </c>
      <c r="O208" s="567">
        <v>0</v>
      </c>
      <c r="P208" s="567">
        <v>444</v>
      </c>
      <c r="Q208" s="568"/>
      <c r="R208" s="566">
        <v>444</v>
      </c>
      <c r="S208" s="566"/>
      <c r="T208" s="566"/>
      <c r="U208" s="566"/>
      <c r="V208" s="569"/>
      <c r="W208" s="566"/>
      <c r="X208" s="575"/>
      <c r="Y208" s="575"/>
      <c r="Z208" s="575"/>
      <c r="AA208" s="575"/>
      <c r="AB208" s="566">
        <v>0</v>
      </c>
      <c r="AC208" s="617">
        <v>-444</v>
      </c>
      <c r="AD208" s="566"/>
      <c r="AE208" s="566"/>
      <c r="AF208" s="566"/>
      <c r="AG208" s="566">
        <v>444</v>
      </c>
      <c r="AH208" s="566">
        <v>0</v>
      </c>
      <c r="AI208" s="566"/>
      <c r="AJ208" s="569"/>
      <c r="AK208" s="570">
        <v>1</v>
      </c>
      <c r="AL208" s="552" t="s">
        <v>195</v>
      </c>
      <c r="AM208" s="522"/>
      <c r="AN208" s="522"/>
    </row>
    <row r="209" spans="1:41" ht="15.6" customHeight="1" x14ac:dyDescent="0.25">
      <c r="A209" s="522"/>
      <c r="B209" s="559" t="s">
        <v>212</v>
      </c>
      <c r="C209" s="559"/>
      <c r="D209" s="559"/>
      <c r="E209" s="559"/>
      <c r="F209" s="559"/>
      <c r="G209" s="559"/>
      <c r="H209" s="559"/>
      <c r="I209" s="559"/>
      <c r="J209" s="559"/>
      <c r="K209" s="559"/>
      <c r="L209" s="556">
        <v>444</v>
      </c>
      <c r="M209" s="556">
        <v>0</v>
      </c>
      <c r="N209" s="556">
        <v>0</v>
      </c>
      <c r="O209" s="556">
        <v>0</v>
      </c>
      <c r="P209" s="556">
        <v>444</v>
      </c>
      <c r="Q209" s="568"/>
      <c r="R209" s="590">
        <v>444</v>
      </c>
      <c r="S209" s="566"/>
      <c r="T209" s="590"/>
      <c r="U209" s="566"/>
      <c r="V209" s="591"/>
      <c r="W209" s="590"/>
      <c r="X209" s="592"/>
      <c r="Y209" s="592"/>
      <c r="Z209" s="592"/>
      <c r="AA209" s="592"/>
      <c r="AB209" s="590">
        <v>0</v>
      </c>
      <c r="AC209" s="618"/>
      <c r="AD209" s="573"/>
      <c r="AE209" s="573"/>
      <c r="AF209" s="573"/>
      <c r="AG209" s="566">
        <v>444</v>
      </c>
      <c r="AH209" s="566">
        <v>0</v>
      </c>
      <c r="AI209" s="573"/>
      <c r="AJ209" s="573"/>
      <c r="AK209" s="570">
        <v>1</v>
      </c>
      <c r="AL209" s="552" t="s">
        <v>195</v>
      </c>
      <c r="AM209" s="522"/>
      <c r="AN209" s="522"/>
    </row>
    <row r="210" spans="1:41" ht="15.6" customHeight="1" x14ac:dyDescent="0.25">
      <c r="A210" s="522"/>
      <c r="B210" s="559" t="s">
        <v>276</v>
      </c>
      <c r="C210" s="559"/>
      <c r="D210" s="559"/>
      <c r="E210" s="559"/>
      <c r="F210" s="559"/>
      <c r="G210" s="559"/>
      <c r="H210" s="559"/>
      <c r="I210" s="559"/>
      <c r="J210" s="559"/>
      <c r="K210" s="559"/>
      <c r="L210" s="559"/>
      <c r="M210" s="559"/>
      <c r="N210" s="559"/>
      <c r="O210" s="559"/>
      <c r="P210" s="559"/>
      <c r="Q210" s="559"/>
      <c r="R210" s="559"/>
      <c r="S210" s="559"/>
      <c r="T210" s="559"/>
      <c r="U210" s="559"/>
      <c r="V210" s="559"/>
      <c r="W210" s="559"/>
      <c r="X210" s="559"/>
      <c r="Y210" s="559"/>
      <c r="Z210" s="559"/>
      <c r="AA210" s="559"/>
      <c r="AB210" s="559"/>
      <c r="AC210" s="559"/>
      <c r="AD210" s="559"/>
      <c r="AE210" s="559"/>
      <c r="AF210" s="559"/>
      <c r="AG210" s="559"/>
      <c r="AH210" s="559"/>
      <c r="AI210" s="559"/>
      <c r="AJ210" s="559"/>
      <c r="AK210" s="559"/>
      <c r="AL210" s="552" t="s">
        <v>195</v>
      </c>
      <c r="AM210" s="522"/>
      <c r="AN210" s="522"/>
    </row>
    <row r="211" spans="1:41" ht="15.6" customHeight="1" x14ac:dyDescent="0.25">
      <c r="A211" s="522"/>
      <c r="B211" s="560" t="s">
        <v>276</v>
      </c>
      <c r="C211" s="561" t="s">
        <v>276</v>
      </c>
      <c r="D211" s="560">
        <v>656030053</v>
      </c>
      <c r="E211" s="562">
        <v>314</v>
      </c>
      <c r="F211" s="563">
        <v>656</v>
      </c>
      <c r="G211" s="564">
        <v>7952801</v>
      </c>
      <c r="H211" s="565" t="s">
        <v>226</v>
      </c>
      <c r="I211" s="565">
        <v>251</v>
      </c>
      <c r="J211" s="531">
        <v>0</v>
      </c>
      <c r="K211" s="566"/>
      <c r="L211" s="567">
        <v>0</v>
      </c>
      <c r="M211" s="567">
        <v>225000</v>
      </c>
      <c r="N211" s="567">
        <v>225000</v>
      </c>
      <c r="O211" s="567">
        <v>-450000</v>
      </c>
      <c r="P211" s="567">
        <v>0</v>
      </c>
      <c r="Q211" s="568"/>
      <c r="R211" s="566"/>
      <c r="S211" s="566"/>
      <c r="T211" s="566"/>
      <c r="U211" s="566"/>
      <c r="V211" s="569">
        <v>0</v>
      </c>
      <c r="W211" s="566"/>
      <c r="X211" s="575"/>
      <c r="Y211" s="575"/>
      <c r="Z211" s="575"/>
      <c r="AA211" s="575"/>
      <c r="AB211" s="566"/>
      <c r="AC211" s="617"/>
      <c r="AD211" s="566"/>
      <c r="AE211" s="566"/>
      <c r="AF211" s="566"/>
      <c r="AG211" s="566">
        <v>0</v>
      </c>
      <c r="AH211" s="566">
        <v>0</v>
      </c>
      <c r="AI211" s="566"/>
      <c r="AJ211" s="569"/>
      <c r="AK211" s="570"/>
      <c r="AL211" s="552" t="s">
        <v>195</v>
      </c>
      <c r="AM211" s="522"/>
      <c r="AN211" s="522"/>
    </row>
    <row r="212" spans="1:41" ht="15.6" customHeight="1" x14ac:dyDescent="0.25">
      <c r="A212" s="522"/>
      <c r="B212" s="559" t="s">
        <v>212</v>
      </c>
      <c r="C212" s="559"/>
      <c r="D212" s="559"/>
      <c r="E212" s="559"/>
      <c r="F212" s="559"/>
      <c r="G212" s="559"/>
      <c r="H212" s="559"/>
      <c r="I212" s="559"/>
      <c r="J212" s="559"/>
      <c r="K212" s="559"/>
      <c r="L212" s="556">
        <v>0</v>
      </c>
      <c r="M212" s="556">
        <v>225000</v>
      </c>
      <c r="N212" s="556">
        <v>225000</v>
      </c>
      <c r="O212" s="556">
        <v>-450000</v>
      </c>
      <c r="P212" s="556">
        <v>0</v>
      </c>
      <c r="Q212" s="568"/>
      <c r="R212" s="590"/>
      <c r="S212" s="566"/>
      <c r="T212" s="590"/>
      <c r="U212" s="566"/>
      <c r="V212" s="591">
        <v>0</v>
      </c>
      <c r="W212" s="590"/>
      <c r="X212" s="592"/>
      <c r="Y212" s="592"/>
      <c r="Z212" s="592"/>
      <c r="AA212" s="592"/>
      <c r="AB212" s="590"/>
      <c r="AC212" s="618"/>
      <c r="AD212" s="573"/>
      <c r="AE212" s="573"/>
      <c r="AF212" s="573"/>
      <c r="AG212" s="566">
        <v>0</v>
      </c>
      <c r="AH212" s="566">
        <v>0</v>
      </c>
      <c r="AI212" s="573"/>
      <c r="AJ212" s="573"/>
      <c r="AK212" s="570"/>
      <c r="AL212" s="552" t="s">
        <v>195</v>
      </c>
      <c r="AM212" s="522"/>
      <c r="AN212" s="522"/>
    </row>
    <row r="213" spans="1:41" ht="15.6" customHeight="1" x14ac:dyDescent="0.25">
      <c r="A213" s="522"/>
      <c r="B213" s="589" t="s">
        <v>278</v>
      </c>
      <c r="C213" s="589"/>
      <c r="D213" s="589"/>
      <c r="E213" s="589"/>
      <c r="F213" s="589"/>
      <c r="G213" s="589"/>
      <c r="H213" s="589"/>
      <c r="I213" s="589"/>
      <c r="J213" s="589"/>
      <c r="K213" s="589"/>
      <c r="L213" s="589"/>
      <c r="M213" s="589"/>
      <c r="N213" s="589"/>
      <c r="O213" s="589"/>
      <c r="P213" s="589"/>
      <c r="Q213" s="589"/>
      <c r="R213" s="589"/>
      <c r="S213" s="589"/>
      <c r="T213" s="589"/>
      <c r="U213" s="589"/>
      <c r="V213" s="589"/>
      <c r="W213" s="589"/>
      <c r="X213" s="589"/>
      <c r="Y213" s="589"/>
      <c r="Z213" s="589"/>
      <c r="AA213" s="589"/>
      <c r="AB213" s="589"/>
      <c r="AC213" s="589"/>
      <c r="AD213" s="589"/>
      <c r="AE213" s="589"/>
      <c r="AF213" s="589"/>
      <c r="AG213" s="589"/>
      <c r="AH213" s="589"/>
      <c r="AI213" s="589"/>
      <c r="AJ213" s="589"/>
      <c r="AK213" s="589"/>
      <c r="AL213" s="552" t="s">
        <v>195</v>
      </c>
      <c r="AM213" s="522"/>
      <c r="AN213" s="522"/>
    </row>
    <row r="214" spans="1:41" ht="15.6" customHeight="1" x14ac:dyDescent="0.25">
      <c r="A214" s="522"/>
      <c r="B214" s="560" t="s">
        <v>279</v>
      </c>
      <c r="C214" s="561" t="s">
        <v>279</v>
      </c>
      <c r="D214" s="560">
        <v>656030061</v>
      </c>
      <c r="E214" s="562">
        <v>314</v>
      </c>
      <c r="F214" s="563">
        <v>656</v>
      </c>
      <c r="G214" s="564">
        <v>5222501</v>
      </c>
      <c r="H214" s="565" t="s">
        <v>219</v>
      </c>
      <c r="I214" s="565">
        <v>340</v>
      </c>
      <c r="J214" s="531" t="s">
        <v>261</v>
      </c>
      <c r="K214" s="566"/>
      <c r="L214" s="567">
        <v>0</v>
      </c>
      <c r="M214" s="567">
        <v>0</v>
      </c>
      <c r="N214" s="567">
        <v>4000</v>
      </c>
      <c r="O214" s="567">
        <v>0</v>
      </c>
      <c r="P214" s="567">
        <v>4000</v>
      </c>
      <c r="Q214" s="568"/>
      <c r="R214" s="566"/>
      <c r="S214" s="566"/>
      <c r="T214" s="566"/>
      <c r="U214" s="566"/>
      <c r="V214" s="569"/>
      <c r="W214" s="566"/>
      <c r="X214" s="575"/>
      <c r="Y214" s="575"/>
      <c r="Z214" s="575"/>
      <c r="AA214" s="575"/>
      <c r="AB214" s="566"/>
      <c r="AC214" s="617"/>
      <c r="AD214" s="566"/>
      <c r="AE214" s="566"/>
      <c r="AF214" s="566"/>
      <c r="AG214" s="566">
        <v>4000</v>
      </c>
      <c r="AH214" s="566">
        <v>0</v>
      </c>
      <c r="AI214" s="566"/>
      <c r="AJ214" s="569"/>
      <c r="AK214" s="570">
        <v>1</v>
      </c>
      <c r="AL214" s="552" t="s">
        <v>195</v>
      </c>
      <c r="AM214" s="522"/>
      <c r="AN214" s="522"/>
    </row>
    <row r="215" spans="1:41" ht="15.6" customHeight="1" x14ac:dyDescent="0.25">
      <c r="A215" s="522"/>
      <c r="B215" s="559" t="s">
        <v>212</v>
      </c>
      <c r="C215" s="559"/>
      <c r="D215" s="559"/>
      <c r="E215" s="559"/>
      <c r="F215" s="559"/>
      <c r="G215" s="559"/>
      <c r="H215" s="559"/>
      <c r="I215" s="559"/>
      <c r="J215" s="559"/>
      <c r="K215" s="559"/>
      <c r="L215" s="556">
        <v>0</v>
      </c>
      <c r="M215" s="556">
        <v>4000</v>
      </c>
      <c r="N215" s="556">
        <v>0</v>
      </c>
      <c r="O215" s="556">
        <v>0</v>
      </c>
      <c r="P215" s="556">
        <v>4000</v>
      </c>
      <c r="Q215" s="568"/>
      <c r="R215" s="590"/>
      <c r="S215" s="566"/>
      <c r="T215" s="590"/>
      <c r="U215" s="566"/>
      <c r="V215" s="591"/>
      <c r="W215" s="590"/>
      <c r="X215" s="592"/>
      <c r="Y215" s="592"/>
      <c r="Z215" s="592"/>
      <c r="AA215" s="592"/>
      <c r="AB215" s="590"/>
      <c r="AC215" s="618"/>
      <c r="AD215" s="573"/>
      <c r="AE215" s="573"/>
      <c r="AF215" s="573"/>
      <c r="AG215" s="566">
        <v>4000</v>
      </c>
      <c r="AH215" s="566">
        <v>0</v>
      </c>
      <c r="AI215" s="573"/>
      <c r="AJ215" s="573"/>
      <c r="AK215" s="570">
        <v>1</v>
      </c>
      <c r="AL215" s="552" t="s">
        <v>195</v>
      </c>
      <c r="AM215" s="522"/>
      <c r="AN215" s="522"/>
    </row>
    <row r="216" spans="1:41" ht="15.6" customHeight="1" x14ac:dyDescent="0.25">
      <c r="A216" s="522"/>
      <c r="B216" s="561"/>
      <c r="C216" s="561"/>
      <c r="D216" s="589" t="s">
        <v>280</v>
      </c>
      <c r="E216" s="589"/>
      <c r="F216" s="589"/>
      <c r="G216" s="589"/>
      <c r="H216" s="589"/>
      <c r="I216" s="589"/>
      <c r="J216" s="589"/>
      <c r="K216" s="589"/>
      <c r="L216" s="589"/>
      <c r="M216" s="589"/>
      <c r="N216" s="589"/>
      <c r="O216" s="589"/>
      <c r="P216" s="589"/>
      <c r="Q216" s="589"/>
      <c r="R216" s="589"/>
      <c r="S216" s="589"/>
      <c r="T216" s="589"/>
      <c r="U216" s="589"/>
      <c r="V216" s="589"/>
      <c r="W216" s="589"/>
      <c r="X216" s="589"/>
      <c r="Y216" s="589"/>
      <c r="Z216" s="589"/>
      <c r="AA216" s="589"/>
      <c r="AB216" s="589"/>
      <c r="AC216" s="589"/>
      <c r="AD216" s="590"/>
      <c r="AE216" s="590"/>
      <c r="AF216" s="590"/>
      <c r="AG216" s="566"/>
      <c r="AH216" s="566"/>
      <c r="AI216" s="590"/>
      <c r="AJ216" s="590"/>
      <c r="AK216" s="570"/>
      <c r="AL216" s="552"/>
      <c r="AM216" s="522"/>
      <c r="AN216" s="522"/>
    </row>
    <row r="217" spans="1:41" ht="15.6" customHeight="1" x14ac:dyDescent="0.25">
      <c r="A217" s="522"/>
      <c r="B217" s="561"/>
      <c r="C217" s="561"/>
      <c r="D217" s="593" t="s">
        <v>281</v>
      </c>
      <c r="E217" s="593"/>
      <c r="F217" s="593"/>
      <c r="G217" s="593"/>
      <c r="H217" s="593"/>
      <c r="I217" s="593"/>
      <c r="J217" s="593"/>
      <c r="K217" s="593"/>
      <c r="L217" s="593"/>
      <c r="M217" s="593"/>
      <c r="N217" s="593"/>
      <c r="O217" s="593"/>
      <c r="P217" s="593"/>
      <c r="Q217" s="593"/>
      <c r="R217" s="593"/>
      <c r="S217" s="593"/>
      <c r="T217" s="593"/>
      <c r="U217" s="593"/>
      <c r="V217" s="593"/>
      <c r="W217" s="593"/>
      <c r="X217" s="516"/>
      <c r="Y217" s="516"/>
      <c r="Z217" s="516"/>
      <c r="AA217" s="516"/>
      <c r="AB217" s="515"/>
      <c r="AC217" s="515"/>
      <c r="AD217" s="590"/>
      <c r="AE217" s="590"/>
      <c r="AF217" s="590"/>
      <c r="AG217" s="566"/>
      <c r="AH217" s="566"/>
      <c r="AI217" s="590"/>
      <c r="AJ217" s="590"/>
      <c r="AK217" s="570"/>
      <c r="AL217" s="552"/>
      <c r="AM217" s="522"/>
      <c r="AN217" s="522"/>
    </row>
    <row r="218" spans="1:41" ht="15.6" customHeight="1" x14ac:dyDescent="0.25">
      <c r="A218" s="522"/>
      <c r="B218" s="589" t="s">
        <v>282</v>
      </c>
      <c r="C218" s="589"/>
      <c r="D218" s="589"/>
      <c r="E218" s="589"/>
      <c r="F218" s="589"/>
      <c r="G218" s="589"/>
      <c r="H218" s="589"/>
      <c r="I218" s="589"/>
      <c r="J218" s="589"/>
      <c r="K218" s="589"/>
      <c r="L218" s="589"/>
      <c r="M218" s="589"/>
      <c r="N218" s="589"/>
      <c r="O218" s="589"/>
      <c r="P218" s="589"/>
      <c r="Q218" s="589"/>
      <c r="R218" s="589"/>
      <c r="S218" s="589"/>
      <c r="T218" s="589"/>
      <c r="U218" s="589"/>
      <c r="V218" s="589"/>
      <c r="W218" s="589"/>
      <c r="X218" s="589"/>
      <c r="Y218" s="589"/>
      <c r="Z218" s="589"/>
      <c r="AA218" s="589"/>
      <c r="AB218" s="589"/>
      <c r="AC218" s="589"/>
      <c r="AD218" s="589"/>
      <c r="AE218" s="589"/>
      <c r="AF218" s="589"/>
      <c r="AG218" s="589"/>
      <c r="AH218" s="589"/>
      <c r="AI218" s="589"/>
      <c r="AJ218" s="589"/>
      <c r="AK218" s="589"/>
      <c r="AL218" s="552" t="s">
        <v>195</v>
      </c>
      <c r="AM218" s="522"/>
      <c r="AN218" s="522"/>
    </row>
    <row r="219" spans="1:41" ht="15.6" customHeight="1" x14ac:dyDescent="0.25">
      <c r="A219" s="522"/>
      <c r="B219" s="560" t="s">
        <v>279</v>
      </c>
      <c r="C219" s="561" t="s">
        <v>279</v>
      </c>
      <c r="D219" s="560">
        <v>656410011</v>
      </c>
      <c r="E219" s="562">
        <v>314</v>
      </c>
      <c r="F219" s="563">
        <v>656</v>
      </c>
      <c r="G219" s="564" t="s">
        <v>359</v>
      </c>
      <c r="H219" s="565" t="s">
        <v>219</v>
      </c>
      <c r="I219" s="565">
        <v>340</v>
      </c>
      <c r="J219" s="531" t="s">
        <v>261</v>
      </c>
      <c r="K219" s="566"/>
      <c r="L219" s="567"/>
      <c r="M219" s="567"/>
      <c r="N219" s="567"/>
      <c r="O219" s="567"/>
      <c r="P219" s="567"/>
      <c r="Q219" s="568">
        <f>R219+S219+T219+U219</f>
        <v>3643</v>
      </c>
      <c r="R219" s="569"/>
      <c r="S219" s="566"/>
      <c r="T219" s="566">
        <v>3643</v>
      </c>
      <c r="U219" s="566"/>
      <c r="V219" s="569">
        <f>5271.43-1.43</f>
        <v>5270</v>
      </c>
      <c r="W219" s="566" t="s">
        <v>283</v>
      </c>
      <c r="X219" s="575"/>
      <c r="Y219" s="575"/>
      <c r="Z219" s="575"/>
      <c r="AA219" s="575"/>
      <c r="AB219" s="569">
        <f>5271.43-1.43</f>
        <v>5270</v>
      </c>
      <c r="AC219" s="566">
        <v>5280</v>
      </c>
      <c r="AD219" s="566"/>
      <c r="AE219" s="566"/>
      <c r="AF219" s="566"/>
      <c r="AG219" s="566">
        <v>4000</v>
      </c>
      <c r="AH219" s="566">
        <v>0</v>
      </c>
      <c r="AI219" s="566"/>
      <c r="AJ219" s="569"/>
      <c r="AK219" s="570">
        <v>1</v>
      </c>
      <c r="AL219" s="552" t="s">
        <v>195</v>
      </c>
      <c r="AM219" s="522"/>
      <c r="AN219" s="522"/>
    </row>
    <row r="220" spans="1:41" ht="15.6" customHeight="1" x14ac:dyDescent="0.25">
      <c r="A220" s="522"/>
      <c r="B220" s="559" t="s">
        <v>212</v>
      </c>
      <c r="C220" s="559"/>
      <c r="D220" s="559"/>
      <c r="E220" s="559"/>
      <c r="F220" s="559"/>
      <c r="G220" s="559"/>
      <c r="H220" s="559"/>
      <c r="I220" s="559"/>
      <c r="J220" s="559"/>
      <c r="K220" s="559"/>
      <c r="L220" s="556"/>
      <c r="M220" s="556"/>
      <c r="N220" s="556"/>
      <c r="O220" s="556"/>
      <c r="P220" s="556"/>
      <c r="Q220" s="571">
        <f>R220+S220+T220+U220</f>
        <v>3643</v>
      </c>
      <c r="R220" s="591"/>
      <c r="S220" s="566"/>
      <c r="T220" s="591">
        <f>T219</f>
        <v>3643</v>
      </c>
      <c r="U220" s="566"/>
      <c r="V220" s="591">
        <f>V219</f>
        <v>5270</v>
      </c>
      <c r="W220" s="590"/>
      <c r="X220" s="592">
        <f>X219</f>
        <v>0</v>
      </c>
      <c r="Y220" s="592"/>
      <c r="Z220" s="592"/>
      <c r="AA220" s="592"/>
      <c r="AB220" s="591">
        <f>AB219</f>
        <v>5270</v>
      </c>
      <c r="AC220" s="591">
        <f>AC219</f>
        <v>5280</v>
      </c>
      <c r="AD220" s="573"/>
      <c r="AE220" s="573"/>
      <c r="AF220" s="573"/>
      <c r="AG220" s="566">
        <v>4000</v>
      </c>
      <c r="AH220" s="566">
        <v>0</v>
      </c>
      <c r="AI220" s="573"/>
      <c r="AJ220" s="573"/>
      <c r="AK220" s="570">
        <v>1</v>
      </c>
      <c r="AL220" s="552" t="s">
        <v>195</v>
      </c>
      <c r="AM220" s="522"/>
      <c r="AN220" s="522"/>
      <c r="AO220" s="513"/>
    </row>
    <row r="221" spans="1:41" ht="15.6" customHeight="1" x14ac:dyDescent="0.25">
      <c r="A221" s="522"/>
      <c r="B221" s="589" t="s">
        <v>284</v>
      </c>
      <c r="C221" s="589"/>
      <c r="D221" s="589"/>
      <c r="E221" s="589"/>
      <c r="F221" s="589"/>
      <c r="G221" s="589"/>
      <c r="H221" s="589"/>
      <c r="I221" s="589"/>
      <c r="J221" s="589"/>
      <c r="K221" s="589"/>
      <c r="L221" s="589"/>
      <c r="M221" s="589"/>
      <c r="N221" s="589"/>
      <c r="O221" s="589"/>
      <c r="P221" s="589"/>
      <c r="Q221" s="589"/>
      <c r="R221" s="589"/>
      <c r="S221" s="589"/>
      <c r="T221" s="589"/>
      <c r="U221" s="589"/>
      <c r="V221" s="589"/>
      <c r="W221" s="589"/>
      <c r="X221" s="589"/>
      <c r="Y221" s="589"/>
      <c r="Z221" s="589"/>
      <c r="AA221" s="589"/>
      <c r="AB221" s="589"/>
      <c r="AC221" s="589"/>
      <c r="AD221" s="589"/>
      <c r="AE221" s="589"/>
      <c r="AF221" s="589"/>
      <c r="AG221" s="589"/>
      <c r="AH221" s="589"/>
      <c r="AI221" s="589"/>
      <c r="AJ221" s="589"/>
      <c r="AK221" s="589"/>
      <c r="AL221" s="552" t="s">
        <v>195</v>
      </c>
      <c r="AM221" s="522"/>
      <c r="AN221" s="522"/>
    </row>
    <row r="222" spans="1:41" ht="15.6" customHeight="1" x14ac:dyDescent="0.25">
      <c r="A222" s="522"/>
      <c r="B222" s="560" t="s">
        <v>279</v>
      </c>
      <c r="C222" s="561" t="s">
        <v>279</v>
      </c>
      <c r="D222" s="560">
        <v>656410012</v>
      </c>
      <c r="E222" s="562">
        <v>314</v>
      </c>
      <c r="F222" s="563">
        <v>656</v>
      </c>
      <c r="G222" s="628" t="s">
        <v>360</v>
      </c>
      <c r="H222" s="565" t="s">
        <v>219</v>
      </c>
      <c r="I222" s="565">
        <v>340</v>
      </c>
      <c r="J222" s="531" t="s">
        <v>261</v>
      </c>
      <c r="K222" s="566"/>
      <c r="L222" s="567"/>
      <c r="M222" s="567"/>
      <c r="N222" s="567"/>
      <c r="O222" s="567"/>
      <c r="P222" s="567"/>
      <c r="Q222" s="568">
        <f>R222+S222+T222+U222</f>
        <v>8500</v>
      </c>
      <c r="R222" s="569"/>
      <c r="S222" s="566"/>
      <c r="T222" s="569">
        <v>8500</v>
      </c>
      <c r="U222" s="566"/>
      <c r="V222" s="569">
        <v>12300</v>
      </c>
      <c r="W222" s="566" t="s">
        <v>283</v>
      </c>
      <c r="X222" s="575"/>
      <c r="Y222" s="575"/>
      <c r="Z222" s="575"/>
      <c r="AA222" s="575"/>
      <c r="AB222" s="566">
        <v>12300</v>
      </c>
      <c r="AC222" s="617">
        <v>12320</v>
      </c>
      <c r="AD222" s="566"/>
      <c r="AE222" s="566"/>
      <c r="AF222" s="566"/>
      <c r="AG222" s="566">
        <v>4000</v>
      </c>
      <c r="AH222" s="566">
        <v>0</v>
      </c>
      <c r="AI222" s="566"/>
      <c r="AJ222" s="569"/>
      <c r="AK222" s="570">
        <v>1</v>
      </c>
      <c r="AL222" s="552" t="s">
        <v>195</v>
      </c>
      <c r="AM222" s="522"/>
      <c r="AN222" s="522"/>
    </row>
    <row r="223" spans="1:41" ht="15.6" customHeight="1" x14ac:dyDescent="0.25">
      <c r="A223" s="522"/>
      <c r="B223" s="559" t="s">
        <v>212</v>
      </c>
      <c r="C223" s="559"/>
      <c r="D223" s="559"/>
      <c r="E223" s="559"/>
      <c r="F223" s="559"/>
      <c r="G223" s="559"/>
      <c r="H223" s="559"/>
      <c r="I223" s="559"/>
      <c r="J223" s="559"/>
      <c r="K223" s="559"/>
      <c r="L223" s="556"/>
      <c r="M223" s="556"/>
      <c r="N223" s="556"/>
      <c r="O223" s="556"/>
      <c r="P223" s="556"/>
      <c r="Q223" s="571">
        <f>R223+S223+T223+U223</f>
        <v>8500</v>
      </c>
      <c r="R223" s="591"/>
      <c r="S223" s="566"/>
      <c r="T223" s="591">
        <f>T222</f>
        <v>8500</v>
      </c>
      <c r="U223" s="566"/>
      <c r="V223" s="591">
        <f>V222</f>
        <v>12300</v>
      </c>
      <c r="W223" s="590">
        <f>V220+V223</f>
        <v>17570</v>
      </c>
      <c r="X223" s="592"/>
      <c r="Y223" s="592"/>
      <c r="Z223" s="592"/>
      <c r="AA223" s="592"/>
      <c r="AB223" s="591">
        <f>AB222</f>
        <v>12300</v>
      </c>
      <c r="AC223" s="591">
        <f>AC222</f>
        <v>12320</v>
      </c>
      <c r="AD223" s="573"/>
      <c r="AE223" s="573"/>
      <c r="AF223" s="573"/>
      <c r="AG223" s="566">
        <v>4000</v>
      </c>
      <c r="AH223" s="566">
        <v>0</v>
      </c>
      <c r="AI223" s="573"/>
      <c r="AJ223" s="573"/>
      <c r="AK223" s="570">
        <v>1</v>
      </c>
      <c r="AL223" s="552" t="s">
        <v>195</v>
      </c>
      <c r="AM223" s="522"/>
      <c r="AN223" s="522"/>
    </row>
    <row r="224" spans="1:41" ht="15.6" customHeight="1" x14ac:dyDescent="0.25">
      <c r="A224" s="522"/>
      <c r="B224" s="561"/>
      <c r="C224" s="561"/>
      <c r="D224" s="589" t="s">
        <v>285</v>
      </c>
      <c r="E224" s="589"/>
      <c r="F224" s="589"/>
      <c r="G224" s="589"/>
      <c r="H224" s="589"/>
      <c r="I224" s="589"/>
      <c r="J224" s="589"/>
      <c r="K224" s="589"/>
      <c r="L224" s="589"/>
      <c r="M224" s="589"/>
      <c r="N224" s="589"/>
      <c r="O224" s="589"/>
      <c r="P224" s="589"/>
      <c r="Q224" s="589"/>
      <c r="R224" s="589"/>
      <c r="S224" s="589"/>
      <c r="T224" s="589"/>
      <c r="U224" s="589"/>
      <c r="V224" s="589"/>
      <c r="W224" s="589"/>
      <c r="X224" s="589"/>
      <c r="Y224" s="589"/>
      <c r="Z224" s="589"/>
      <c r="AA224" s="589"/>
      <c r="AB224" s="589"/>
      <c r="AC224" s="589"/>
      <c r="AD224" s="590"/>
      <c r="AE224" s="590"/>
      <c r="AF224" s="590"/>
      <c r="AG224" s="566"/>
      <c r="AH224" s="566"/>
      <c r="AI224" s="590"/>
      <c r="AJ224" s="590"/>
      <c r="AK224" s="570"/>
      <c r="AL224" s="552"/>
      <c r="AM224" s="522"/>
      <c r="AN224" s="522"/>
    </row>
    <row r="225" spans="1:40" ht="15.6" customHeight="1" x14ac:dyDescent="0.25">
      <c r="A225" s="522"/>
      <c r="B225" s="589" t="s">
        <v>286</v>
      </c>
      <c r="C225" s="589"/>
      <c r="D225" s="589"/>
      <c r="E225" s="589"/>
      <c r="F225" s="589"/>
      <c r="G225" s="589"/>
      <c r="H225" s="589"/>
      <c r="I225" s="589"/>
      <c r="J225" s="589"/>
      <c r="K225" s="589"/>
      <c r="L225" s="589"/>
      <c r="M225" s="589"/>
      <c r="N225" s="589"/>
      <c r="O225" s="589"/>
      <c r="P225" s="589"/>
      <c r="Q225" s="589"/>
      <c r="R225" s="589"/>
      <c r="S225" s="589"/>
      <c r="T225" s="589"/>
      <c r="U225" s="589"/>
      <c r="V225" s="589"/>
      <c r="W225" s="589"/>
      <c r="X225" s="589"/>
      <c r="Y225" s="589"/>
      <c r="Z225" s="589"/>
      <c r="AA225" s="589"/>
      <c r="AB225" s="589"/>
      <c r="AC225" s="589"/>
      <c r="AD225" s="589"/>
      <c r="AE225" s="589"/>
      <c r="AF225" s="589"/>
      <c r="AG225" s="589"/>
      <c r="AH225" s="589"/>
      <c r="AI225" s="589"/>
      <c r="AJ225" s="589"/>
      <c r="AK225" s="589"/>
      <c r="AL225" s="552" t="s">
        <v>195</v>
      </c>
      <c r="AM225" s="522"/>
      <c r="AN225" s="522"/>
    </row>
    <row r="226" spans="1:40" ht="15.6" customHeight="1" x14ac:dyDescent="0.25">
      <c r="A226" s="522"/>
      <c r="B226" s="560" t="s">
        <v>279</v>
      </c>
      <c r="C226" s="561" t="s">
        <v>279</v>
      </c>
      <c r="D226" s="560">
        <v>656570021</v>
      </c>
      <c r="E226" s="562">
        <v>314</v>
      </c>
      <c r="F226" s="563">
        <v>656</v>
      </c>
      <c r="G226" s="564" t="s">
        <v>287</v>
      </c>
      <c r="H226" s="565" t="s">
        <v>226</v>
      </c>
      <c r="I226" s="565">
        <v>251</v>
      </c>
      <c r="J226" s="531">
        <v>0</v>
      </c>
      <c r="K226" s="566"/>
      <c r="L226" s="567"/>
      <c r="M226" s="567"/>
      <c r="N226" s="567"/>
      <c r="O226" s="567"/>
      <c r="P226" s="567"/>
      <c r="Q226" s="569">
        <v>597000</v>
      </c>
      <c r="R226" s="569">
        <v>597000</v>
      </c>
      <c r="S226" s="566"/>
      <c r="T226" s="566"/>
      <c r="U226" s="566"/>
      <c r="V226" s="569"/>
      <c r="W226" s="566"/>
      <c r="X226" s="575"/>
      <c r="Y226" s="575"/>
      <c r="Z226" s="575"/>
      <c r="AA226" s="575"/>
      <c r="AB226" s="566"/>
      <c r="AC226" s="617"/>
      <c r="AD226" s="566"/>
      <c r="AE226" s="566"/>
      <c r="AF226" s="566"/>
      <c r="AG226" s="566">
        <v>4000</v>
      </c>
      <c r="AH226" s="566">
        <v>0</v>
      </c>
      <c r="AI226" s="566"/>
      <c r="AJ226" s="569"/>
      <c r="AK226" s="570">
        <v>1</v>
      </c>
      <c r="AL226" s="552" t="s">
        <v>195</v>
      </c>
      <c r="AM226" s="522"/>
      <c r="AN226" s="522"/>
    </row>
    <row r="227" spans="1:40" ht="15.6" customHeight="1" x14ac:dyDescent="0.25">
      <c r="A227" s="522"/>
      <c r="B227" s="560" t="s">
        <v>279</v>
      </c>
      <c r="C227" s="561" t="s">
        <v>279</v>
      </c>
      <c r="D227" s="560">
        <v>656570022</v>
      </c>
      <c r="E227" s="562">
        <v>314</v>
      </c>
      <c r="F227" s="563">
        <v>656</v>
      </c>
      <c r="G227" s="564" t="s">
        <v>288</v>
      </c>
      <c r="H227" s="565" t="s">
        <v>226</v>
      </c>
      <c r="I227" s="565">
        <v>251</v>
      </c>
      <c r="J227" s="531">
        <v>0</v>
      </c>
      <c r="K227" s="566"/>
      <c r="L227" s="567"/>
      <c r="M227" s="567"/>
      <c r="N227" s="567"/>
      <c r="O227" s="567"/>
      <c r="P227" s="567"/>
      <c r="Q227" s="569">
        <v>10965003</v>
      </c>
      <c r="R227" s="569">
        <v>10965003</v>
      </c>
      <c r="S227" s="566"/>
      <c r="T227" s="566"/>
      <c r="U227" s="566"/>
      <c r="V227" s="569"/>
      <c r="W227" s="566"/>
      <c r="X227" s="575"/>
      <c r="Y227" s="575"/>
      <c r="Z227" s="575"/>
      <c r="AA227" s="575"/>
      <c r="AB227" s="566"/>
      <c r="AC227" s="617"/>
      <c r="AD227" s="566"/>
      <c r="AE227" s="566"/>
      <c r="AF227" s="566"/>
      <c r="AG227" s="566">
        <v>4000</v>
      </c>
      <c r="AH227" s="566">
        <v>0</v>
      </c>
      <c r="AI227" s="566"/>
      <c r="AJ227" s="569"/>
      <c r="AK227" s="570">
        <v>1</v>
      </c>
      <c r="AL227" s="552" t="s">
        <v>195</v>
      </c>
      <c r="AM227" s="522"/>
      <c r="AN227" s="522"/>
    </row>
    <row r="228" spans="1:40" ht="15.6" customHeight="1" x14ac:dyDescent="0.25">
      <c r="A228" s="522"/>
      <c r="B228" s="559" t="s">
        <v>212</v>
      </c>
      <c r="C228" s="559"/>
      <c r="D228" s="559"/>
      <c r="E228" s="559"/>
      <c r="F228" s="559"/>
      <c r="G228" s="559"/>
      <c r="H228" s="559"/>
      <c r="I228" s="559"/>
      <c r="J228" s="559"/>
      <c r="K228" s="559"/>
      <c r="L228" s="556"/>
      <c r="M228" s="556"/>
      <c r="N228" s="556"/>
      <c r="O228" s="556"/>
      <c r="P228" s="556"/>
      <c r="Q228" s="571">
        <f>R228+S228+T228+U228</f>
        <v>11562003</v>
      </c>
      <c r="R228" s="591">
        <f>R226+R227</f>
        <v>11562003</v>
      </c>
      <c r="S228" s="566"/>
      <c r="T228" s="590"/>
      <c r="U228" s="566"/>
      <c r="V228" s="591">
        <f>V226+V227</f>
        <v>0</v>
      </c>
      <c r="W228" s="590"/>
      <c r="X228" s="592"/>
      <c r="Y228" s="592"/>
      <c r="Z228" s="592"/>
      <c r="AA228" s="592"/>
      <c r="AB228" s="590"/>
      <c r="AC228" s="618"/>
      <c r="AD228" s="573"/>
      <c r="AE228" s="573"/>
      <c r="AF228" s="573"/>
      <c r="AG228" s="566">
        <v>4000</v>
      </c>
      <c r="AH228" s="566">
        <v>0</v>
      </c>
      <c r="AI228" s="573"/>
      <c r="AJ228" s="573"/>
      <c r="AK228" s="570">
        <v>1</v>
      </c>
      <c r="AL228" s="552" t="s">
        <v>195</v>
      </c>
      <c r="AM228" s="522"/>
      <c r="AN228" s="522"/>
    </row>
    <row r="229" spans="1:40" ht="15.6" customHeight="1" x14ac:dyDescent="0.25">
      <c r="A229" s="522"/>
      <c r="B229" s="589" t="s">
        <v>289</v>
      </c>
      <c r="C229" s="589"/>
      <c r="D229" s="589"/>
      <c r="E229" s="589"/>
      <c r="F229" s="589"/>
      <c r="G229" s="589"/>
      <c r="H229" s="589"/>
      <c r="I229" s="589"/>
      <c r="J229" s="589"/>
      <c r="K229" s="589"/>
      <c r="L229" s="589"/>
      <c r="M229" s="589"/>
      <c r="N229" s="589"/>
      <c r="O229" s="589"/>
      <c r="P229" s="589"/>
      <c r="Q229" s="589"/>
      <c r="R229" s="589"/>
      <c r="S229" s="589"/>
      <c r="T229" s="589"/>
      <c r="U229" s="589"/>
      <c r="V229" s="589"/>
      <c r="W229" s="589"/>
      <c r="X229" s="589"/>
      <c r="Y229" s="589"/>
      <c r="Z229" s="589"/>
      <c r="AA229" s="589"/>
      <c r="AB229" s="589"/>
      <c r="AC229" s="589"/>
      <c r="AD229" s="589"/>
      <c r="AE229" s="589"/>
      <c r="AF229" s="589"/>
      <c r="AG229" s="589"/>
      <c r="AH229" s="589"/>
      <c r="AI229" s="589"/>
      <c r="AJ229" s="589"/>
      <c r="AK229" s="589"/>
      <c r="AL229" s="552" t="s">
        <v>195</v>
      </c>
      <c r="AM229" s="522"/>
      <c r="AN229" s="522"/>
    </row>
    <row r="230" spans="1:40" ht="15.6" customHeight="1" x14ac:dyDescent="0.25">
      <c r="A230" s="522"/>
      <c r="B230" s="560" t="s">
        <v>279</v>
      </c>
      <c r="C230" s="561" t="s">
        <v>279</v>
      </c>
      <c r="D230" s="560">
        <v>656030061</v>
      </c>
      <c r="E230" s="562">
        <v>314</v>
      </c>
      <c r="F230" s="563">
        <v>656</v>
      </c>
      <c r="G230" s="564">
        <v>5222501</v>
      </c>
      <c r="H230" s="565" t="s">
        <v>219</v>
      </c>
      <c r="I230" s="565">
        <v>340</v>
      </c>
      <c r="J230" s="531" t="s">
        <v>261</v>
      </c>
      <c r="K230" s="566"/>
      <c r="L230" s="567"/>
      <c r="M230" s="567"/>
      <c r="N230" s="567"/>
      <c r="O230" s="567"/>
      <c r="P230" s="567"/>
      <c r="Q230" s="568"/>
      <c r="R230" s="569"/>
      <c r="S230" s="566"/>
      <c r="T230" s="566"/>
      <c r="U230" s="566"/>
      <c r="V230" s="569">
        <v>0</v>
      </c>
      <c r="W230" s="566"/>
      <c r="X230" s="575"/>
      <c r="Y230" s="575"/>
      <c r="Z230" s="575"/>
      <c r="AA230" s="575"/>
      <c r="AB230" s="566"/>
      <c r="AC230" s="617"/>
      <c r="AD230" s="566"/>
      <c r="AE230" s="566"/>
      <c r="AF230" s="566"/>
      <c r="AG230" s="566">
        <v>4000</v>
      </c>
      <c r="AH230" s="566">
        <v>0</v>
      </c>
      <c r="AI230" s="566"/>
      <c r="AJ230" s="569"/>
      <c r="AK230" s="570">
        <v>1</v>
      </c>
      <c r="AL230" s="552" t="s">
        <v>195</v>
      </c>
      <c r="AM230" s="522"/>
      <c r="AN230" s="522"/>
    </row>
    <row r="231" spans="1:40" ht="15.6" customHeight="1" x14ac:dyDescent="0.25">
      <c r="A231" s="522"/>
      <c r="B231" s="559" t="s">
        <v>212</v>
      </c>
      <c r="C231" s="559"/>
      <c r="D231" s="559"/>
      <c r="E231" s="559"/>
      <c r="F231" s="559"/>
      <c r="G231" s="559"/>
      <c r="H231" s="559"/>
      <c r="I231" s="559"/>
      <c r="J231" s="559"/>
      <c r="K231" s="559"/>
      <c r="L231" s="556"/>
      <c r="M231" s="556"/>
      <c r="N231" s="556"/>
      <c r="O231" s="556"/>
      <c r="P231" s="556"/>
      <c r="Q231" s="568"/>
      <c r="R231" s="591">
        <v>3030.3</v>
      </c>
      <c r="S231" s="566"/>
      <c r="T231" s="590"/>
      <c r="U231" s="566"/>
      <c r="V231" s="591">
        <f>V230</f>
        <v>0</v>
      </c>
      <c r="W231" s="590"/>
      <c r="X231" s="592"/>
      <c r="Y231" s="592"/>
      <c r="Z231" s="592"/>
      <c r="AA231" s="592"/>
      <c r="AB231" s="590"/>
      <c r="AC231" s="618"/>
      <c r="AD231" s="573"/>
      <c r="AE231" s="573"/>
      <c r="AF231" s="573"/>
      <c r="AG231" s="566">
        <v>4000</v>
      </c>
      <c r="AH231" s="566">
        <v>0</v>
      </c>
      <c r="AI231" s="573"/>
      <c r="AJ231" s="573"/>
      <c r="AK231" s="570">
        <v>1</v>
      </c>
      <c r="AL231" s="552" t="s">
        <v>195</v>
      </c>
      <c r="AM231" s="522"/>
      <c r="AN231" s="522"/>
    </row>
    <row r="232" spans="1:40" ht="15.6" customHeight="1" x14ac:dyDescent="0.25">
      <c r="A232" s="522"/>
      <c r="B232" s="559" t="s">
        <v>290</v>
      </c>
      <c r="C232" s="559"/>
      <c r="D232" s="559"/>
      <c r="E232" s="559"/>
      <c r="F232" s="559"/>
      <c r="G232" s="559"/>
      <c r="H232" s="559"/>
      <c r="I232" s="559"/>
      <c r="J232" s="559"/>
      <c r="K232" s="559"/>
      <c r="L232" s="559"/>
      <c r="M232" s="559"/>
      <c r="N232" s="559"/>
      <c r="O232" s="559"/>
      <c r="P232" s="559"/>
      <c r="Q232" s="559"/>
      <c r="R232" s="559"/>
      <c r="S232" s="559"/>
      <c r="T232" s="559"/>
      <c r="U232" s="559"/>
      <c r="V232" s="559"/>
      <c r="W232" s="559"/>
      <c r="X232" s="559"/>
      <c r="Y232" s="559"/>
      <c r="Z232" s="559"/>
      <c r="AA232" s="559"/>
      <c r="AB232" s="559"/>
      <c r="AC232" s="559"/>
      <c r="AD232" s="559"/>
      <c r="AE232" s="559"/>
      <c r="AF232" s="559"/>
      <c r="AG232" s="559"/>
      <c r="AH232" s="559"/>
      <c r="AI232" s="559"/>
      <c r="AJ232" s="559"/>
      <c r="AK232" s="559"/>
      <c r="AL232" s="552" t="s">
        <v>195</v>
      </c>
      <c r="AM232" s="522"/>
      <c r="AN232" s="522"/>
    </row>
    <row r="233" spans="1:40" ht="15.6" customHeight="1" x14ac:dyDescent="0.25">
      <c r="A233" s="522"/>
      <c r="B233" s="560" t="s">
        <v>290</v>
      </c>
      <c r="C233" s="561" t="s">
        <v>290</v>
      </c>
      <c r="D233" s="560">
        <v>656040011</v>
      </c>
      <c r="E233" s="562">
        <v>409</v>
      </c>
      <c r="F233" s="563">
        <v>656</v>
      </c>
      <c r="G233" s="564">
        <v>3150100</v>
      </c>
      <c r="H233" s="565" t="s">
        <v>226</v>
      </c>
      <c r="I233" s="565">
        <v>251</v>
      </c>
      <c r="J233" s="531">
        <v>0</v>
      </c>
      <c r="K233" s="566"/>
      <c r="L233" s="567">
        <v>0</v>
      </c>
      <c r="M233" s="567">
        <v>0</v>
      </c>
      <c r="N233" s="567">
        <v>0</v>
      </c>
      <c r="O233" s="567">
        <v>0</v>
      </c>
      <c r="P233" s="567">
        <v>0</v>
      </c>
      <c r="Q233" s="568"/>
      <c r="R233" s="566"/>
      <c r="S233" s="566"/>
      <c r="T233" s="566"/>
      <c r="U233" s="566"/>
      <c r="V233" s="569"/>
      <c r="W233" s="566"/>
      <c r="X233" s="575"/>
      <c r="Y233" s="575"/>
      <c r="Z233" s="575"/>
      <c r="AA233" s="575"/>
      <c r="AB233" s="566"/>
      <c r="AC233" s="617"/>
      <c r="AD233" s="566"/>
      <c r="AE233" s="566"/>
      <c r="AF233" s="566"/>
      <c r="AG233" s="566">
        <v>0</v>
      </c>
      <c r="AH233" s="566">
        <v>0</v>
      </c>
      <c r="AI233" s="566"/>
      <c r="AJ233" s="569"/>
      <c r="AK233" s="570"/>
      <c r="AL233" s="552" t="s">
        <v>195</v>
      </c>
      <c r="AM233" s="522"/>
      <c r="AN233" s="522"/>
    </row>
    <row r="234" spans="1:40" ht="15.6" customHeight="1" x14ac:dyDescent="0.25">
      <c r="A234" s="522"/>
      <c r="B234" s="559" t="s">
        <v>212</v>
      </c>
      <c r="C234" s="559"/>
      <c r="D234" s="559"/>
      <c r="E234" s="559"/>
      <c r="F234" s="559"/>
      <c r="G234" s="559"/>
      <c r="H234" s="559"/>
      <c r="I234" s="559"/>
      <c r="J234" s="559"/>
      <c r="K234" s="559"/>
      <c r="L234" s="556">
        <v>0</v>
      </c>
      <c r="M234" s="556">
        <v>0</v>
      </c>
      <c r="N234" s="556">
        <v>0</v>
      </c>
      <c r="O234" s="556">
        <v>0</v>
      </c>
      <c r="P234" s="556">
        <v>0</v>
      </c>
      <c r="Q234" s="568"/>
      <c r="R234" s="590"/>
      <c r="S234" s="566"/>
      <c r="T234" s="590"/>
      <c r="U234" s="566"/>
      <c r="V234" s="591"/>
      <c r="W234" s="590"/>
      <c r="X234" s="592"/>
      <c r="Y234" s="592"/>
      <c r="Z234" s="592"/>
      <c r="AA234" s="592"/>
      <c r="AB234" s="590"/>
      <c r="AC234" s="618"/>
      <c r="AD234" s="573"/>
      <c r="AE234" s="573"/>
      <c r="AF234" s="573"/>
      <c r="AG234" s="566">
        <v>0</v>
      </c>
      <c r="AH234" s="566">
        <v>0</v>
      </c>
      <c r="AI234" s="573"/>
      <c r="AJ234" s="573"/>
      <c r="AK234" s="570"/>
      <c r="AL234" s="552" t="s">
        <v>195</v>
      </c>
      <c r="AM234" s="522"/>
      <c r="AN234" s="522"/>
    </row>
    <row r="235" spans="1:40" ht="15.6" customHeight="1" x14ac:dyDescent="0.25">
      <c r="A235" s="522"/>
      <c r="B235" s="561"/>
      <c r="C235" s="561"/>
      <c r="D235" s="589" t="s">
        <v>70</v>
      </c>
      <c r="E235" s="589"/>
      <c r="F235" s="589"/>
      <c r="G235" s="589"/>
      <c r="H235" s="589"/>
      <c r="I235" s="589"/>
      <c r="J235" s="589"/>
      <c r="K235" s="589"/>
      <c r="L235" s="589"/>
      <c r="M235" s="589"/>
      <c r="N235" s="589"/>
      <c r="O235" s="589"/>
      <c r="P235" s="589"/>
      <c r="Q235" s="589"/>
      <c r="R235" s="589"/>
      <c r="S235" s="589"/>
      <c r="T235" s="589"/>
      <c r="U235" s="589"/>
      <c r="V235" s="589"/>
      <c r="W235" s="589"/>
      <c r="X235" s="589"/>
      <c r="Y235" s="589"/>
      <c r="Z235" s="589"/>
      <c r="AA235" s="589"/>
      <c r="AB235" s="589"/>
      <c r="AC235" s="589"/>
      <c r="AD235" s="590"/>
      <c r="AE235" s="590"/>
      <c r="AF235" s="590"/>
      <c r="AG235" s="566"/>
      <c r="AH235" s="566"/>
      <c r="AI235" s="590"/>
      <c r="AJ235" s="590"/>
      <c r="AK235" s="570"/>
      <c r="AL235" s="552"/>
      <c r="AM235" s="522"/>
      <c r="AN235" s="522"/>
    </row>
    <row r="236" spans="1:40" ht="15.6" customHeight="1" x14ac:dyDescent="0.25">
      <c r="A236" s="522"/>
      <c r="B236" s="561"/>
      <c r="C236" s="561"/>
      <c r="D236" s="593" t="s">
        <v>291</v>
      </c>
      <c r="E236" s="593"/>
      <c r="F236" s="593"/>
      <c r="G236" s="593"/>
      <c r="H236" s="593"/>
      <c r="I236" s="593"/>
      <c r="J236" s="593"/>
      <c r="K236" s="593"/>
      <c r="L236" s="593"/>
      <c r="M236" s="593"/>
      <c r="N236" s="593"/>
      <c r="O236" s="593"/>
      <c r="P236" s="593"/>
      <c r="Q236" s="593"/>
      <c r="R236" s="593"/>
      <c r="S236" s="593"/>
      <c r="T236" s="593"/>
      <c r="U236" s="593"/>
      <c r="V236" s="593"/>
      <c r="W236" s="593"/>
      <c r="X236" s="516"/>
      <c r="Y236" s="516"/>
      <c r="Z236" s="516"/>
      <c r="AA236" s="516"/>
      <c r="AB236" s="515"/>
      <c r="AC236" s="515"/>
      <c r="AD236" s="590"/>
      <c r="AE236" s="590"/>
      <c r="AF236" s="590"/>
      <c r="AG236" s="566"/>
      <c r="AH236" s="566"/>
      <c r="AI236" s="590"/>
      <c r="AJ236" s="590"/>
      <c r="AK236" s="570"/>
      <c r="AL236" s="552"/>
      <c r="AM236" s="522"/>
      <c r="AN236" s="522"/>
    </row>
    <row r="237" spans="1:40" ht="15.6" customHeight="1" x14ac:dyDescent="0.25">
      <c r="A237" s="522"/>
      <c r="B237" s="559" t="s">
        <v>292</v>
      </c>
      <c r="C237" s="559"/>
      <c r="D237" s="559"/>
      <c r="E237" s="559"/>
      <c r="F237" s="559"/>
      <c r="G237" s="559"/>
      <c r="H237" s="559"/>
      <c r="I237" s="559"/>
      <c r="J237" s="559"/>
      <c r="K237" s="559"/>
      <c r="L237" s="559"/>
      <c r="M237" s="559"/>
      <c r="N237" s="559"/>
      <c r="O237" s="559"/>
      <c r="P237" s="559"/>
      <c r="Q237" s="559"/>
      <c r="R237" s="559"/>
      <c r="S237" s="559"/>
      <c r="T237" s="559"/>
      <c r="U237" s="559"/>
      <c r="V237" s="559"/>
      <c r="W237" s="559"/>
      <c r="X237" s="559"/>
      <c r="Y237" s="559"/>
      <c r="Z237" s="559"/>
      <c r="AA237" s="559"/>
      <c r="AB237" s="559"/>
      <c r="AC237" s="559"/>
      <c r="AD237" s="559"/>
      <c r="AE237" s="559"/>
      <c r="AF237" s="559"/>
      <c r="AG237" s="559"/>
      <c r="AH237" s="559"/>
      <c r="AI237" s="559"/>
      <c r="AJ237" s="559"/>
      <c r="AK237" s="559"/>
      <c r="AL237" s="552" t="s">
        <v>195</v>
      </c>
      <c r="AM237" s="522"/>
      <c r="AN237" s="522"/>
    </row>
    <row r="238" spans="1:40" ht="15.6" customHeight="1" x14ac:dyDescent="0.25">
      <c r="A238" s="522"/>
      <c r="B238" s="560" t="s">
        <v>293</v>
      </c>
      <c r="C238" s="561" t="s">
        <v>293</v>
      </c>
      <c r="D238" s="560">
        <v>656400011</v>
      </c>
      <c r="E238" s="562">
        <v>409</v>
      </c>
      <c r="F238" s="563">
        <v>656</v>
      </c>
      <c r="G238" s="564">
        <v>4000199990</v>
      </c>
      <c r="H238" s="565" t="s">
        <v>219</v>
      </c>
      <c r="I238" s="565">
        <v>225</v>
      </c>
      <c r="J238" s="531" t="s">
        <v>385</v>
      </c>
      <c r="K238" s="566"/>
      <c r="L238" s="567">
        <v>484000</v>
      </c>
      <c r="M238" s="567">
        <v>663000</v>
      </c>
      <c r="N238" s="567">
        <v>800000</v>
      </c>
      <c r="O238" s="567">
        <v>522000</v>
      </c>
      <c r="P238" s="567">
        <v>2469000</v>
      </c>
      <c r="Q238" s="568">
        <f>R238+S238+T238+U238</f>
        <v>993100</v>
      </c>
      <c r="R238" s="566">
        <v>248275</v>
      </c>
      <c r="S238" s="566">
        <v>248275</v>
      </c>
      <c r="T238" s="566">
        <v>248275</v>
      </c>
      <c r="U238" s="566">
        <v>248275</v>
      </c>
      <c r="V238" s="569"/>
      <c r="W238" s="566" t="s">
        <v>294</v>
      </c>
      <c r="X238" s="575"/>
      <c r="Y238" s="575"/>
      <c r="Z238" s="575"/>
      <c r="AA238" s="575"/>
      <c r="AB238" s="569"/>
      <c r="AC238" s="569"/>
      <c r="AD238" s="566"/>
      <c r="AE238" s="566"/>
      <c r="AF238" s="566"/>
      <c r="AG238" s="566">
        <v>1073842.07</v>
      </c>
      <c r="AH238" s="566">
        <v>0</v>
      </c>
      <c r="AI238" s="566"/>
      <c r="AJ238" s="569"/>
      <c r="AK238" s="570">
        <v>0.43492995949777241</v>
      </c>
      <c r="AL238" s="552" t="s">
        <v>195</v>
      </c>
      <c r="AM238" s="522"/>
      <c r="AN238" s="522"/>
    </row>
    <row r="239" spans="1:40" ht="15.6" customHeight="1" x14ac:dyDescent="0.25">
      <c r="A239" s="522"/>
      <c r="B239" s="560" t="s">
        <v>293</v>
      </c>
      <c r="C239" s="561" t="s">
        <v>293</v>
      </c>
      <c r="D239" s="560">
        <v>656400011</v>
      </c>
      <c r="E239" s="562">
        <v>409</v>
      </c>
      <c r="F239" s="563">
        <v>656</v>
      </c>
      <c r="G239" s="564">
        <v>4000199990</v>
      </c>
      <c r="H239" s="565" t="s">
        <v>219</v>
      </c>
      <c r="I239" s="565">
        <v>225</v>
      </c>
      <c r="J239" s="531" t="s">
        <v>384</v>
      </c>
      <c r="K239" s="566"/>
      <c r="L239" s="567">
        <v>484000</v>
      </c>
      <c r="M239" s="567">
        <v>663000</v>
      </c>
      <c r="N239" s="567">
        <v>800000</v>
      </c>
      <c r="O239" s="567"/>
      <c r="P239" s="567"/>
      <c r="Q239" s="568">
        <f>R239+S239+T239+U239</f>
        <v>1617900</v>
      </c>
      <c r="R239" s="566">
        <v>404475</v>
      </c>
      <c r="S239" s="566">
        <v>404475</v>
      </c>
      <c r="T239" s="566">
        <v>404475</v>
      </c>
      <c r="U239" s="566">
        <v>404475</v>
      </c>
      <c r="V239" s="569">
        <v>4712270.2</v>
      </c>
      <c r="W239" s="566" t="s">
        <v>295</v>
      </c>
      <c r="X239" s="575"/>
      <c r="Y239" s="575"/>
      <c r="Z239" s="575"/>
      <c r="AA239" s="575"/>
      <c r="AB239" s="569">
        <v>4933296.0999999996</v>
      </c>
      <c r="AC239" s="569">
        <v>5180000</v>
      </c>
      <c r="AD239" s="566"/>
      <c r="AE239" s="566"/>
      <c r="AF239" s="566"/>
      <c r="AG239" s="566">
        <v>1073842.07</v>
      </c>
      <c r="AH239" s="566">
        <v>0</v>
      </c>
      <c r="AI239" s="566"/>
      <c r="AJ239" s="569"/>
      <c r="AK239" s="570">
        <v>0.43492995949777241</v>
      </c>
      <c r="AL239" s="552" t="s">
        <v>195</v>
      </c>
      <c r="AM239" s="522"/>
      <c r="AN239" s="522"/>
    </row>
    <row r="240" spans="1:40" ht="15.6" customHeight="1" x14ac:dyDescent="0.25">
      <c r="A240" s="522"/>
      <c r="B240" s="559" t="s">
        <v>212</v>
      </c>
      <c r="C240" s="559"/>
      <c r="D240" s="559"/>
      <c r="E240" s="559"/>
      <c r="F240" s="559"/>
      <c r="G240" s="559"/>
      <c r="H240" s="559"/>
      <c r="I240" s="559"/>
      <c r="J240" s="559"/>
      <c r="K240" s="559"/>
      <c r="L240" s="556">
        <v>484000</v>
      </c>
      <c r="M240" s="556">
        <v>663000</v>
      </c>
      <c r="N240" s="556">
        <v>800000</v>
      </c>
      <c r="O240" s="556">
        <v>522000</v>
      </c>
      <c r="P240" s="556">
        <v>2469000</v>
      </c>
      <c r="Q240" s="571">
        <f>R240+S240+T240+U240</f>
        <v>2611000</v>
      </c>
      <c r="R240" s="591">
        <f>R238+R239</f>
        <v>652750</v>
      </c>
      <c r="S240" s="591">
        <f>S238+S239</f>
        <v>652750</v>
      </c>
      <c r="T240" s="591">
        <f>T238+T239</f>
        <v>652750</v>
      </c>
      <c r="U240" s="591">
        <f>U238+U239</f>
        <v>652750</v>
      </c>
      <c r="V240" s="591">
        <f>V239</f>
        <v>4712270.2</v>
      </c>
      <c r="W240" s="590"/>
      <c r="X240" s="592"/>
      <c r="Y240" s="592"/>
      <c r="Z240" s="592"/>
      <c r="AA240" s="592"/>
      <c r="AB240" s="591">
        <f>AB239</f>
        <v>4933296.0999999996</v>
      </c>
      <c r="AC240" s="591">
        <f>AC239</f>
        <v>5180000</v>
      </c>
      <c r="AD240" s="573"/>
      <c r="AE240" s="573"/>
      <c r="AF240" s="573"/>
      <c r="AG240" s="566">
        <v>1073842.07</v>
      </c>
      <c r="AH240" s="566">
        <v>0</v>
      </c>
      <c r="AI240" s="573"/>
      <c r="AJ240" s="573"/>
      <c r="AK240" s="570">
        <v>0.43492995949777241</v>
      </c>
      <c r="AL240" s="552" t="s">
        <v>195</v>
      </c>
      <c r="AM240" s="522"/>
      <c r="AN240" s="522"/>
    </row>
    <row r="241" spans="1:40" ht="15.6" customHeight="1" x14ac:dyDescent="0.25">
      <c r="A241" s="522"/>
      <c r="B241" s="559" t="s">
        <v>296</v>
      </c>
      <c r="C241" s="559"/>
      <c r="D241" s="559"/>
      <c r="E241" s="559"/>
      <c r="F241" s="559"/>
      <c r="G241" s="559"/>
      <c r="H241" s="559"/>
      <c r="I241" s="559"/>
      <c r="J241" s="559"/>
      <c r="K241" s="559"/>
      <c r="L241" s="559"/>
      <c r="M241" s="559"/>
      <c r="N241" s="559"/>
      <c r="O241" s="559"/>
      <c r="P241" s="559"/>
      <c r="Q241" s="559"/>
      <c r="R241" s="559"/>
      <c r="S241" s="559"/>
      <c r="T241" s="559"/>
      <c r="U241" s="559"/>
      <c r="V241" s="559"/>
      <c r="W241" s="559"/>
      <c r="X241" s="559"/>
      <c r="Y241" s="559"/>
      <c r="Z241" s="559"/>
      <c r="AA241" s="559"/>
      <c r="AB241" s="559"/>
      <c r="AC241" s="559"/>
      <c r="AD241" s="559"/>
      <c r="AE241" s="559"/>
      <c r="AF241" s="559"/>
      <c r="AG241" s="559"/>
      <c r="AH241" s="559"/>
      <c r="AI241" s="559"/>
      <c r="AJ241" s="559"/>
      <c r="AK241" s="559"/>
      <c r="AL241" s="552" t="s">
        <v>195</v>
      </c>
      <c r="AM241" s="522"/>
      <c r="AN241" s="522"/>
    </row>
    <row r="242" spans="1:40" ht="15.6" customHeight="1" x14ac:dyDescent="0.25">
      <c r="A242" s="522"/>
      <c r="B242" s="560" t="s">
        <v>296</v>
      </c>
      <c r="C242" s="561" t="s">
        <v>296</v>
      </c>
      <c r="D242" s="560">
        <v>656040021</v>
      </c>
      <c r="E242" s="562">
        <v>410</v>
      </c>
      <c r="F242" s="563">
        <v>656</v>
      </c>
      <c r="G242" s="564">
        <v>3300200</v>
      </c>
      <c r="H242" s="565" t="s">
        <v>238</v>
      </c>
      <c r="I242" s="565">
        <v>226</v>
      </c>
      <c r="J242" s="531">
        <v>0</v>
      </c>
      <c r="K242" s="566"/>
      <c r="L242" s="567">
        <v>423242.71</v>
      </c>
      <c r="M242" s="567">
        <v>-56977.67</v>
      </c>
      <c r="N242" s="567">
        <v>-206855.41</v>
      </c>
      <c r="O242" s="567">
        <v>-56000</v>
      </c>
      <c r="P242" s="567">
        <v>103409.63</v>
      </c>
      <c r="Q242" s="568"/>
      <c r="R242" s="566"/>
      <c r="S242" s="566"/>
      <c r="T242" s="566"/>
      <c r="U242" s="566"/>
      <c r="V242" s="569">
        <v>0</v>
      </c>
      <c r="W242" s="566"/>
      <c r="X242" s="575"/>
      <c r="Y242" s="575"/>
      <c r="Z242" s="575"/>
      <c r="AA242" s="575"/>
      <c r="AB242" s="566"/>
      <c r="AC242" s="617"/>
      <c r="AD242" s="566"/>
      <c r="AE242" s="566"/>
      <c r="AF242" s="566"/>
      <c r="AG242" s="566">
        <v>0</v>
      </c>
      <c r="AH242" s="566">
        <v>0</v>
      </c>
      <c r="AI242" s="566"/>
      <c r="AJ242" s="569"/>
      <c r="AK242" s="570">
        <v>0</v>
      </c>
      <c r="AL242" s="552" t="s">
        <v>195</v>
      </c>
      <c r="AM242" s="522"/>
      <c r="AN242" s="522"/>
    </row>
    <row r="243" spans="1:40" ht="15.6" customHeight="1" x14ac:dyDescent="0.25">
      <c r="A243" s="522"/>
      <c r="B243" s="559" t="s">
        <v>212</v>
      </c>
      <c r="C243" s="559"/>
      <c r="D243" s="559"/>
      <c r="E243" s="559"/>
      <c r="F243" s="559"/>
      <c r="G243" s="559"/>
      <c r="H243" s="559"/>
      <c r="I243" s="559"/>
      <c r="J243" s="559"/>
      <c r="K243" s="559"/>
      <c r="L243" s="556">
        <v>423242.71</v>
      </c>
      <c r="M243" s="556">
        <v>-56977.67</v>
      </c>
      <c r="N243" s="556">
        <v>-206855.41</v>
      </c>
      <c r="O243" s="556">
        <v>-56000</v>
      </c>
      <c r="P243" s="556">
        <v>103409.63</v>
      </c>
      <c r="Q243" s="568"/>
      <c r="R243" s="590"/>
      <c r="S243" s="566"/>
      <c r="T243" s="590"/>
      <c r="U243" s="566"/>
      <c r="V243" s="591">
        <v>0</v>
      </c>
      <c r="W243" s="590"/>
      <c r="X243" s="592"/>
      <c r="Y243" s="592"/>
      <c r="Z243" s="592"/>
      <c r="AA243" s="592"/>
      <c r="AB243" s="590"/>
      <c r="AC243" s="618"/>
      <c r="AD243" s="573"/>
      <c r="AE243" s="573"/>
      <c r="AF243" s="573"/>
      <c r="AG243" s="566">
        <v>0</v>
      </c>
      <c r="AH243" s="566">
        <v>0</v>
      </c>
      <c r="AI243" s="573"/>
      <c r="AJ243" s="573"/>
      <c r="AK243" s="570">
        <v>0</v>
      </c>
      <c r="AL243" s="552" t="s">
        <v>195</v>
      </c>
      <c r="AM243" s="522"/>
      <c r="AN243" s="522"/>
    </row>
    <row r="244" spans="1:40" ht="15.6" customHeight="1" x14ac:dyDescent="0.25">
      <c r="A244" s="522"/>
      <c r="B244" s="559" t="s">
        <v>386</v>
      </c>
      <c r="C244" s="559"/>
      <c r="D244" s="559"/>
      <c r="E244" s="559"/>
      <c r="F244" s="559"/>
      <c r="G244" s="559"/>
      <c r="H244" s="559"/>
      <c r="I244" s="559"/>
      <c r="J244" s="559"/>
      <c r="K244" s="559"/>
      <c r="L244" s="559"/>
      <c r="M244" s="559"/>
      <c r="N244" s="559"/>
      <c r="O244" s="559"/>
      <c r="P244" s="559"/>
      <c r="Q244" s="559"/>
      <c r="R244" s="559"/>
      <c r="S244" s="559"/>
      <c r="T244" s="559"/>
      <c r="U244" s="559"/>
      <c r="V244" s="559"/>
      <c r="W244" s="559"/>
      <c r="X244" s="559"/>
      <c r="Y244" s="559"/>
      <c r="Z244" s="559"/>
      <c r="AA244" s="559"/>
      <c r="AB244" s="559"/>
      <c r="AC244" s="559"/>
      <c r="AD244" s="559"/>
      <c r="AE244" s="559"/>
      <c r="AF244" s="559"/>
      <c r="AG244" s="559"/>
      <c r="AH244" s="559"/>
      <c r="AI244" s="559"/>
      <c r="AJ244" s="559"/>
      <c r="AK244" s="559"/>
      <c r="AL244" s="552" t="s">
        <v>195</v>
      </c>
      <c r="AM244" s="522"/>
      <c r="AN244" s="522"/>
    </row>
    <row r="245" spans="1:40" ht="15.6" customHeight="1" x14ac:dyDescent="0.25">
      <c r="A245" s="522"/>
      <c r="B245" s="560" t="s">
        <v>293</v>
      </c>
      <c r="C245" s="561" t="s">
        <v>293</v>
      </c>
      <c r="D245" s="560">
        <v>656400012</v>
      </c>
      <c r="E245" s="562">
        <v>409</v>
      </c>
      <c r="F245" s="563">
        <v>656</v>
      </c>
      <c r="G245" s="629" t="s">
        <v>391</v>
      </c>
      <c r="H245" s="565" t="s">
        <v>219</v>
      </c>
      <c r="I245" s="565">
        <v>225</v>
      </c>
      <c r="J245" s="531" t="s">
        <v>385</v>
      </c>
      <c r="K245" s="566"/>
      <c r="L245" s="567">
        <v>484000</v>
      </c>
      <c r="M245" s="567">
        <v>663000</v>
      </c>
      <c r="N245" s="567">
        <v>800000</v>
      </c>
      <c r="O245" s="567">
        <v>522000</v>
      </c>
      <c r="P245" s="567">
        <v>2469000</v>
      </c>
      <c r="Q245" s="568">
        <f>R245+S245+T245+U245</f>
        <v>993100</v>
      </c>
      <c r="R245" s="566">
        <v>248275</v>
      </c>
      <c r="S245" s="566">
        <v>248275</v>
      </c>
      <c r="T245" s="566">
        <v>248275</v>
      </c>
      <c r="U245" s="566">
        <v>248275</v>
      </c>
      <c r="V245" s="569"/>
      <c r="W245" s="566" t="s">
        <v>294</v>
      </c>
      <c r="X245" s="575"/>
      <c r="Y245" s="575"/>
      <c r="Z245" s="575"/>
      <c r="AA245" s="575"/>
      <c r="AB245" s="569"/>
      <c r="AC245" s="569"/>
      <c r="AD245" s="566"/>
      <c r="AE245" s="566"/>
      <c r="AF245" s="566"/>
      <c r="AG245" s="566">
        <v>1073842.07</v>
      </c>
      <c r="AH245" s="566">
        <v>0</v>
      </c>
      <c r="AI245" s="566"/>
      <c r="AJ245" s="569"/>
      <c r="AK245" s="570">
        <v>0.43492995949777241</v>
      </c>
      <c r="AL245" s="552" t="s">
        <v>195</v>
      </c>
      <c r="AM245" s="522"/>
      <c r="AN245" s="522"/>
    </row>
    <row r="246" spans="1:40" ht="15.6" customHeight="1" x14ac:dyDescent="0.25">
      <c r="A246" s="522"/>
      <c r="B246" s="560" t="s">
        <v>293</v>
      </c>
      <c r="C246" s="561" t="s">
        <v>293</v>
      </c>
      <c r="D246" s="560">
        <v>656400012</v>
      </c>
      <c r="E246" s="562">
        <v>409</v>
      </c>
      <c r="F246" s="563">
        <v>656</v>
      </c>
      <c r="G246" s="629" t="s">
        <v>391</v>
      </c>
      <c r="H246" s="565" t="s">
        <v>219</v>
      </c>
      <c r="I246" s="565">
        <v>225</v>
      </c>
      <c r="J246" s="531" t="s">
        <v>384</v>
      </c>
      <c r="K246" s="566"/>
      <c r="L246" s="567">
        <v>484000</v>
      </c>
      <c r="M246" s="567">
        <v>663000</v>
      </c>
      <c r="N246" s="567">
        <v>800000</v>
      </c>
      <c r="O246" s="567"/>
      <c r="P246" s="567"/>
      <c r="Q246" s="568">
        <f>R246+S246+T246+U246</f>
        <v>1617900</v>
      </c>
      <c r="R246" s="566">
        <v>404475</v>
      </c>
      <c r="S246" s="566">
        <v>404475</v>
      </c>
      <c r="T246" s="566">
        <v>404475</v>
      </c>
      <c r="U246" s="566">
        <v>404475</v>
      </c>
      <c r="V246" s="569"/>
      <c r="W246" s="566" t="s">
        <v>295</v>
      </c>
      <c r="X246" s="575"/>
      <c r="Y246" s="575"/>
      <c r="Z246" s="575"/>
      <c r="AA246" s="575"/>
      <c r="AB246" s="569"/>
      <c r="AC246" s="569"/>
      <c r="AD246" s="566"/>
      <c r="AE246" s="566"/>
      <c r="AF246" s="566"/>
      <c r="AG246" s="566">
        <v>1073842.07</v>
      </c>
      <c r="AH246" s="566">
        <v>0</v>
      </c>
      <c r="AI246" s="566"/>
      <c r="AJ246" s="569"/>
      <c r="AK246" s="570">
        <v>0.43492995949777241</v>
      </c>
      <c r="AL246" s="552" t="s">
        <v>195</v>
      </c>
      <c r="AM246" s="522"/>
      <c r="AN246" s="522"/>
    </row>
    <row r="247" spans="1:40" ht="15.6" customHeight="1" x14ac:dyDescent="0.25">
      <c r="A247" s="522"/>
      <c r="B247" s="559" t="s">
        <v>212</v>
      </c>
      <c r="C247" s="559"/>
      <c r="D247" s="559"/>
      <c r="E247" s="559"/>
      <c r="F247" s="559"/>
      <c r="G247" s="559"/>
      <c r="H247" s="559"/>
      <c r="I247" s="559"/>
      <c r="J247" s="559"/>
      <c r="K247" s="559"/>
      <c r="L247" s="556">
        <v>484000</v>
      </c>
      <c r="M247" s="556">
        <v>663000</v>
      </c>
      <c r="N247" s="556">
        <v>800000</v>
      </c>
      <c r="O247" s="556">
        <v>522000</v>
      </c>
      <c r="P247" s="556">
        <v>2469000</v>
      </c>
      <c r="Q247" s="571">
        <f>R247+S247+T247+U247</f>
        <v>2611000</v>
      </c>
      <c r="R247" s="591">
        <f>R245+R246</f>
        <v>652750</v>
      </c>
      <c r="S247" s="591">
        <f>S245+S246</f>
        <v>652750</v>
      </c>
      <c r="T247" s="591">
        <f>T245+T246</f>
        <v>652750</v>
      </c>
      <c r="U247" s="591">
        <f>U245+U246</f>
        <v>652750</v>
      </c>
      <c r="V247" s="591">
        <f>V245+V246</f>
        <v>0</v>
      </c>
      <c r="W247" s="590"/>
      <c r="X247" s="592"/>
      <c r="Y247" s="592"/>
      <c r="Z247" s="592"/>
      <c r="AA247" s="592"/>
      <c r="AB247" s="591"/>
      <c r="AC247" s="591"/>
      <c r="AD247" s="573"/>
      <c r="AE247" s="573"/>
      <c r="AF247" s="573"/>
      <c r="AG247" s="566">
        <v>1073842.07</v>
      </c>
      <c r="AH247" s="566">
        <v>0</v>
      </c>
      <c r="AI247" s="573"/>
      <c r="AJ247" s="573"/>
      <c r="AK247" s="570">
        <v>0.43492995949777241</v>
      </c>
      <c r="AL247" s="552" t="s">
        <v>195</v>
      </c>
      <c r="AM247" s="522"/>
      <c r="AN247" s="522"/>
    </row>
    <row r="248" spans="1:40" ht="15.6" customHeight="1" x14ac:dyDescent="0.25">
      <c r="A248" s="522"/>
      <c r="B248" s="561"/>
      <c r="C248" s="561"/>
      <c r="D248" s="589" t="s">
        <v>297</v>
      </c>
      <c r="E248" s="589"/>
      <c r="F248" s="589"/>
      <c r="G248" s="589"/>
      <c r="H248" s="589"/>
      <c r="I248" s="589"/>
      <c r="J248" s="589"/>
      <c r="K248" s="589"/>
      <c r="L248" s="589"/>
      <c r="M248" s="589"/>
      <c r="N248" s="589"/>
      <c r="O248" s="589"/>
      <c r="P248" s="589"/>
      <c r="Q248" s="589"/>
      <c r="R248" s="589"/>
      <c r="S248" s="589"/>
      <c r="T248" s="589"/>
      <c r="U248" s="589"/>
      <c r="V248" s="589"/>
      <c r="W248" s="589"/>
      <c r="X248" s="589"/>
      <c r="Y248" s="589"/>
      <c r="Z248" s="589"/>
      <c r="AA248" s="589"/>
      <c r="AB248" s="589"/>
      <c r="AC248" s="589"/>
      <c r="AD248" s="590"/>
      <c r="AE248" s="590"/>
      <c r="AF248" s="590"/>
      <c r="AG248" s="566"/>
      <c r="AH248" s="566"/>
      <c r="AI248" s="590"/>
      <c r="AJ248" s="590"/>
      <c r="AK248" s="570"/>
      <c r="AL248" s="552"/>
      <c r="AM248" s="522"/>
      <c r="AN248" s="522"/>
    </row>
    <row r="249" spans="1:40" ht="15.6" customHeight="1" x14ac:dyDescent="0.25">
      <c r="A249" s="522"/>
      <c r="B249" s="561"/>
      <c r="C249" s="561"/>
      <c r="D249" s="620" t="s">
        <v>298</v>
      </c>
      <c r="E249" s="620"/>
      <c r="F249" s="620"/>
      <c r="G249" s="620"/>
      <c r="H249" s="620"/>
      <c r="I249" s="620"/>
      <c r="J249" s="620"/>
      <c r="K249" s="515"/>
      <c r="L249" s="515"/>
      <c r="M249" s="515"/>
      <c r="N249" s="515"/>
      <c r="O249" s="515"/>
      <c r="P249" s="515"/>
      <c r="Q249" s="515"/>
      <c r="R249" s="515"/>
      <c r="S249" s="515"/>
      <c r="T249" s="515"/>
      <c r="U249" s="515"/>
      <c r="V249" s="515"/>
      <c r="W249" s="515"/>
      <c r="X249" s="516"/>
      <c r="Y249" s="516"/>
      <c r="Z249" s="516"/>
      <c r="AA249" s="516"/>
      <c r="AB249" s="515"/>
      <c r="AC249" s="515"/>
      <c r="AD249" s="590"/>
      <c r="AE249" s="590"/>
      <c r="AF249" s="590"/>
      <c r="AG249" s="566"/>
      <c r="AH249" s="566"/>
      <c r="AI249" s="590"/>
      <c r="AJ249" s="590"/>
      <c r="AK249" s="570"/>
      <c r="AL249" s="552"/>
      <c r="AM249" s="522"/>
      <c r="AN249" s="522"/>
    </row>
    <row r="250" spans="1:40" ht="15.6" customHeight="1" x14ac:dyDescent="0.25">
      <c r="A250" s="522"/>
      <c r="B250" s="559" t="s">
        <v>299</v>
      </c>
      <c r="C250" s="559"/>
      <c r="D250" s="559"/>
      <c r="E250" s="559"/>
      <c r="F250" s="559"/>
      <c r="G250" s="559"/>
      <c r="H250" s="559"/>
      <c r="I250" s="559"/>
      <c r="J250" s="559"/>
      <c r="K250" s="559"/>
      <c r="L250" s="559"/>
      <c r="M250" s="559"/>
      <c r="N250" s="559"/>
      <c r="O250" s="559"/>
      <c r="P250" s="559"/>
      <c r="Q250" s="559"/>
      <c r="R250" s="559"/>
      <c r="S250" s="559"/>
      <c r="T250" s="559"/>
      <c r="U250" s="559"/>
      <c r="V250" s="559"/>
      <c r="W250" s="559"/>
      <c r="X250" s="559"/>
      <c r="Y250" s="559"/>
      <c r="Z250" s="559"/>
      <c r="AA250" s="559"/>
      <c r="AB250" s="559"/>
      <c r="AC250" s="559"/>
      <c r="AD250" s="559"/>
      <c r="AE250" s="559"/>
      <c r="AF250" s="559"/>
      <c r="AG250" s="559"/>
      <c r="AH250" s="559"/>
      <c r="AI250" s="559"/>
      <c r="AJ250" s="559"/>
      <c r="AK250" s="559"/>
      <c r="AL250" s="552" t="s">
        <v>195</v>
      </c>
      <c r="AM250" s="522"/>
      <c r="AN250" s="522"/>
    </row>
    <row r="251" spans="1:40" ht="15.6" customHeight="1" x14ac:dyDescent="0.25">
      <c r="A251" s="522"/>
      <c r="B251" s="560" t="s">
        <v>299</v>
      </c>
      <c r="C251" s="561" t="s">
        <v>299</v>
      </c>
      <c r="D251" s="560">
        <v>656560011</v>
      </c>
      <c r="E251" s="562">
        <v>410</v>
      </c>
      <c r="F251" s="563">
        <v>656</v>
      </c>
      <c r="G251" s="564">
        <v>5600020600</v>
      </c>
      <c r="H251" s="565" t="s">
        <v>300</v>
      </c>
      <c r="I251" s="565">
        <v>242</v>
      </c>
      <c r="J251" s="531">
        <v>0</v>
      </c>
      <c r="K251" s="566"/>
      <c r="L251" s="567">
        <v>65700</v>
      </c>
      <c r="M251" s="567">
        <v>65700</v>
      </c>
      <c r="N251" s="567">
        <v>65700</v>
      </c>
      <c r="O251" s="567">
        <v>65700</v>
      </c>
      <c r="P251" s="567">
        <v>262800</v>
      </c>
      <c r="Q251" s="568">
        <f>R251+S251+T251+U251</f>
        <v>90000</v>
      </c>
      <c r="R251" s="566">
        <v>30000</v>
      </c>
      <c r="S251" s="566">
        <v>30000</v>
      </c>
      <c r="T251" s="566">
        <v>30000</v>
      </c>
      <c r="U251" s="566"/>
      <c r="V251" s="569">
        <f>78269.4+85663.02</f>
        <v>163932.41999999998</v>
      </c>
      <c r="W251" s="566" t="s">
        <v>607</v>
      </c>
      <c r="X251" s="575">
        <f>218576.56-V251+109288.28-81966.21</f>
        <v>81966.210000000006</v>
      </c>
      <c r="Y251" s="567" t="s">
        <v>552</v>
      </c>
      <c r="Z251" s="566">
        <f>327864.84-V252-X252</f>
        <v>81966.210000000036</v>
      </c>
      <c r="AA251" s="566" t="s">
        <v>698</v>
      </c>
      <c r="AB251" s="569"/>
      <c r="AC251" s="569"/>
      <c r="AD251" s="566"/>
      <c r="AE251" s="566"/>
      <c r="AF251" s="566"/>
      <c r="AG251" s="566">
        <v>201514.5</v>
      </c>
      <c r="AH251" s="566">
        <v>0</v>
      </c>
      <c r="AI251" s="566"/>
      <c r="AJ251" s="569"/>
      <c r="AK251" s="570">
        <v>0.7667979452054795</v>
      </c>
      <c r="AL251" s="552" t="s">
        <v>195</v>
      </c>
      <c r="AM251" s="522"/>
      <c r="AN251" s="522"/>
    </row>
    <row r="252" spans="1:40" ht="15.6" customHeight="1" x14ac:dyDescent="0.25">
      <c r="A252" s="522"/>
      <c r="B252" s="559" t="s">
        <v>212</v>
      </c>
      <c r="C252" s="559"/>
      <c r="D252" s="559"/>
      <c r="E252" s="559"/>
      <c r="F252" s="559"/>
      <c r="G252" s="559"/>
      <c r="H252" s="559"/>
      <c r="I252" s="559"/>
      <c r="J252" s="559"/>
      <c r="K252" s="559"/>
      <c r="L252" s="556">
        <v>65700</v>
      </c>
      <c r="M252" s="556">
        <v>65700</v>
      </c>
      <c r="N252" s="556">
        <v>65700</v>
      </c>
      <c r="O252" s="556">
        <v>65700</v>
      </c>
      <c r="P252" s="556">
        <v>262800</v>
      </c>
      <c r="Q252" s="571">
        <f>R252+S252+T252+U252</f>
        <v>90000</v>
      </c>
      <c r="R252" s="591">
        <f>R251</f>
        <v>30000</v>
      </c>
      <c r="S252" s="591">
        <f>S251</f>
        <v>30000</v>
      </c>
      <c r="T252" s="591">
        <f>T251</f>
        <v>30000</v>
      </c>
      <c r="U252" s="591">
        <f>U251</f>
        <v>0</v>
      </c>
      <c r="V252" s="591">
        <f>V251</f>
        <v>163932.41999999998</v>
      </c>
      <c r="W252" s="590">
        <f>V252+X252</f>
        <v>245898.63</v>
      </c>
      <c r="X252" s="591">
        <f>X251</f>
        <v>81966.210000000006</v>
      </c>
      <c r="Y252" s="592"/>
      <c r="Z252" s="592">
        <f>Z251</f>
        <v>81966.210000000036</v>
      </c>
      <c r="AA252" s="592"/>
      <c r="AB252" s="591">
        <f>AB251</f>
        <v>0</v>
      </c>
      <c r="AC252" s="591">
        <f>AC251</f>
        <v>0</v>
      </c>
      <c r="AD252" s="573"/>
      <c r="AE252" s="573"/>
      <c r="AF252" s="573"/>
      <c r="AG252" s="566">
        <v>201514.5</v>
      </c>
      <c r="AH252" s="566">
        <v>0</v>
      </c>
      <c r="AI252" s="573"/>
      <c r="AJ252" s="573"/>
      <c r="AK252" s="570">
        <v>0.7667979452054795</v>
      </c>
      <c r="AL252" s="552" t="s">
        <v>195</v>
      </c>
      <c r="AM252" s="522"/>
      <c r="AN252" s="522"/>
    </row>
    <row r="253" spans="1:40" ht="15.6" customHeight="1" x14ac:dyDescent="0.25">
      <c r="A253" s="522"/>
      <c r="B253" s="559" t="s">
        <v>301</v>
      </c>
      <c r="C253" s="559"/>
      <c r="D253" s="559"/>
      <c r="E253" s="559"/>
      <c r="F253" s="559"/>
      <c r="G253" s="559"/>
      <c r="H253" s="559"/>
      <c r="I253" s="559"/>
      <c r="J253" s="559"/>
      <c r="K253" s="559"/>
      <c r="L253" s="559"/>
      <c r="M253" s="559"/>
      <c r="N253" s="559"/>
      <c r="O253" s="559"/>
      <c r="P253" s="559"/>
      <c r="Q253" s="559"/>
      <c r="R253" s="559"/>
      <c r="S253" s="559"/>
      <c r="T253" s="559"/>
      <c r="U253" s="559"/>
      <c r="V253" s="559"/>
      <c r="W253" s="559"/>
      <c r="X253" s="559"/>
      <c r="Y253" s="559"/>
      <c r="Z253" s="559"/>
      <c r="AA253" s="559"/>
      <c r="AB253" s="559"/>
      <c r="AC253" s="559"/>
      <c r="AD253" s="559"/>
      <c r="AE253" s="559"/>
      <c r="AF253" s="559"/>
      <c r="AG253" s="559"/>
      <c r="AH253" s="559"/>
      <c r="AI253" s="559"/>
      <c r="AJ253" s="559"/>
      <c r="AK253" s="559"/>
      <c r="AL253" s="552" t="s">
        <v>195</v>
      </c>
      <c r="AM253" s="522"/>
      <c r="AN253" s="522"/>
    </row>
    <row r="254" spans="1:40" ht="15.6" customHeight="1" x14ac:dyDescent="0.25">
      <c r="A254" s="522"/>
      <c r="B254" s="560" t="s">
        <v>302</v>
      </c>
      <c r="C254" s="561" t="s">
        <v>302</v>
      </c>
      <c r="D254" s="560">
        <v>656570033</v>
      </c>
      <c r="E254" s="562">
        <v>412</v>
      </c>
      <c r="F254" s="563">
        <v>656</v>
      </c>
      <c r="G254" s="564">
        <v>5700089090</v>
      </c>
      <c r="H254" s="565" t="s">
        <v>226</v>
      </c>
      <c r="I254" s="565">
        <v>251</v>
      </c>
      <c r="J254" s="531">
        <v>0</v>
      </c>
      <c r="K254" s="566"/>
      <c r="L254" s="567">
        <v>0</v>
      </c>
      <c r="M254" s="567">
        <v>0</v>
      </c>
      <c r="N254" s="567">
        <v>0</v>
      </c>
      <c r="O254" s="567">
        <v>0</v>
      </c>
      <c r="P254" s="567">
        <v>0</v>
      </c>
      <c r="Q254" s="568"/>
      <c r="R254" s="569">
        <v>200000</v>
      </c>
      <c r="S254" s="566"/>
      <c r="T254" s="566"/>
      <c r="U254" s="566"/>
      <c r="V254" s="569">
        <v>500000</v>
      </c>
      <c r="W254" s="566"/>
      <c r="X254" s="575"/>
      <c r="Y254" s="575"/>
      <c r="Z254" s="575"/>
      <c r="AA254" s="575"/>
      <c r="AB254" s="566"/>
      <c r="AC254" s="617"/>
      <c r="AD254" s="566"/>
      <c r="AE254" s="566"/>
      <c r="AF254" s="566"/>
      <c r="AG254" s="566">
        <v>0</v>
      </c>
      <c r="AH254" s="566">
        <v>0</v>
      </c>
      <c r="AI254" s="566"/>
      <c r="AJ254" s="569"/>
      <c r="AK254" s="570"/>
      <c r="AL254" s="552" t="s">
        <v>195</v>
      </c>
      <c r="AM254" s="522"/>
      <c r="AN254" s="522"/>
    </row>
    <row r="255" spans="1:40" ht="15.6" customHeight="1" x14ac:dyDescent="0.25">
      <c r="A255" s="522"/>
      <c r="B255" s="559" t="s">
        <v>212</v>
      </c>
      <c r="C255" s="559"/>
      <c r="D255" s="559"/>
      <c r="E255" s="559"/>
      <c r="F255" s="559"/>
      <c r="G255" s="559"/>
      <c r="H255" s="559"/>
      <c r="I255" s="559"/>
      <c r="J255" s="559"/>
      <c r="K255" s="559"/>
      <c r="L255" s="556">
        <v>0</v>
      </c>
      <c r="M255" s="556">
        <v>0</v>
      </c>
      <c r="N255" s="556">
        <v>0</v>
      </c>
      <c r="O255" s="556">
        <v>0</v>
      </c>
      <c r="P255" s="556">
        <v>0</v>
      </c>
      <c r="Q255" s="568"/>
      <c r="R255" s="591">
        <f>R254</f>
        <v>200000</v>
      </c>
      <c r="S255" s="566"/>
      <c r="T255" s="590"/>
      <c r="U255" s="566"/>
      <c r="V255" s="591">
        <f>V254</f>
        <v>500000</v>
      </c>
      <c r="W255" s="590"/>
      <c r="X255" s="592"/>
      <c r="Y255" s="592"/>
      <c r="Z255" s="592"/>
      <c r="AA255" s="592"/>
      <c r="AB255" s="590"/>
      <c r="AC255" s="618"/>
      <c r="AD255" s="573"/>
      <c r="AE255" s="573"/>
      <c r="AF255" s="573"/>
      <c r="AG255" s="566">
        <v>0</v>
      </c>
      <c r="AH255" s="566">
        <v>0</v>
      </c>
      <c r="AI255" s="573"/>
      <c r="AJ255" s="573"/>
      <c r="AK255" s="570"/>
      <c r="AL255" s="552" t="s">
        <v>195</v>
      </c>
      <c r="AM255" s="522"/>
      <c r="AN255" s="522"/>
    </row>
    <row r="256" spans="1:40" ht="15.6" customHeight="1" x14ac:dyDescent="0.25">
      <c r="A256" s="522"/>
      <c r="B256" s="561"/>
      <c r="C256" s="561"/>
      <c r="D256" s="630" t="s">
        <v>303</v>
      </c>
      <c r="E256" s="630"/>
      <c r="F256" s="630"/>
      <c r="G256" s="630"/>
      <c r="H256" s="630"/>
      <c r="I256" s="630"/>
      <c r="J256" s="630"/>
      <c r="K256" s="630"/>
      <c r="L256" s="630"/>
      <c r="M256" s="630"/>
      <c r="N256" s="630"/>
      <c r="O256" s="630"/>
      <c r="P256" s="630"/>
      <c r="Q256" s="630"/>
      <c r="R256" s="630"/>
      <c r="S256" s="630"/>
      <c r="T256" s="630"/>
      <c r="U256" s="630"/>
      <c r="V256" s="630"/>
      <c r="W256" s="630"/>
      <c r="X256" s="630"/>
      <c r="Y256" s="630"/>
      <c r="Z256" s="630"/>
      <c r="AA256" s="630"/>
      <c r="AB256" s="630"/>
      <c r="AC256" s="630"/>
      <c r="AD256" s="590"/>
      <c r="AE256" s="590"/>
      <c r="AF256" s="590"/>
      <c r="AG256" s="566"/>
      <c r="AH256" s="566"/>
      <c r="AI256" s="590"/>
      <c r="AJ256" s="590"/>
      <c r="AK256" s="570"/>
      <c r="AL256" s="552"/>
      <c r="AM256" s="522"/>
      <c r="AN256" s="522"/>
    </row>
    <row r="257" spans="1:40" ht="15.6" customHeight="1" x14ac:dyDescent="0.25">
      <c r="A257" s="522"/>
      <c r="B257" s="559" t="s">
        <v>304</v>
      </c>
      <c r="C257" s="559"/>
      <c r="D257" s="559"/>
      <c r="E257" s="559"/>
      <c r="F257" s="559"/>
      <c r="G257" s="559"/>
      <c r="H257" s="559"/>
      <c r="I257" s="559"/>
      <c r="J257" s="559"/>
      <c r="K257" s="559"/>
      <c r="L257" s="559"/>
      <c r="M257" s="559"/>
      <c r="N257" s="559"/>
      <c r="O257" s="559"/>
      <c r="P257" s="559"/>
      <c r="Q257" s="559"/>
      <c r="R257" s="559"/>
      <c r="S257" s="559"/>
      <c r="T257" s="559"/>
      <c r="U257" s="559"/>
      <c r="V257" s="559"/>
      <c r="W257" s="559"/>
      <c r="X257" s="559"/>
      <c r="Y257" s="559"/>
      <c r="Z257" s="559"/>
      <c r="AA257" s="559"/>
      <c r="AB257" s="559"/>
      <c r="AC257" s="559"/>
      <c r="AD257" s="559"/>
      <c r="AE257" s="559"/>
      <c r="AF257" s="559"/>
      <c r="AG257" s="559"/>
      <c r="AH257" s="559"/>
      <c r="AI257" s="559"/>
      <c r="AJ257" s="559"/>
      <c r="AK257" s="559"/>
      <c r="AL257" s="552" t="s">
        <v>195</v>
      </c>
      <c r="AM257" s="522"/>
      <c r="AN257" s="522"/>
    </row>
    <row r="258" spans="1:40" ht="15.6" customHeight="1" x14ac:dyDescent="0.25">
      <c r="A258" s="522"/>
      <c r="B258" s="560" t="s">
        <v>304</v>
      </c>
      <c r="C258" s="561" t="s">
        <v>304</v>
      </c>
      <c r="D258" s="560">
        <v>656560021</v>
      </c>
      <c r="E258" s="562">
        <v>501</v>
      </c>
      <c r="F258" s="563">
        <v>656</v>
      </c>
      <c r="G258" s="631">
        <v>5600020001</v>
      </c>
      <c r="H258" s="565" t="s">
        <v>300</v>
      </c>
      <c r="I258" s="565">
        <v>241</v>
      </c>
      <c r="J258" s="531">
        <v>0</v>
      </c>
      <c r="K258" s="566"/>
      <c r="L258" s="567">
        <v>1082478.92</v>
      </c>
      <c r="M258" s="567">
        <v>144000</v>
      </c>
      <c r="N258" s="567">
        <v>2296521.08</v>
      </c>
      <c r="O258" s="567">
        <v>0</v>
      </c>
      <c r="P258" s="567">
        <v>3523000</v>
      </c>
      <c r="Q258" s="568">
        <f>R258+S258+T258+U258</f>
        <v>3633270</v>
      </c>
      <c r="R258" s="566">
        <f>V258-S258-T258-U258</f>
        <v>36731.020000000019</v>
      </c>
      <c r="S258" s="566">
        <f>1265514-150000</f>
        <v>1115514</v>
      </c>
      <c r="T258" s="566">
        <f>1265514-150000</f>
        <v>1115514</v>
      </c>
      <c r="U258" s="566">
        <f>1265514-3.02+100000</f>
        <v>1365510.98</v>
      </c>
      <c r="V258" s="569">
        <v>3633270</v>
      </c>
      <c r="W258" s="566"/>
      <c r="X258" s="575"/>
      <c r="Y258" s="575"/>
      <c r="Z258" s="575"/>
      <c r="AA258" s="575"/>
      <c r="AB258" s="566">
        <v>3785310</v>
      </c>
      <c r="AC258" s="617">
        <v>3943720</v>
      </c>
      <c r="AD258" s="566"/>
      <c r="AE258" s="566"/>
      <c r="AF258" s="566"/>
      <c r="AG258" s="566">
        <v>2881781.63</v>
      </c>
      <c r="AH258" s="566">
        <v>141293.16</v>
      </c>
      <c r="AI258" s="566"/>
      <c r="AJ258" s="569"/>
      <c r="AK258" s="570">
        <v>0.77788489071813771</v>
      </c>
      <c r="AL258" s="552" t="s">
        <v>195</v>
      </c>
      <c r="AM258" s="522"/>
      <c r="AN258" s="522"/>
    </row>
    <row r="259" spans="1:40" ht="15.6" customHeight="1" x14ac:dyDescent="0.25">
      <c r="A259" s="522"/>
      <c r="B259" s="559" t="s">
        <v>212</v>
      </c>
      <c r="C259" s="559"/>
      <c r="D259" s="559"/>
      <c r="E259" s="559"/>
      <c r="F259" s="559"/>
      <c r="G259" s="559"/>
      <c r="H259" s="559"/>
      <c r="I259" s="559"/>
      <c r="J259" s="559"/>
      <c r="K259" s="559"/>
      <c r="L259" s="556">
        <v>1082478.92</v>
      </c>
      <c r="M259" s="556">
        <v>144000</v>
      </c>
      <c r="N259" s="556">
        <v>2296521.08</v>
      </c>
      <c r="O259" s="556">
        <v>0</v>
      </c>
      <c r="P259" s="556">
        <v>3523000</v>
      </c>
      <c r="Q259" s="571">
        <f>R259+S259+T259+U259</f>
        <v>3633270</v>
      </c>
      <c r="R259" s="591">
        <f>R258</f>
        <v>36731.020000000019</v>
      </c>
      <c r="S259" s="591">
        <f>S258</f>
        <v>1115514</v>
      </c>
      <c r="T259" s="591">
        <f>T258</f>
        <v>1115514</v>
      </c>
      <c r="U259" s="591">
        <f>U258</f>
        <v>1365510.98</v>
      </c>
      <c r="V259" s="591">
        <f>V258</f>
        <v>3633270</v>
      </c>
      <c r="W259" s="590"/>
      <c r="X259" s="592"/>
      <c r="Y259" s="592"/>
      <c r="Z259" s="592"/>
      <c r="AA259" s="592"/>
      <c r="AB259" s="591">
        <f>AB258</f>
        <v>3785310</v>
      </c>
      <c r="AC259" s="591">
        <f>AC258</f>
        <v>3943720</v>
      </c>
      <c r="AD259" s="573"/>
      <c r="AE259" s="573"/>
      <c r="AF259" s="573"/>
      <c r="AG259" s="566">
        <v>2881781.63</v>
      </c>
      <c r="AH259" s="566">
        <v>141293.16</v>
      </c>
      <c r="AI259" s="573"/>
      <c r="AJ259" s="573"/>
      <c r="AK259" s="570">
        <v>0.77788489071813771</v>
      </c>
      <c r="AL259" s="552" t="s">
        <v>195</v>
      </c>
      <c r="AM259" s="522"/>
      <c r="AN259" s="522"/>
    </row>
    <row r="260" spans="1:40" ht="15.6" customHeight="1" x14ac:dyDescent="0.25">
      <c r="A260" s="522"/>
      <c r="B260" s="561"/>
      <c r="C260" s="561"/>
      <c r="D260" s="589" t="s">
        <v>305</v>
      </c>
      <c r="E260" s="589"/>
      <c r="F260" s="589"/>
      <c r="G260" s="589"/>
      <c r="H260" s="589"/>
      <c r="I260" s="589"/>
      <c r="J260" s="589"/>
      <c r="K260" s="589"/>
      <c r="L260" s="589"/>
      <c r="M260" s="589"/>
      <c r="N260" s="589"/>
      <c r="O260" s="589"/>
      <c r="P260" s="589"/>
      <c r="Q260" s="589"/>
      <c r="R260" s="589"/>
      <c r="S260" s="589"/>
      <c r="T260" s="589"/>
      <c r="U260" s="589"/>
      <c r="V260" s="589"/>
      <c r="W260" s="589"/>
      <c r="X260" s="589"/>
      <c r="Y260" s="589"/>
      <c r="Z260" s="589"/>
      <c r="AA260" s="589"/>
      <c r="AB260" s="589"/>
      <c r="AC260" s="589"/>
      <c r="AD260" s="590"/>
      <c r="AE260" s="590"/>
      <c r="AF260" s="590"/>
      <c r="AG260" s="566"/>
      <c r="AH260" s="566"/>
      <c r="AI260" s="590"/>
      <c r="AJ260" s="590"/>
      <c r="AK260" s="570"/>
      <c r="AL260" s="552"/>
      <c r="AM260" s="522"/>
      <c r="AN260" s="522"/>
    </row>
    <row r="261" spans="1:40" ht="15.6" customHeight="1" x14ac:dyDescent="0.25">
      <c r="A261" s="522"/>
      <c r="B261" s="559" t="s">
        <v>306</v>
      </c>
      <c r="C261" s="559"/>
      <c r="D261" s="559"/>
      <c r="E261" s="559"/>
      <c r="F261" s="559"/>
      <c r="G261" s="559"/>
      <c r="H261" s="559"/>
      <c r="I261" s="559"/>
      <c r="J261" s="559"/>
      <c r="K261" s="559"/>
      <c r="L261" s="559"/>
      <c r="M261" s="559"/>
      <c r="N261" s="559"/>
      <c r="O261" s="559"/>
      <c r="P261" s="559"/>
      <c r="Q261" s="559"/>
      <c r="R261" s="559"/>
      <c r="S261" s="559"/>
      <c r="T261" s="559"/>
      <c r="U261" s="559"/>
      <c r="V261" s="559"/>
      <c r="W261" s="559"/>
      <c r="X261" s="559"/>
      <c r="Y261" s="559"/>
      <c r="Z261" s="559"/>
      <c r="AA261" s="559"/>
      <c r="AB261" s="559"/>
      <c r="AC261" s="559"/>
      <c r="AD261" s="559"/>
      <c r="AE261" s="559"/>
      <c r="AF261" s="559"/>
      <c r="AG261" s="559"/>
      <c r="AH261" s="559"/>
      <c r="AI261" s="559"/>
      <c r="AJ261" s="559"/>
      <c r="AK261" s="559"/>
      <c r="AL261" s="552" t="s">
        <v>195</v>
      </c>
      <c r="AM261" s="522"/>
      <c r="AN261" s="522"/>
    </row>
    <row r="262" spans="1:40" ht="15.6" customHeight="1" x14ac:dyDescent="0.25">
      <c r="A262" s="522"/>
      <c r="B262" s="561"/>
      <c r="C262" s="561"/>
      <c r="D262" s="560">
        <v>656580021</v>
      </c>
      <c r="E262" s="562">
        <v>501</v>
      </c>
      <c r="F262" s="563">
        <v>656</v>
      </c>
      <c r="G262" s="628" t="s">
        <v>361</v>
      </c>
      <c r="H262" s="565" t="s">
        <v>219</v>
      </c>
      <c r="I262" s="565">
        <v>224</v>
      </c>
      <c r="J262" s="531">
        <v>0</v>
      </c>
      <c r="K262" s="566"/>
      <c r="L262" s="567">
        <v>50000</v>
      </c>
      <c r="M262" s="567">
        <v>0</v>
      </c>
      <c r="N262" s="567">
        <v>72736.33</v>
      </c>
      <c r="O262" s="567">
        <v>0</v>
      </c>
      <c r="P262" s="567">
        <v>122736.33</v>
      </c>
      <c r="Q262" s="568">
        <f>R262+S262+T262+U262</f>
        <v>100000</v>
      </c>
      <c r="R262" s="569">
        <v>50000</v>
      </c>
      <c r="S262" s="566">
        <v>50000</v>
      </c>
      <c r="T262" s="591">
        <v>0</v>
      </c>
      <c r="U262" s="566">
        <v>0</v>
      </c>
      <c r="V262" s="569">
        <v>0</v>
      </c>
      <c r="W262" s="632" t="s">
        <v>364</v>
      </c>
      <c r="X262" s="561"/>
      <c r="Y262" s="561"/>
      <c r="Z262" s="561"/>
      <c r="AA262" s="561"/>
      <c r="AB262" s="561"/>
      <c r="AC262" s="561"/>
      <c r="AD262" s="561"/>
      <c r="AE262" s="561"/>
      <c r="AF262" s="561"/>
      <c r="AG262" s="561"/>
      <c r="AH262" s="561"/>
      <c r="AI262" s="561"/>
      <c r="AJ262" s="561"/>
      <c r="AK262" s="561"/>
      <c r="AL262" s="552"/>
      <c r="AM262" s="522"/>
      <c r="AN262" s="522"/>
    </row>
    <row r="263" spans="1:40" ht="15.6" customHeight="1" x14ac:dyDescent="0.25">
      <c r="A263" s="522"/>
      <c r="B263" s="560" t="s">
        <v>306</v>
      </c>
      <c r="C263" s="561" t="s">
        <v>306</v>
      </c>
      <c r="D263" s="560">
        <v>656580021</v>
      </c>
      <c r="E263" s="562">
        <v>501</v>
      </c>
      <c r="F263" s="563">
        <v>656</v>
      </c>
      <c r="G263" s="628" t="s">
        <v>361</v>
      </c>
      <c r="H263" s="565" t="s">
        <v>219</v>
      </c>
      <c r="I263" s="565">
        <v>225</v>
      </c>
      <c r="J263" s="531">
        <v>0</v>
      </c>
      <c r="K263" s="566"/>
      <c r="L263" s="567">
        <v>50000</v>
      </c>
      <c r="M263" s="567">
        <v>0</v>
      </c>
      <c r="N263" s="567">
        <v>72736.33</v>
      </c>
      <c r="O263" s="567">
        <v>0</v>
      </c>
      <c r="P263" s="567">
        <v>122736.33</v>
      </c>
      <c r="Q263" s="568">
        <f>R263+S263+T263+U263</f>
        <v>100000</v>
      </c>
      <c r="R263" s="569">
        <v>50000</v>
      </c>
      <c r="S263" s="566">
        <v>50000</v>
      </c>
      <c r="T263" s="591">
        <v>0</v>
      </c>
      <c r="U263" s="566">
        <v>0</v>
      </c>
      <c r="V263" s="569">
        <v>0</v>
      </c>
      <c r="W263" s="633" t="s">
        <v>406</v>
      </c>
      <c r="X263" s="575"/>
      <c r="Y263" s="575"/>
      <c r="Z263" s="575"/>
      <c r="AA263" s="575"/>
      <c r="AB263" s="569"/>
      <c r="AC263" s="569"/>
      <c r="AD263" s="566"/>
      <c r="AE263" s="566"/>
      <c r="AF263" s="566"/>
      <c r="AG263" s="566">
        <v>0</v>
      </c>
      <c r="AH263" s="566">
        <v>0</v>
      </c>
      <c r="AI263" s="566"/>
      <c r="AJ263" s="569"/>
      <c r="AK263" s="570">
        <v>0</v>
      </c>
      <c r="AL263" s="552" t="s">
        <v>195</v>
      </c>
      <c r="AM263" s="522"/>
      <c r="AN263" s="522"/>
    </row>
    <row r="264" spans="1:40" ht="15.6" customHeight="1" x14ac:dyDescent="0.25">
      <c r="A264" s="522"/>
      <c r="B264" s="560"/>
      <c r="C264" s="561"/>
      <c r="D264" s="560"/>
      <c r="E264" s="562"/>
      <c r="F264" s="563"/>
      <c r="G264" s="628"/>
      <c r="H264" s="565" t="s">
        <v>219</v>
      </c>
      <c r="I264" s="565">
        <v>226</v>
      </c>
      <c r="J264" s="531"/>
      <c r="K264" s="566"/>
      <c r="L264" s="567"/>
      <c r="M264" s="567"/>
      <c r="N264" s="567"/>
      <c r="O264" s="567"/>
      <c r="P264" s="567"/>
      <c r="Q264" s="568"/>
      <c r="R264" s="569"/>
      <c r="S264" s="566"/>
      <c r="T264" s="591"/>
      <c r="U264" s="566"/>
      <c r="V264" s="569">
        <v>0</v>
      </c>
      <c r="W264" s="633" t="s">
        <v>693</v>
      </c>
      <c r="X264" s="575">
        <v>12000</v>
      </c>
      <c r="Y264" s="575"/>
      <c r="Z264" s="575"/>
      <c r="AA264" s="575"/>
      <c r="AB264" s="569"/>
      <c r="AC264" s="569"/>
      <c r="AD264" s="566"/>
      <c r="AE264" s="566"/>
      <c r="AF264" s="566"/>
      <c r="AG264" s="566"/>
      <c r="AH264" s="566"/>
      <c r="AI264" s="566"/>
      <c r="AJ264" s="569"/>
      <c r="AK264" s="570"/>
      <c r="AL264" s="552"/>
      <c r="AM264" s="522"/>
      <c r="AN264" s="522"/>
    </row>
    <row r="265" spans="1:40" ht="15.6" customHeight="1" x14ac:dyDescent="0.25">
      <c r="A265" s="522"/>
      <c r="B265" s="560"/>
      <c r="C265" s="561"/>
      <c r="D265" s="560"/>
      <c r="E265" s="562"/>
      <c r="F265" s="563"/>
      <c r="G265" s="628"/>
      <c r="H265" s="565" t="s">
        <v>219</v>
      </c>
      <c r="I265" s="565">
        <v>226</v>
      </c>
      <c r="J265" s="531"/>
      <c r="K265" s="566"/>
      <c r="L265" s="567"/>
      <c r="M265" s="567"/>
      <c r="N265" s="567"/>
      <c r="O265" s="567"/>
      <c r="P265" s="567"/>
      <c r="Q265" s="568"/>
      <c r="R265" s="569"/>
      <c r="S265" s="566"/>
      <c r="T265" s="591"/>
      <c r="U265" s="566"/>
      <c r="V265" s="569">
        <v>60000</v>
      </c>
      <c r="W265" s="633" t="s">
        <v>544</v>
      </c>
      <c r="X265" s="575">
        <v>45000</v>
      </c>
      <c r="Y265" s="568" t="s">
        <v>630</v>
      </c>
      <c r="Z265" s="575">
        <v>60000</v>
      </c>
      <c r="AA265" s="575" t="s">
        <v>631</v>
      </c>
      <c r="AB265" s="569"/>
      <c r="AC265" s="569"/>
      <c r="AD265" s="566"/>
      <c r="AE265" s="566"/>
      <c r="AF265" s="566"/>
      <c r="AG265" s="566"/>
      <c r="AH265" s="566"/>
      <c r="AI265" s="566"/>
      <c r="AJ265" s="569"/>
      <c r="AK265" s="570"/>
      <c r="AL265" s="552"/>
      <c r="AM265" s="522"/>
      <c r="AN265" s="522"/>
    </row>
    <row r="266" spans="1:40" ht="15.6" customHeight="1" x14ac:dyDescent="0.25">
      <c r="A266" s="522"/>
      <c r="B266" s="560" t="s">
        <v>306</v>
      </c>
      <c r="C266" s="561" t="s">
        <v>306</v>
      </c>
      <c r="D266" s="560">
        <v>656580021</v>
      </c>
      <c r="E266" s="562">
        <v>501</v>
      </c>
      <c r="F266" s="563">
        <v>656</v>
      </c>
      <c r="G266" s="628" t="s">
        <v>361</v>
      </c>
      <c r="H266" s="565" t="s">
        <v>219</v>
      </c>
      <c r="I266" s="565">
        <v>226</v>
      </c>
      <c r="J266" s="531">
        <v>0</v>
      </c>
      <c r="K266" s="566"/>
      <c r="L266" s="567">
        <v>0</v>
      </c>
      <c r="M266" s="567">
        <v>0</v>
      </c>
      <c r="N266" s="567">
        <v>0</v>
      </c>
      <c r="O266" s="567">
        <v>0</v>
      </c>
      <c r="P266" s="567">
        <v>0</v>
      </c>
      <c r="Q266" s="568">
        <f t="shared" ref="Q266:Q272" si="3">R266+S266+T266+U266</f>
        <v>0</v>
      </c>
      <c r="R266" s="566"/>
      <c r="S266" s="566"/>
      <c r="T266" s="566"/>
      <c r="U266" s="566"/>
      <c r="V266" s="569">
        <v>0</v>
      </c>
      <c r="W266" s="567" t="s">
        <v>365</v>
      </c>
      <c r="X266" s="569"/>
      <c r="Y266" s="575"/>
      <c r="Z266" s="575"/>
      <c r="AA266" s="575"/>
      <c r="AB266" s="566"/>
      <c r="AC266" s="617"/>
      <c r="AD266" s="566"/>
      <c r="AE266" s="566"/>
      <c r="AF266" s="566"/>
      <c r="AG266" s="566">
        <v>71268.36</v>
      </c>
      <c r="AH266" s="566">
        <v>0</v>
      </c>
      <c r="AI266" s="566"/>
      <c r="AJ266" s="569"/>
      <c r="AK266" s="570"/>
      <c r="AL266" s="552" t="s">
        <v>195</v>
      </c>
      <c r="AM266" s="522"/>
      <c r="AN266" s="522"/>
    </row>
    <row r="267" spans="1:40" ht="15.6" customHeight="1" x14ac:dyDescent="0.25">
      <c r="A267" s="522"/>
      <c r="B267" s="560" t="s">
        <v>306</v>
      </c>
      <c r="C267" s="561" t="s">
        <v>306</v>
      </c>
      <c r="D267" s="560">
        <v>656580021</v>
      </c>
      <c r="E267" s="562">
        <v>501</v>
      </c>
      <c r="F267" s="563">
        <v>656</v>
      </c>
      <c r="G267" s="628" t="s">
        <v>361</v>
      </c>
      <c r="H267" s="565" t="s">
        <v>219</v>
      </c>
      <c r="I267" s="565">
        <v>226</v>
      </c>
      <c r="J267" s="531">
        <v>0</v>
      </c>
      <c r="K267" s="566"/>
      <c r="L267" s="567">
        <v>50000</v>
      </c>
      <c r="M267" s="567">
        <v>0</v>
      </c>
      <c r="N267" s="567">
        <v>72736.33</v>
      </c>
      <c r="O267" s="567">
        <v>0</v>
      </c>
      <c r="P267" s="567">
        <v>122736.33</v>
      </c>
      <c r="Q267" s="568">
        <f t="shared" si="3"/>
        <v>100000</v>
      </c>
      <c r="R267" s="569">
        <v>50000</v>
      </c>
      <c r="S267" s="566">
        <v>50000</v>
      </c>
      <c r="T267" s="591">
        <v>0</v>
      </c>
      <c r="U267" s="566">
        <v>0</v>
      </c>
      <c r="V267" s="569">
        <v>60000</v>
      </c>
      <c r="W267" s="566" t="s">
        <v>536</v>
      </c>
      <c r="X267" s="575">
        <v>40000</v>
      </c>
      <c r="Y267" s="575" t="s">
        <v>639</v>
      </c>
      <c r="Z267" s="575"/>
      <c r="AA267" s="575"/>
      <c r="AB267" s="569"/>
      <c r="AC267" s="569"/>
      <c r="AD267" s="566"/>
      <c r="AE267" s="566"/>
      <c r="AF267" s="566"/>
      <c r="AG267" s="566">
        <v>0</v>
      </c>
      <c r="AH267" s="566">
        <v>0</v>
      </c>
      <c r="AI267" s="566"/>
      <c r="AJ267" s="569"/>
      <c r="AK267" s="570">
        <v>0</v>
      </c>
      <c r="AL267" s="552" t="s">
        <v>195</v>
      </c>
      <c r="AM267" s="522"/>
      <c r="AN267" s="522"/>
    </row>
    <row r="268" spans="1:40" ht="15.6" customHeight="1" x14ac:dyDescent="0.25">
      <c r="A268" s="522"/>
      <c r="B268" s="560" t="s">
        <v>306</v>
      </c>
      <c r="C268" s="561" t="s">
        <v>306</v>
      </c>
      <c r="D268" s="560">
        <v>656580021</v>
      </c>
      <c r="E268" s="562">
        <v>501</v>
      </c>
      <c r="F268" s="563">
        <v>656</v>
      </c>
      <c r="G268" s="628" t="s">
        <v>361</v>
      </c>
      <c r="H268" s="565" t="s">
        <v>219</v>
      </c>
      <c r="I268" s="565">
        <v>226</v>
      </c>
      <c r="J268" s="531">
        <v>0</v>
      </c>
      <c r="K268" s="566"/>
      <c r="L268" s="567">
        <v>50000</v>
      </c>
      <c r="M268" s="567">
        <v>0</v>
      </c>
      <c r="N268" s="567">
        <v>72736.33</v>
      </c>
      <c r="O268" s="567">
        <v>0</v>
      </c>
      <c r="P268" s="567">
        <v>122736.33</v>
      </c>
      <c r="Q268" s="568">
        <f t="shared" si="3"/>
        <v>100000</v>
      </c>
      <c r="R268" s="569">
        <v>50000</v>
      </c>
      <c r="S268" s="566">
        <v>50000</v>
      </c>
      <c r="T268" s="591">
        <v>0</v>
      </c>
      <c r="U268" s="566">
        <v>0</v>
      </c>
      <c r="V268" s="569">
        <v>80000</v>
      </c>
      <c r="W268" s="566" t="s">
        <v>366</v>
      </c>
      <c r="X268" s="509"/>
      <c r="Y268" s="575"/>
      <c r="Z268" s="575"/>
      <c r="AA268" s="575"/>
      <c r="AB268" s="569"/>
      <c r="AC268" s="569"/>
      <c r="AD268" s="566"/>
      <c r="AE268" s="566"/>
      <c r="AF268" s="566"/>
      <c r="AG268" s="566">
        <v>0</v>
      </c>
      <c r="AH268" s="566">
        <v>0</v>
      </c>
      <c r="AI268" s="566"/>
      <c r="AJ268" s="569"/>
      <c r="AK268" s="570">
        <v>0</v>
      </c>
      <c r="AL268" s="552" t="s">
        <v>195</v>
      </c>
      <c r="AM268" s="522"/>
      <c r="AN268" s="522"/>
    </row>
    <row r="269" spans="1:40" ht="15.6" customHeight="1" x14ac:dyDescent="0.25">
      <c r="A269" s="522"/>
      <c r="B269" s="560" t="s">
        <v>306</v>
      </c>
      <c r="C269" s="561" t="s">
        <v>306</v>
      </c>
      <c r="D269" s="560">
        <v>656580021</v>
      </c>
      <c r="E269" s="562">
        <v>501</v>
      </c>
      <c r="F269" s="563">
        <v>656</v>
      </c>
      <c r="G269" s="628" t="s">
        <v>361</v>
      </c>
      <c r="H269" s="565" t="s">
        <v>219</v>
      </c>
      <c r="I269" s="565">
        <v>226</v>
      </c>
      <c r="J269" s="531">
        <v>0</v>
      </c>
      <c r="K269" s="566"/>
      <c r="L269" s="567">
        <v>50000</v>
      </c>
      <c r="M269" s="567">
        <v>0</v>
      </c>
      <c r="N269" s="567">
        <v>72736.33</v>
      </c>
      <c r="O269" s="567">
        <v>0</v>
      </c>
      <c r="P269" s="567">
        <v>122736.33</v>
      </c>
      <c r="Q269" s="568">
        <f t="shared" si="3"/>
        <v>100000</v>
      </c>
      <c r="R269" s="569">
        <v>50000</v>
      </c>
      <c r="S269" s="566">
        <v>50000</v>
      </c>
      <c r="T269" s="591">
        <v>0</v>
      </c>
      <c r="U269" s="566">
        <v>0</v>
      </c>
      <c r="V269" s="569">
        <v>10000</v>
      </c>
      <c r="W269" s="566" t="s">
        <v>562</v>
      </c>
      <c r="X269" s="575">
        <v>40000</v>
      </c>
      <c r="Y269" s="575" t="s">
        <v>562</v>
      </c>
      <c r="Z269" s="575"/>
      <c r="AA269" s="575"/>
      <c r="AB269" s="569"/>
      <c r="AC269" s="569"/>
      <c r="AD269" s="566"/>
      <c r="AE269" s="566"/>
      <c r="AF269" s="566"/>
      <c r="AG269" s="566">
        <v>0</v>
      </c>
      <c r="AH269" s="566">
        <v>0</v>
      </c>
      <c r="AI269" s="566"/>
      <c r="AJ269" s="569"/>
      <c r="AK269" s="570">
        <v>0</v>
      </c>
      <c r="AL269" s="552" t="s">
        <v>195</v>
      </c>
      <c r="AM269" s="522"/>
      <c r="AN269" s="522"/>
    </row>
    <row r="270" spans="1:40" ht="15.6" customHeight="1" x14ac:dyDescent="0.25">
      <c r="A270" s="522"/>
      <c r="B270" s="560" t="s">
        <v>306</v>
      </c>
      <c r="C270" s="561" t="s">
        <v>306</v>
      </c>
      <c r="D270" s="560">
        <v>656580021</v>
      </c>
      <c r="E270" s="562">
        <v>501</v>
      </c>
      <c r="F270" s="563">
        <v>656</v>
      </c>
      <c r="G270" s="628" t="s">
        <v>361</v>
      </c>
      <c r="H270" s="565" t="s">
        <v>219</v>
      </c>
      <c r="I270" s="565">
        <v>226</v>
      </c>
      <c r="J270" s="531">
        <v>0</v>
      </c>
      <c r="K270" s="566"/>
      <c r="L270" s="567">
        <v>50000</v>
      </c>
      <c r="M270" s="567">
        <v>0</v>
      </c>
      <c r="N270" s="567">
        <v>72736.33</v>
      </c>
      <c r="O270" s="567">
        <v>0</v>
      </c>
      <c r="P270" s="567">
        <v>122736.33</v>
      </c>
      <c r="Q270" s="568">
        <f t="shared" si="3"/>
        <v>100000</v>
      </c>
      <c r="R270" s="569">
        <v>50000</v>
      </c>
      <c r="S270" s="566">
        <v>50000</v>
      </c>
      <c r="T270" s="591">
        <v>0</v>
      </c>
      <c r="U270" s="566">
        <v>0</v>
      </c>
      <c r="V270" s="569">
        <v>0</v>
      </c>
      <c r="W270" s="567" t="s">
        <v>367</v>
      </c>
      <c r="X270" s="575">
        <v>50000</v>
      </c>
      <c r="Y270" s="575" t="s">
        <v>694</v>
      </c>
      <c r="Z270" s="575"/>
      <c r="AA270" s="575"/>
      <c r="AB270" s="569"/>
      <c r="AC270" s="569"/>
      <c r="AD270" s="566"/>
      <c r="AE270" s="566"/>
      <c r="AF270" s="566"/>
      <c r="AG270" s="566">
        <v>0</v>
      </c>
      <c r="AH270" s="566">
        <v>0</v>
      </c>
      <c r="AI270" s="566"/>
      <c r="AJ270" s="569"/>
      <c r="AK270" s="570">
        <v>0</v>
      </c>
      <c r="AL270" s="552" t="s">
        <v>195</v>
      </c>
      <c r="AM270" s="522"/>
      <c r="AN270" s="522"/>
    </row>
    <row r="271" spans="1:40" ht="15.6" customHeight="1" x14ac:dyDescent="0.25">
      <c r="A271" s="522"/>
      <c r="B271" s="560" t="s">
        <v>306</v>
      </c>
      <c r="C271" s="561" t="s">
        <v>306</v>
      </c>
      <c r="D271" s="560">
        <v>656580021</v>
      </c>
      <c r="E271" s="562">
        <v>501</v>
      </c>
      <c r="F271" s="563">
        <v>656</v>
      </c>
      <c r="G271" s="628" t="s">
        <v>361</v>
      </c>
      <c r="H271" s="565" t="s">
        <v>219</v>
      </c>
      <c r="I271" s="565">
        <v>226</v>
      </c>
      <c r="J271" s="531">
        <v>0</v>
      </c>
      <c r="K271" s="566"/>
      <c r="L271" s="567">
        <v>50000</v>
      </c>
      <c r="M271" s="567">
        <v>0</v>
      </c>
      <c r="N271" s="567">
        <v>72736.33</v>
      </c>
      <c r="O271" s="567">
        <v>0</v>
      </c>
      <c r="P271" s="567">
        <v>122736.33</v>
      </c>
      <c r="Q271" s="568">
        <f t="shared" si="3"/>
        <v>100000</v>
      </c>
      <c r="R271" s="569">
        <v>50000</v>
      </c>
      <c r="S271" s="566">
        <v>50000</v>
      </c>
      <c r="T271" s="591">
        <v>0</v>
      </c>
      <c r="U271" s="566">
        <v>0</v>
      </c>
      <c r="V271" s="569">
        <v>0</v>
      </c>
      <c r="W271" s="567" t="s">
        <v>371</v>
      </c>
      <c r="X271" s="575"/>
      <c r="Y271" s="575"/>
      <c r="Z271" s="575"/>
      <c r="AA271" s="575"/>
      <c r="AB271" s="569"/>
      <c r="AC271" s="569"/>
      <c r="AD271" s="566"/>
      <c r="AE271" s="566"/>
      <c r="AF271" s="566"/>
      <c r="AG271" s="566">
        <v>0</v>
      </c>
      <c r="AH271" s="566">
        <v>0</v>
      </c>
      <c r="AI271" s="566"/>
      <c r="AJ271" s="569"/>
      <c r="AK271" s="570">
        <v>0</v>
      </c>
      <c r="AL271" s="552" t="s">
        <v>195</v>
      </c>
      <c r="AM271" s="522"/>
      <c r="AN271" s="522"/>
    </row>
    <row r="272" spans="1:40" ht="15.6" customHeight="1" x14ac:dyDescent="0.25">
      <c r="A272" s="522"/>
      <c r="B272" s="559" t="s">
        <v>212</v>
      </c>
      <c r="C272" s="559"/>
      <c r="D272" s="559"/>
      <c r="E272" s="559"/>
      <c r="F272" s="559"/>
      <c r="G272" s="559"/>
      <c r="H272" s="559"/>
      <c r="I272" s="559"/>
      <c r="J272" s="559"/>
      <c r="K272" s="559"/>
      <c r="L272" s="556">
        <v>50000</v>
      </c>
      <c r="M272" s="556">
        <v>0</v>
      </c>
      <c r="N272" s="556">
        <v>72736.33</v>
      </c>
      <c r="O272" s="556">
        <v>0</v>
      </c>
      <c r="P272" s="556">
        <v>122736.33</v>
      </c>
      <c r="Q272" s="571">
        <f t="shared" si="3"/>
        <v>100000</v>
      </c>
      <c r="R272" s="591">
        <f>R267</f>
        <v>50000</v>
      </c>
      <c r="S272" s="591">
        <f>S267</f>
        <v>50000</v>
      </c>
      <c r="T272" s="591">
        <f>T267</f>
        <v>0</v>
      </c>
      <c r="U272" s="591">
        <f>U267</f>
        <v>0</v>
      </c>
      <c r="V272" s="591">
        <f>SUM(V262:V270)</f>
        <v>210000</v>
      </c>
      <c r="W272" s="590">
        <f>V272+X272</f>
        <v>397000</v>
      </c>
      <c r="X272" s="591">
        <f>SUM(X262:X271)</f>
        <v>187000</v>
      </c>
      <c r="Y272" s="592"/>
      <c r="Z272" s="591">
        <f>SUM(Z262:Z271)</f>
        <v>60000</v>
      </c>
      <c r="AA272" s="592"/>
      <c r="AB272" s="591">
        <f>AB267+AB270+AB271</f>
        <v>0</v>
      </c>
      <c r="AC272" s="591">
        <f>AC267+AC270+AC271</f>
        <v>0</v>
      </c>
      <c r="AD272" s="573"/>
      <c r="AE272" s="573"/>
      <c r="AF272" s="573"/>
      <c r="AG272" s="566">
        <v>71268.36</v>
      </c>
      <c r="AH272" s="566">
        <v>0</v>
      </c>
      <c r="AI272" s="573"/>
      <c r="AJ272" s="573"/>
      <c r="AK272" s="570">
        <v>0.58066230267761798</v>
      </c>
      <c r="AL272" s="552" t="s">
        <v>195</v>
      </c>
      <c r="AM272" s="522"/>
      <c r="AN272" s="522"/>
    </row>
    <row r="273" spans="1:40" ht="15.6" customHeight="1" x14ac:dyDescent="0.25">
      <c r="A273" s="522"/>
      <c r="B273" s="634" t="s">
        <v>305</v>
      </c>
      <c r="C273" s="634"/>
      <c r="D273" s="634"/>
      <c r="E273" s="634"/>
      <c r="F273" s="634"/>
      <c r="G273" s="634"/>
      <c r="H273" s="634"/>
      <c r="I273" s="634"/>
      <c r="J273" s="634"/>
      <c r="K273" s="634"/>
      <c r="L273" s="634"/>
      <c r="M273" s="634"/>
      <c r="N273" s="634"/>
      <c r="O273" s="634"/>
      <c r="P273" s="634"/>
      <c r="Q273" s="634"/>
      <c r="R273" s="634"/>
      <c r="S273" s="634"/>
      <c r="T273" s="634"/>
      <c r="U273" s="634"/>
      <c r="V273" s="634"/>
      <c r="W273" s="634"/>
      <c r="X273" s="634"/>
      <c r="Y273" s="634"/>
      <c r="Z273" s="634"/>
      <c r="AA273" s="634"/>
      <c r="AB273" s="634"/>
      <c r="AC273" s="634"/>
      <c r="AD273" s="634"/>
      <c r="AE273" s="634"/>
      <c r="AF273" s="634"/>
      <c r="AG273" s="634"/>
      <c r="AH273" s="634"/>
      <c r="AI273" s="634"/>
      <c r="AJ273" s="634"/>
      <c r="AK273" s="634"/>
      <c r="AL273" s="552" t="s">
        <v>195</v>
      </c>
      <c r="AM273" s="522"/>
      <c r="AN273" s="522"/>
    </row>
    <row r="274" spans="1:40" ht="15.6" customHeight="1" x14ac:dyDescent="0.25">
      <c r="A274" s="522"/>
      <c r="B274" s="560" t="s">
        <v>307</v>
      </c>
      <c r="C274" s="561" t="s">
        <v>307</v>
      </c>
      <c r="D274" s="560"/>
      <c r="E274" s="562"/>
      <c r="F274" s="563">
        <v>656</v>
      </c>
      <c r="G274" s="564"/>
      <c r="H274" s="565"/>
      <c r="I274" s="565"/>
      <c r="J274" s="531">
        <v>0</v>
      </c>
      <c r="K274" s="566"/>
      <c r="L274" s="567">
        <v>7678790.8800000008</v>
      </c>
      <c r="M274" s="567">
        <v>3204357.92</v>
      </c>
      <c r="N274" s="567">
        <v>4241000</v>
      </c>
      <c r="O274" s="567">
        <v>9104440</v>
      </c>
      <c r="P274" s="567">
        <v>24228588.800000001</v>
      </c>
      <c r="Q274" s="568"/>
      <c r="R274" s="566"/>
      <c r="S274" s="566"/>
      <c r="T274" s="566"/>
      <c r="U274" s="566"/>
      <c r="V274" s="569"/>
      <c r="W274" s="566"/>
      <c r="X274" s="575"/>
      <c r="Y274" s="575"/>
      <c r="Z274" s="575"/>
      <c r="AA274" s="575"/>
      <c r="AB274" s="566"/>
      <c r="AC274" s="617"/>
      <c r="AD274" s="566"/>
      <c r="AE274" s="566"/>
      <c r="AF274" s="566"/>
      <c r="AG274" s="566">
        <v>12101761.369999999</v>
      </c>
      <c r="AH274" s="566">
        <v>0</v>
      </c>
      <c r="AI274" s="566"/>
      <c r="AJ274" s="569"/>
      <c r="AK274" s="570">
        <v>0.49948271729305177</v>
      </c>
      <c r="AL274" s="552" t="s">
        <v>195</v>
      </c>
      <c r="AM274" s="522"/>
      <c r="AN274" s="522"/>
    </row>
    <row r="275" spans="1:40" ht="15.6" customHeight="1" x14ac:dyDescent="0.25">
      <c r="A275" s="522"/>
      <c r="B275" s="559" t="s">
        <v>212</v>
      </c>
      <c r="C275" s="559"/>
      <c r="D275" s="559"/>
      <c r="E275" s="559"/>
      <c r="F275" s="559"/>
      <c r="G275" s="559"/>
      <c r="H275" s="559"/>
      <c r="I275" s="559"/>
      <c r="J275" s="559"/>
      <c r="K275" s="559"/>
      <c r="L275" s="556">
        <v>7678790.8799999999</v>
      </c>
      <c r="M275" s="556">
        <v>3204357.92</v>
      </c>
      <c r="N275" s="556">
        <v>4241000</v>
      </c>
      <c r="O275" s="556">
        <v>9104440</v>
      </c>
      <c r="P275" s="556">
        <v>24228588.800000001</v>
      </c>
      <c r="Q275" s="568"/>
      <c r="R275" s="590"/>
      <c r="S275" s="566"/>
      <c r="T275" s="590"/>
      <c r="U275" s="566"/>
      <c r="V275" s="591"/>
      <c r="W275" s="590"/>
      <c r="X275" s="592"/>
      <c r="Y275" s="592"/>
      <c r="Z275" s="592"/>
      <c r="AA275" s="592"/>
      <c r="AB275" s="590"/>
      <c r="AC275" s="618"/>
      <c r="AD275" s="573"/>
      <c r="AE275" s="573"/>
      <c r="AF275" s="573"/>
      <c r="AG275" s="566">
        <v>12101761.369999999</v>
      </c>
      <c r="AH275" s="566">
        <v>0</v>
      </c>
      <c r="AI275" s="573"/>
      <c r="AJ275" s="573"/>
      <c r="AK275" s="570">
        <v>0.49948271729305177</v>
      </c>
      <c r="AL275" s="552" t="s">
        <v>195</v>
      </c>
      <c r="AM275" s="522"/>
      <c r="AN275" s="522"/>
    </row>
    <row r="276" spans="1:40" ht="15.6" customHeight="1" x14ac:dyDescent="0.25">
      <c r="A276" s="522"/>
      <c r="B276" s="561"/>
      <c r="C276" s="561"/>
      <c r="D276" s="589" t="s">
        <v>224</v>
      </c>
      <c r="E276" s="589"/>
      <c r="F276" s="589"/>
      <c r="G276" s="589"/>
      <c r="H276" s="589"/>
      <c r="I276" s="589"/>
      <c r="J276" s="589"/>
      <c r="K276" s="589"/>
      <c r="L276" s="589"/>
      <c r="M276" s="589"/>
      <c r="N276" s="589"/>
      <c r="O276" s="589"/>
      <c r="P276" s="589"/>
      <c r="Q276" s="589"/>
      <c r="R276" s="589"/>
      <c r="S276" s="589"/>
      <c r="T276" s="589"/>
      <c r="U276" s="589"/>
      <c r="V276" s="589"/>
      <c r="W276" s="589"/>
      <c r="X276" s="589"/>
      <c r="Y276" s="589"/>
      <c r="Z276" s="589"/>
      <c r="AA276" s="589"/>
      <c r="AB276" s="589"/>
      <c r="AC276" s="589"/>
      <c r="AD276" s="590"/>
      <c r="AE276" s="590"/>
      <c r="AF276" s="590"/>
      <c r="AG276" s="566"/>
      <c r="AH276" s="566"/>
      <c r="AI276" s="590"/>
      <c r="AJ276" s="590"/>
      <c r="AK276" s="570"/>
      <c r="AL276" s="552"/>
      <c r="AM276" s="522"/>
      <c r="AN276" s="522"/>
    </row>
    <row r="277" spans="1:40" ht="15.6" customHeight="1" x14ac:dyDescent="0.25">
      <c r="A277" s="522"/>
      <c r="B277" s="561"/>
      <c r="C277" s="561"/>
      <c r="D277" s="620" t="s">
        <v>308</v>
      </c>
      <c r="E277" s="620"/>
      <c r="F277" s="620"/>
      <c r="G277" s="620"/>
      <c r="H277" s="620"/>
      <c r="I277" s="620"/>
      <c r="J277" s="620"/>
      <c r="K277" s="620"/>
      <c r="L277" s="620"/>
      <c r="M277" s="620"/>
      <c r="N277" s="620"/>
      <c r="O277" s="620"/>
      <c r="P277" s="620"/>
      <c r="Q277" s="620"/>
      <c r="R277" s="620"/>
      <c r="S277" s="620"/>
      <c r="T277" s="620"/>
      <c r="U277" s="620"/>
      <c r="V277" s="620"/>
      <c r="W277" s="620"/>
      <c r="X277" s="620"/>
      <c r="Y277" s="620"/>
      <c r="Z277" s="620"/>
      <c r="AA277" s="620"/>
      <c r="AB277" s="620"/>
      <c r="AC277" s="620"/>
      <c r="AD277" s="590"/>
      <c r="AE277" s="590"/>
      <c r="AF277" s="590"/>
      <c r="AG277" s="566"/>
      <c r="AH277" s="566"/>
      <c r="AI277" s="590"/>
      <c r="AJ277" s="590"/>
      <c r="AK277" s="570"/>
      <c r="AL277" s="552"/>
      <c r="AM277" s="522"/>
      <c r="AN277" s="522"/>
    </row>
    <row r="278" spans="1:40" ht="15.6" customHeight="1" x14ac:dyDescent="0.25">
      <c r="A278" s="522"/>
      <c r="B278" s="559" t="s">
        <v>309</v>
      </c>
      <c r="C278" s="559"/>
      <c r="D278" s="559"/>
      <c r="E278" s="559"/>
      <c r="F278" s="559"/>
      <c r="G278" s="559"/>
      <c r="H278" s="559"/>
      <c r="I278" s="559"/>
      <c r="J278" s="559"/>
      <c r="K278" s="559"/>
      <c r="L278" s="559"/>
      <c r="M278" s="559"/>
      <c r="N278" s="559"/>
      <c r="O278" s="559"/>
      <c r="P278" s="559"/>
      <c r="Q278" s="559"/>
      <c r="R278" s="559"/>
      <c r="S278" s="559"/>
      <c r="T278" s="559"/>
      <c r="U278" s="559"/>
      <c r="V278" s="559"/>
      <c r="W278" s="559"/>
      <c r="X278" s="559"/>
      <c r="Y278" s="559"/>
      <c r="Z278" s="559"/>
      <c r="AA278" s="559"/>
      <c r="AB278" s="559"/>
      <c r="AC278" s="559"/>
      <c r="AD278" s="559"/>
      <c r="AE278" s="559"/>
      <c r="AF278" s="559"/>
      <c r="AG278" s="559"/>
      <c r="AH278" s="559"/>
      <c r="AI278" s="559"/>
      <c r="AJ278" s="559"/>
      <c r="AK278" s="559"/>
      <c r="AL278" s="552" t="s">
        <v>195</v>
      </c>
      <c r="AM278" s="522"/>
      <c r="AN278" s="522"/>
    </row>
    <row r="279" spans="1:40" ht="15.6" customHeight="1" x14ac:dyDescent="0.25">
      <c r="A279" s="522"/>
      <c r="B279" s="560" t="s">
        <v>310</v>
      </c>
      <c r="C279" s="561" t="s">
        <v>310</v>
      </c>
      <c r="D279" s="560">
        <v>656570031</v>
      </c>
      <c r="E279" s="562">
        <v>501</v>
      </c>
      <c r="F279" s="563">
        <v>656</v>
      </c>
      <c r="G279" s="628" t="s">
        <v>531</v>
      </c>
      <c r="H279" s="565" t="s">
        <v>226</v>
      </c>
      <c r="I279" s="565">
        <v>251</v>
      </c>
      <c r="J279" s="531">
        <v>0</v>
      </c>
      <c r="K279" s="566"/>
      <c r="L279" s="567">
        <v>0</v>
      </c>
      <c r="M279" s="567">
        <v>0</v>
      </c>
      <c r="N279" s="567">
        <v>0</v>
      </c>
      <c r="O279" s="567">
        <v>0</v>
      </c>
      <c r="P279" s="567">
        <v>0</v>
      </c>
      <c r="Q279" s="568">
        <f>R279+S279+T279+U279</f>
        <v>4652999.99</v>
      </c>
      <c r="R279" s="568">
        <f>1163250+723412.19</f>
        <v>1886662.19</v>
      </c>
      <c r="S279" s="568">
        <f>1163250-574987.11</f>
        <v>588262.89</v>
      </c>
      <c r="T279" s="568">
        <f>1163250-338753.72</f>
        <v>824496.28</v>
      </c>
      <c r="U279" s="568">
        <f>1163250+190328.63</f>
        <v>1353578.63</v>
      </c>
      <c r="V279" s="569">
        <v>13743411.68</v>
      </c>
      <c r="W279" s="566" t="s">
        <v>311</v>
      </c>
      <c r="X279" s="575"/>
      <c r="Y279" s="575"/>
      <c r="Z279" s="575"/>
      <c r="AA279" s="575"/>
      <c r="AB279" s="566"/>
      <c r="AC279" s="617"/>
      <c r="AD279" s="566"/>
      <c r="AE279" s="566"/>
      <c r="AF279" s="566"/>
      <c r="AG279" s="566">
        <v>0</v>
      </c>
      <c r="AH279" s="566">
        <v>0</v>
      </c>
      <c r="AI279" s="566"/>
      <c r="AJ279" s="569"/>
      <c r="AK279" s="570"/>
      <c r="AL279" s="552" t="s">
        <v>195</v>
      </c>
      <c r="AM279" s="522"/>
      <c r="AN279" s="522"/>
    </row>
    <row r="280" spans="1:40" ht="15.6" customHeight="1" x14ac:dyDescent="0.25">
      <c r="A280" s="522"/>
      <c r="B280" s="560" t="s">
        <v>310</v>
      </c>
      <c r="C280" s="561" t="s">
        <v>310</v>
      </c>
      <c r="D280" s="560">
        <v>656570031</v>
      </c>
      <c r="E280" s="562">
        <v>502</v>
      </c>
      <c r="F280" s="563">
        <v>656</v>
      </c>
      <c r="G280" s="628" t="s">
        <v>362</v>
      </c>
      <c r="H280" s="565" t="s">
        <v>226</v>
      </c>
      <c r="I280" s="565">
        <v>251</v>
      </c>
      <c r="J280" s="531">
        <v>0</v>
      </c>
      <c r="K280" s="566"/>
      <c r="L280" s="567">
        <v>0</v>
      </c>
      <c r="M280" s="567">
        <v>0</v>
      </c>
      <c r="N280" s="567">
        <v>0</v>
      </c>
      <c r="O280" s="567">
        <v>0</v>
      </c>
      <c r="P280" s="567">
        <v>0</v>
      </c>
      <c r="Q280" s="568">
        <f>R280+S280+T280+U280</f>
        <v>4652999.99</v>
      </c>
      <c r="R280" s="568">
        <f>1163250+723412.19</f>
        <v>1886662.19</v>
      </c>
      <c r="S280" s="568">
        <f>1163250-574987.11</f>
        <v>588262.89</v>
      </c>
      <c r="T280" s="568">
        <f>1163250-338753.72</f>
        <v>824496.28</v>
      </c>
      <c r="U280" s="568">
        <f>1163250+190328.63</f>
        <v>1353578.63</v>
      </c>
      <c r="V280" s="569">
        <v>10637920</v>
      </c>
      <c r="W280" s="566" t="s">
        <v>311</v>
      </c>
      <c r="X280" s="575"/>
      <c r="Y280" s="575"/>
      <c r="Z280" s="575"/>
      <c r="AA280" s="575"/>
      <c r="AB280" s="566"/>
      <c r="AC280" s="617"/>
      <c r="AD280" s="566"/>
      <c r="AE280" s="566"/>
      <c r="AF280" s="566"/>
      <c r="AG280" s="566">
        <v>0</v>
      </c>
      <c r="AH280" s="566">
        <v>0</v>
      </c>
      <c r="AI280" s="566"/>
      <c r="AJ280" s="569"/>
      <c r="AK280" s="570"/>
      <c r="AL280" s="552" t="s">
        <v>195</v>
      </c>
      <c r="AM280" s="522"/>
      <c r="AN280" s="522"/>
    </row>
    <row r="281" spans="1:40" ht="15.6" customHeight="1" x14ac:dyDescent="0.25">
      <c r="A281" s="522"/>
      <c r="B281" s="559" t="s">
        <v>212</v>
      </c>
      <c r="C281" s="559"/>
      <c r="D281" s="559"/>
      <c r="E281" s="559"/>
      <c r="F281" s="559"/>
      <c r="G281" s="559"/>
      <c r="H281" s="559"/>
      <c r="I281" s="559"/>
      <c r="J281" s="559"/>
      <c r="K281" s="559"/>
      <c r="L281" s="556">
        <v>0</v>
      </c>
      <c r="M281" s="556">
        <v>0</v>
      </c>
      <c r="N281" s="556">
        <v>0</v>
      </c>
      <c r="O281" s="556">
        <v>0</v>
      </c>
      <c r="P281" s="556">
        <v>0</v>
      </c>
      <c r="Q281" s="571">
        <f>R281+S281+T281+U281</f>
        <v>4652999.99</v>
      </c>
      <c r="R281" s="591">
        <f>R280</f>
        <v>1886662.19</v>
      </c>
      <c r="S281" s="591">
        <f>S280</f>
        <v>588262.89</v>
      </c>
      <c r="T281" s="591">
        <f>T280</f>
        <v>824496.28</v>
      </c>
      <c r="U281" s="591">
        <f>U280</f>
        <v>1353578.63</v>
      </c>
      <c r="V281" s="591">
        <f>V279+V280</f>
        <v>24381331.68</v>
      </c>
      <c r="W281" s="590"/>
      <c r="X281" s="592"/>
      <c r="Y281" s="592"/>
      <c r="Z281" s="592"/>
      <c r="AA281" s="592"/>
      <c r="AB281" s="591">
        <f>AB280</f>
        <v>0</v>
      </c>
      <c r="AC281" s="591">
        <f>AC280</f>
        <v>0</v>
      </c>
      <c r="AD281" s="573"/>
      <c r="AE281" s="573"/>
      <c r="AF281" s="573"/>
      <c r="AG281" s="566">
        <v>0</v>
      </c>
      <c r="AH281" s="566">
        <v>0</v>
      </c>
      <c r="AI281" s="573"/>
      <c r="AJ281" s="573"/>
      <c r="AK281" s="570"/>
      <c r="AL281" s="552" t="s">
        <v>195</v>
      </c>
      <c r="AM281" s="522"/>
      <c r="AN281" s="522"/>
    </row>
    <row r="282" spans="1:40" ht="15.6" customHeight="1" x14ac:dyDescent="0.25">
      <c r="A282" s="522"/>
      <c r="B282" s="559"/>
      <c r="C282" s="559"/>
      <c r="D282" s="559"/>
      <c r="E282" s="559"/>
      <c r="F282" s="559"/>
      <c r="G282" s="559"/>
      <c r="H282" s="559"/>
      <c r="I282" s="559"/>
      <c r="J282" s="559"/>
      <c r="K282" s="559"/>
      <c r="L282" s="559"/>
      <c r="M282" s="559"/>
      <c r="N282" s="559"/>
      <c r="O282" s="559"/>
      <c r="P282" s="559"/>
      <c r="Q282" s="559"/>
      <c r="R282" s="559"/>
      <c r="S282" s="559"/>
      <c r="T282" s="559"/>
      <c r="U282" s="559"/>
      <c r="V282" s="559"/>
      <c r="W282" s="559"/>
      <c r="X282" s="559"/>
      <c r="Y282" s="559"/>
      <c r="Z282" s="559"/>
      <c r="AA282" s="559"/>
      <c r="AB282" s="559"/>
      <c r="AC282" s="559"/>
      <c r="AD282" s="559"/>
      <c r="AE282" s="559"/>
      <c r="AF282" s="559"/>
      <c r="AG282" s="559"/>
      <c r="AH282" s="559"/>
      <c r="AI282" s="559"/>
      <c r="AJ282" s="559"/>
      <c r="AK282" s="559"/>
      <c r="AL282" s="552" t="s">
        <v>195</v>
      </c>
      <c r="AM282" s="522"/>
      <c r="AN282" s="522"/>
    </row>
    <row r="283" spans="1:40" ht="12.75" customHeight="1" x14ac:dyDescent="0.25">
      <c r="A283" s="522"/>
      <c r="B283" s="560"/>
      <c r="C283" s="561"/>
      <c r="D283" s="560"/>
      <c r="E283" s="562"/>
      <c r="F283" s="563"/>
      <c r="G283" s="564"/>
      <c r="H283" s="565"/>
      <c r="I283" s="565"/>
      <c r="J283" s="531"/>
      <c r="K283" s="566"/>
      <c r="L283" s="567"/>
      <c r="M283" s="567"/>
      <c r="N283" s="567"/>
      <c r="O283" s="567"/>
      <c r="P283" s="567"/>
      <c r="Q283" s="568"/>
      <c r="R283" s="566"/>
      <c r="S283" s="566"/>
      <c r="T283" s="566"/>
      <c r="U283" s="566"/>
      <c r="V283" s="569"/>
      <c r="W283" s="566"/>
      <c r="X283" s="575"/>
      <c r="Y283" s="575"/>
      <c r="Z283" s="575"/>
      <c r="AA283" s="575"/>
      <c r="AB283" s="566"/>
      <c r="AC283" s="617"/>
      <c r="AD283" s="566"/>
      <c r="AE283" s="566"/>
      <c r="AF283" s="566"/>
      <c r="AG283" s="566"/>
      <c r="AH283" s="566"/>
      <c r="AI283" s="566"/>
      <c r="AJ283" s="569"/>
      <c r="AK283" s="570"/>
      <c r="AL283" s="552" t="s">
        <v>195</v>
      </c>
      <c r="AM283" s="522"/>
      <c r="AN283" s="522"/>
    </row>
    <row r="284" spans="1:40" ht="33.75" customHeight="1" x14ac:dyDescent="0.25">
      <c r="A284" s="522"/>
      <c r="B284" s="559"/>
      <c r="C284" s="559"/>
      <c r="D284" s="559"/>
      <c r="E284" s="559"/>
      <c r="F284" s="559"/>
      <c r="G284" s="559"/>
      <c r="H284" s="559"/>
      <c r="I284" s="559"/>
      <c r="J284" s="559"/>
      <c r="K284" s="559"/>
      <c r="L284" s="556"/>
      <c r="M284" s="556"/>
      <c r="N284" s="556"/>
      <c r="O284" s="556"/>
      <c r="P284" s="556"/>
      <c r="Q284" s="568"/>
      <c r="R284" s="590"/>
      <c r="S284" s="566"/>
      <c r="T284" s="590"/>
      <c r="U284" s="566"/>
      <c r="V284" s="591"/>
      <c r="W284" s="590"/>
      <c r="X284" s="592"/>
      <c r="Y284" s="592"/>
      <c r="Z284" s="592"/>
      <c r="AA284" s="592"/>
      <c r="AB284" s="590"/>
      <c r="AC284" s="618"/>
      <c r="AD284" s="573"/>
      <c r="AE284" s="573"/>
      <c r="AF284" s="573"/>
      <c r="AG284" s="566"/>
      <c r="AH284" s="566"/>
      <c r="AI284" s="573"/>
      <c r="AJ284" s="573"/>
      <c r="AK284" s="570"/>
      <c r="AL284" s="552" t="s">
        <v>195</v>
      </c>
      <c r="AM284" s="522"/>
      <c r="AN284" s="522"/>
    </row>
    <row r="285" spans="1:40" ht="12.75" customHeight="1" x14ac:dyDescent="0.25">
      <c r="A285" s="522"/>
      <c r="B285" s="559"/>
      <c r="C285" s="559"/>
      <c r="D285" s="559"/>
      <c r="E285" s="559"/>
      <c r="F285" s="559"/>
      <c r="G285" s="559"/>
      <c r="H285" s="559"/>
      <c r="I285" s="559"/>
      <c r="J285" s="559"/>
      <c r="K285" s="559"/>
      <c r="L285" s="559"/>
      <c r="M285" s="559"/>
      <c r="N285" s="559"/>
      <c r="O285" s="559"/>
      <c r="P285" s="559"/>
      <c r="Q285" s="559"/>
      <c r="R285" s="559"/>
      <c r="S285" s="559"/>
      <c r="T285" s="559"/>
      <c r="U285" s="559"/>
      <c r="V285" s="559"/>
      <c r="W285" s="559"/>
      <c r="X285" s="559"/>
      <c r="Y285" s="559"/>
      <c r="Z285" s="559"/>
      <c r="AA285" s="559"/>
      <c r="AB285" s="559"/>
      <c r="AC285" s="559"/>
      <c r="AD285" s="559"/>
      <c r="AE285" s="559"/>
      <c r="AF285" s="559"/>
      <c r="AG285" s="559"/>
      <c r="AH285" s="559"/>
      <c r="AI285" s="559"/>
      <c r="AJ285" s="559"/>
      <c r="AK285" s="559"/>
      <c r="AL285" s="552" t="s">
        <v>195</v>
      </c>
      <c r="AM285" s="522"/>
      <c r="AN285" s="522"/>
    </row>
    <row r="286" spans="1:40" ht="12.75" customHeight="1" x14ac:dyDescent="0.25">
      <c r="A286" s="522"/>
      <c r="B286" s="560"/>
      <c r="C286" s="561"/>
      <c r="D286" s="560"/>
      <c r="E286" s="562"/>
      <c r="F286" s="563"/>
      <c r="G286" s="564"/>
      <c r="H286" s="565"/>
      <c r="I286" s="565"/>
      <c r="J286" s="531"/>
      <c r="K286" s="566"/>
      <c r="L286" s="567"/>
      <c r="M286" s="567"/>
      <c r="N286" s="567"/>
      <c r="O286" s="567"/>
      <c r="P286" s="567"/>
      <c r="Q286" s="568"/>
      <c r="R286" s="566"/>
      <c r="S286" s="566"/>
      <c r="T286" s="566"/>
      <c r="U286" s="566"/>
      <c r="V286" s="569"/>
      <c r="W286" s="566"/>
      <c r="X286" s="575"/>
      <c r="Y286" s="575"/>
      <c r="Z286" s="575"/>
      <c r="AA286" s="575"/>
      <c r="AB286" s="566"/>
      <c r="AC286" s="617"/>
      <c r="AD286" s="566"/>
      <c r="AE286" s="566"/>
      <c r="AF286" s="566"/>
      <c r="AG286" s="566"/>
      <c r="AH286" s="566"/>
      <c r="AI286" s="566"/>
      <c r="AJ286" s="569"/>
      <c r="AK286" s="570"/>
      <c r="AL286" s="552" t="s">
        <v>195</v>
      </c>
      <c r="AM286" s="522"/>
      <c r="AN286" s="522"/>
    </row>
    <row r="287" spans="1:40" ht="12.75" customHeight="1" x14ac:dyDescent="0.25">
      <c r="A287" s="522"/>
      <c r="B287" s="559"/>
      <c r="C287" s="559"/>
      <c r="D287" s="559"/>
      <c r="E287" s="559"/>
      <c r="F287" s="559"/>
      <c r="G287" s="559"/>
      <c r="H287" s="559"/>
      <c r="I287" s="559"/>
      <c r="J287" s="559"/>
      <c r="K287" s="559"/>
      <c r="L287" s="556"/>
      <c r="M287" s="556"/>
      <c r="N287" s="556"/>
      <c r="O287" s="556"/>
      <c r="P287" s="556"/>
      <c r="Q287" s="568"/>
      <c r="R287" s="590"/>
      <c r="S287" s="566"/>
      <c r="T287" s="590"/>
      <c r="U287" s="566"/>
      <c r="V287" s="591"/>
      <c r="W287" s="590"/>
      <c r="X287" s="592"/>
      <c r="Y287" s="592"/>
      <c r="Z287" s="592"/>
      <c r="AA287" s="592"/>
      <c r="AB287" s="590"/>
      <c r="AC287" s="618"/>
      <c r="AD287" s="573"/>
      <c r="AE287" s="573"/>
      <c r="AF287" s="573"/>
      <c r="AG287" s="566"/>
      <c r="AH287" s="566"/>
      <c r="AI287" s="573"/>
      <c r="AJ287" s="573"/>
      <c r="AK287" s="570"/>
      <c r="AL287" s="552" t="s">
        <v>195</v>
      </c>
      <c r="AM287" s="522"/>
      <c r="AN287" s="522"/>
    </row>
    <row r="288" spans="1:40" ht="12.75" customHeight="1" x14ac:dyDescent="0.25">
      <c r="A288" s="522"/>
      <c r="B288" s="559"/>
      <c r="C288" s="559"/>
      <c r="D288" s="559"/>
      <c r="E288" s="559"/>
      <c r="F288" s="559"/>
      <c r="G288" s="559"/>
      <c r="H288" s="559"/>
      <c r="I288" s="559"/>
      <c r="J288" s="559"/>
      <c r="K288" s="559"/>
      <c r="L288" s="559"/>
      <c r="M288" s="559"/>
      <c r="N288" s="559"/>
      <c r="O288" s="559"/>
      <c r="P288" s="559"/>
      <c r="Q288" s="559"/>
      <c r="R288" s="559"/>
      <c r="S288" s="559"/>
      <c r="T288" s="559"/>
      <c r="U288" s="559"/>
      <c r="V288" s="559"/>
      <c r="W288" s="559"/>
      <c r="X288" s="559"/>
      <c r="Y288" s="559"/>
      <c r="Z288" s="559"/>
      <c r="AA288" s="559"/>
      <c r="AB288" s="559"/>
      <c r="AC288" s="559"/>
      <c r="AD288" s="559"/>
      <c r="AE288" s="559"/>
      <c r="AF288" s="559"/>
      <c r="AG288" s="559"/>
      <c r="AH288" s="559"/>
      <c r="AI288" s="559"/>
      <c r="AJ288" s="559"/>
      <c r="AK288" s="559"/>
      <c r="AL288" s="552" t="s">
        <v>195</v>
      </c>
      <c r="AM288" s="522"/>
      <c r="AN288" s="522"/>
    </row>
    <row r="289" spans="1:40" ht="12.75" customHeight="1" x14ac:dyDescent="0.25">
      <c r="A289" s="522"/>
      <c r="B289" s="560"/>
      <c r="C289" s="561"/>
      <c r="D289" s="560"/>
      <c r="E289" s="562"/>
      <c r="F289" s="563"/>
      <c r="G289" s="564"/>
      <c r="H289" s="565"/>
      <c r="I289" s="565"/>
      <c r="J289" s="531"/>
      <c r="K289" s="566"/>
      <c r="L289" s="567"/>
      <c r="M289" s="567"/>
      <c r="N289" s="567"/>
      <c r="O289" s="567"/>
      <c r="P289" s="567"/>
      <c r="Q289" s="568"/>
      <c r="R289" s="566"/>
      <c r="S289" s="566"/>
      <c r="T289" s="566"/>
      <c r="U289" s="566"/>
      <c r="V289" s="569"/>
      <c r="W289" s="566"/>
      <c r="X289" s="575"/>
      <c r="Y289" s="575"/>
      <c r="Z289" s="575"/>
      <c r="AA289" s="575"/>
      <c r="AB289" s="566"/>
      <c r="AC289" s="617"/>
      <c r="AD289" s="566"/>
      <c r="AE289" s="566"/>
      <c r="AF289" s="566"/>
      <c r="AG289" s="566"/>
      <c r="AH289" s="566"/>
      <c r="AI289" s="566"/>
      <c r="AJ289" s="569"/>
      <c r="AK289" s="570"/>
      <c r="AL289" s="552" t="s">
        <v>195</v>
      </c>
      <c r="AM289" s="522"/>
      <c r="AN289" s="522"/>
    </row>
    <row r="290" spans="1:40" ht="12.75" customHeight="1" x14ac:dyDescent="0.25">
      <c r="A290" s="522"/>
      <c r="B290" s="559"/>
      <c r="C290" s="559"/>
      <c r="D290" s="559"/>
      <c r="E290" s="559"/>
      <c r="F290" s="559"/>
      <c r="G290" s="559"/>
      <c r="H290" s="559"/>
      <c r="I290" s="559"/>
      <c r="J290" s="559"/>
      <c r="K290" s="559"/>
      <c r="L290" s="556"/>
      <c r="M290" s="556"/>
      <c r="N290" s="556"/>
      <c r="O290" s="556"/>
      <c r="P290" s="556"/>
      <c r="Q290" s="568"/>
      <c r="R290" s="590"/>
      <c r="S290" s="566"/>
      <c r="T290" s="590"/>
      <c r="U290" s="566"/>
      <c r="V290" s="591"/>
      <c r="W290" s="590"/>
      <c r="X290" s="592"/>
      <c r="Y290" s="592"/>
      <c r="Z290" s="592"/>
      <c r="AA290" s="592"/>
      <c r="AB290" s="590"/>
      <c r="AC290" s="618"/>
      <c r="AD290" s="573"/>
      <c r="AE290" s="573"/>
      <c r="AF290" s="573"/>
      <c r="AG290" s="566"/>
      <c r="AH290" s="566"/>
      <c r="AI290" s="573"/>
      <c r="AJ290" s="573"/>
      <c r="AK290" s="570"/>
      <c r="AL290" s="552" t="s">
        <v>195</v>
      </c>
      <c r="AM290" s="522"/>
      <c r="AN290" s="522"/>
    </row>
    <row r="291" spans="1:40" ht="12.75" customHeight="1" x14ac:dyDescent="0.25">
      <c r="A291" s="522"/>
      <c r="B291" s="559"/>
      <c r="C291" s="559"/>
      <c r="D291" s="559"/>
      <c r="E291" s="559"/>
      <c r="F291" s="559"/>
      <c r="G291" s="559"/>
      <c r="H291" s="559"/>
      <c r="I291" s="559"/>
      <c r="J291" s="559"/>
      <c r="K291" s="559"/>
      <c r="L291" s="559"/>
      <c r="M291" s="559"/>
      <c r="N291" s="559"/>
      <c r="O291" s="559"/>
      <c r="P291" s="559"/>
      <c r="Q291" s="559"/>
      <c r="R291" s="559"/>
      <c r="S291" s="559"/>
      <c r="T291" s="559"/>
      <c r="U291" s="559"/>
      <c r="V291" s="559"/>
      <c r="W291" s="559"/>
      <c r="X291" s="559"/>
      <c r="Y291" s="559"/>
      <c r="Z291" s="559"/>
      <c r="AA291" s="559"/>
      <c r="AB291" s="559"/>
      <c r="AC291" s="559"/>
      <c r="AD291" s="559"/>
      <c r="AE291" s="559"/>
      <c r="AF291" s="559"/>
      <c r="AG291" s="559"/>
      <c r="AH291" s="559"/>
      <c r="AI291" s="559"/>
      <c r="AJ291" s="559"/>
      <c r="AK291" s="559"/>
      <c r="AL291" s="552" t="s">
        <v>195</v>
      </c>
      <c r="AM291" s="522"/>
      <c r="AN291" s="522"/>
    </row>
    <row r="292" spans="1:40" ht="12.75" customHeight="1" x14ac:dyDescent="0.25">
      <c r="A292" s="522"/>
      <c r="B292" s="560"/>
      <c r="C292" s="561"/>
      <c r="D292" s="560"/>
      <c r="E292" s="562"/>
      <c r="F292" s="563"/>
      <c r="G292" s="564"/>
      <c r="H292" s="565"/>
      <c r="I292" s="565"/>
      <c r="J292" s="531"/>
      <c r="K292" s="566"/>
      <c r="L292" s="567"/>
      <c r="M292" s="567"/>
      <c r="N292" s="567"/>
      <c r="O292" s="567"/>
      <c r="P292" s="567"/>
      <c r="Q292" s="568"/>
      <c r="R292" s="566"/>
      <c r="S292" s="566"/>
      <c r="T292" s="566"/>
      <c r="U292" s="566"/>
      <c r="V292" s="569"/>
      <c r="W292" s="566"/>
      <c r="X292" s="575"/>
      <c r="Y292" s="575"/>
      <c r="Z292" s="575"/>
      <c r="AA292" s="575"/>
      <c r="AB292" s="566"/>
      <c r="AC292" s="617"/>
      <c r="AD292" s="566"/>
      <c r="AE292" s="566"/>
      <c r="AF292" s="566"/>
      <c r="AG292" s="566"/>
      <c r="AH292" s="566"/>
      <c r="AI292" s="566"/>
      <c r="AJ292" s="569"/>
      <c r="AK292" s="570"/>
      <c r="AL292" s="552" t="s">
        <v>195</v>
      </c>
      <c r="AM292" s="522"/>
      <c r="AN292" s="522"/>
    </row>
    <row r="293" spans="1:40" ht="12.75" customHeight="1" x14ac:dyDescent="0.25">
      <c r="A293" s="522"/>
      <c r="B293" s="559"/>
      <c r="C293" s="559"/>
      <c r="D293" s="559"/>
      <c r="E293" s="559"/>
      <c r="F293" s="559"/>
      <c r="G293" s="559"/>
      <c r="H293" s="559"/>
      <c r="I293" s="559"/>
      <c r="J293" s="559"/>
      <c r="K293" s="559"/>
      <c r="L293" s="556"/>
      <c r="M293" s="556"/>
      <c r="N293" s="556"/>
      <c r="O293" s="556"/>
      <c r="P293" s="556"/>
      <c r="Q293" s="568"/>
      <c r="R293" s="590"/>
      <c r="S293" s="566"/>
      <c r="T293" s="590"/>
      <c r="U293" s="566"/>
      <c r="V293" s="591"/>
      <c r="W293" s="590"/>
      <c r="X293" s="592"/>
      <c r="Y293" s="592"/>
      <c r="Z293" s="592"/>
      <c r="AA293" s="592"/>
      <c r="AB293" s="590"/>
      <c r="AC293" s="618"/>
      <c r="AD293" s="573"/>
      <c r="AE293" s="573"/>
      <c r="AF293" s="573"/>
      <c r="AG293" s="566"/>
      <c r="AH293" s="566"/>
      <c r="AI293" s="573"/>
      <c r="AJ293" s="573"/>
      <c r="AK293" s="570"/>
      <c r="AL293" s="552" t="s">
        <v>195</v>
      </c>
      <c r="AM293" s="522"/>
      <c r="AN293" s="522"/>
    </row>
    <row r="294" spans="1:40" ht="12.75" customHeight="1" x14ac:dyDescent="0.25">
      <c r="A294" s="522"/>
      <c r="B294" s="559"/>
      <c r="C294" s="559"/>
      <c r="D294" s="559"/>
      <c r="E294" s="559"/>
      <c r="F294" s="559"/>
      <c r="G294" s="559"/>
      <c r="H294" s="559"/>
      <c r="I294" s="559"/>
      <c r="J294" s="559"/>
      <c r="K294" s="559"/>
      <c r="L294" s="559"/>
      <c r="M294" s="559"/>
      <c r="N294" s="559"/>
      <c r="O294" s="559"/>
      <c r="P294" s="559"/>
      <c r="Q294" s="559"/>
      <c r="R294" s="559"/>
      <c r="S294" s="559"/>
      <c r="T294" s="559"/>
      <c r="U294" s="559"/>
      <c r="V294" s="559"/>
      <c r="W294" s="559"/>
      <c r="X294" s="559"/>
      <c r="Y294" s="559"/>
      <c r="Z294" s="559"/>
      <c r="AA294" s="559"/>
      <c r="AB294" s="559"/>
      <c r="AC294" s="559"/>
      <c r="AD294" s="559"/>
      <c r="AE294" s="559"/>
      <c r="AF294" s="559"/>
      <c r="AG294" s="559"/>
      <c r="AH294" s="559"/>
      <c r="AI294" s="559"/>
      <c r="AJ294" s="559"/>
      <c r="AK294" s="559"/>
      <c r="AL294" s="552" t="s">
        <v>195</v>
      </c>
      <c r="AM294" s="522"/>
      <c r="AN294" s="522"/>
    </row>
    <row r="295" spans="1:40" ht="12.75" customHeight="1" x14ac:dyDescent="0.25">
      <c r="A295" s="522"/>
      <c r="B295" s="560"/>
      <c r="C295" s="561"/>
      <c r="D295" s="560"/>
      <c r="E295" s="562"/>
      <c r="F295" s="563"/>
      <c r="G295" s="564"/>
      <c r="H295" s="565"/>
      <c r="I295" s="565"/>
      <c r="J295" s="531"/>
      <c r="K295" s="566"/>
      <c r="L295" s="567"/>
      <c r="M295" s="567"/>
      <c r="N295" s="567"/>
      <c r="O295" s="567"/>
      <c r="P295" s="567"/>
      <c r="Q295" s="568"/>
      <c r="R295" s="566"/>
      <c r="S295" s="566"/>
      <c r="T295" s="566"/>
      <c r="U295" s="566"/>
      <c r="V295" s="569"/>
      <c r="W295" s="566"/>
      <c r="X295" s="575"/>
      <c r="Y295" s="575"/>
      <c r="Z295" s="575"/>
      <c r="AA295" s="575"/>
      <c r="AB295" s="566"/>
      <c r="AC295" s="617"/>
      <c r="AD295" s="566"/>
      <c r="AE295" s="566"/>
      <c r="AF295" s="566"/>
      <c r="AG295" s="566"/>
      <c r="AH295" s="566"/>
      <c r="AI295" s="566"/>
      <c r="AJ295" s="569"/>
      <c r="AK295" s="570"/>
      <c r="AL295" s="552" t="s">
        <v>195</v>
      </c>
      <c r="AM295" s="522"/>
      <c r="AN295" s="522"/>
    </row>
    <row r="296" spans="1:40" ht="12.75" customHeight="1" x14ac:dyDescent="0.25">
      <c r="A296" s="522"/>
      <c r="B296" s="559"/>
      <c r="C296" s="559"/>
      <c r="D296" s="559"/>
      <c r="E296" s="559"/>
      <c r="F296" s="559"/>
      <c r="G296" s="559"/>
      <c r="H296" s="559"/>
      <c r="I296" s="559"/>
      <c r="J296" s="559"/>
      <c r="K296" s="559"/>
      <c r="L296" s="556"/>
      <c r="M296" s="556"/>
      <c r="N296" s="556"/>
      <c r="O296" s="556"/>
      <c r="P296" s="556"/>
      <c r="Q296" s="568"/>
      <c r="R296" s="590"/>
      <c r="S296" s="566"/>
      <c r="T296" s="590"/>
      <c r="U296" s="566"/>
      <c r="V296" s="591"/>
      <c r="W296" s="590"/>
      <c r="X296" s="592"/>
      <c r="Y296" s="592"/>
      <c r="Z296" s="592"/>
      <c r="AA296" s="592"/>
      <c r="AB296" s="590"/>
      <c r="AC296" s="618"/>
      <c r="AD296" s="573"/>
      <c r="AE296" s="573"/>
      <c r="AF296" s="573"/>
      <c r="AG296" s="566"/>
      <c r="AH296" s="566"/>
      <c r="AI296" s="573"/>
      <c r="AJ296" s="573"/>
      <c r="AK296" s="570"/>
      <c r="AL296" s="552" t="s">
        <v>195</v>
      </c>
      <c r="AM296" s="522"/>
      <c r="AN296" s="522"/>
    </row>
    <row r="297" spans="1:40" ht="12.75" customHeight="1" x14ac:dyDescent="0.25">
      <c r="A297" s="522"/>
      <c r="B297" s="561"/>
      <c r="C297" s="561"/>
      <c r="D297" s="589" t="s">
        <v>297</v>
      </c>
      <c r="E297" s="589"/>
      <c r="F297" s="589"/>
      <c r="G297" s="589"/>
      <c r="H297" s="589"/>
      <c r="I297" s="589"/>
      <c r="J297" s="589"/>
      <c r="K297" s="589"/>
      <c r="L297" s="589"/>
      <c r="M297" s="589"/>
      <c r="N297" s="589"/>
      <c r="O297" s="589"/>
      <c r="P297" s="589"/>
      <c r="Q297" s="589"/>
      <c r="R297" s="589"/>
      <c r="S297" s="589"/>
      <c r="T297" s="589"/>
      <c r="U297" s="589"/>
      <c r="V297" s="589"/>
      <c r="W297" s="589"/>
      <c r="X297" s="589"/>
      <c r="Y297" s="589"/>
      <c r="Z297" s="589"/>
      <c r="AA297" s="589"/>
      <c r="AB297" s="589"/>
      <c r="AC297" s="589"/>
      <c r="AD297" s="590"/>
      <c r="AE297" s="590"/>
      <c r="AF297" s="590"/>
      <c r="AG297" s="566"/>
      <c r="AH297" s="566"/>
      <c r="AI297" s="590"/>
      <c r="AJ297" s="590"/>
      <c r="AK297" s="570"/>
      <c r="AL297" s="552"/>
      <c r="AM297" s="522"/>
      <c r="AN297" s="522"/>
    </row>
    <row r="298" spans="1:40" ht="12.75" customHeight="1" x14ac:dyDescent="0.25">
      <c r="A298" s="522"/>
      <c r="B298" s="561"/>
      <c r="C298" s="561"/>
      <c r="D298" s="620" t="s">
        <v>312</v>
      </c>
      <c r="E298" s="620"/>
      <c r="F298" s="620"/>
      <c r="G298" s="620"/>
      <c r="H298" s="620"/>
      <c r="I298" s="620"/>
      <c r="J298" s="620"/>
      <c r="K298" s="620"/>
      <c r="L298" s="620"/>
      <c r="M298" s="620"/>
      <c r="N298" s="620"/>
      <c r="O298" s="620"/>
      <c r="P298" s="620"/>
      <c r="Q298" s="620"/>
      <c r="R298" s="620"/>
      <c r="S298" s="620"/>
      <c r="T298" s="620"/>
      <c r="U298" s="620"/>
      <c r="V298" s="620"/>
      <c r="W298" s="620"/>
      <c r="X298" s="620"/>
      <c r="Y298" s="620"/>
      <c r="Z298" s="620"/>
      <c r="AA298" s="620"/>
      <c r="AB298" s="620"/>
      <c r="AC298" s="620"/>
      <c r="AD298" s="590"/>
      <c r="AE298" s="590"/>
      <c r="AF298" s="590"/>
      <c r="AG298" s="566"/>
      <c r="AH298" s="566"/>
      <c r="AI298" s="590"/>
      <c r="AJ298" s="590"/>
      <c r="AK298" s="570"/>
      <c r="AL298" s="552"/>
      <c r="AM298" s="522"/>
      <c r="AN298" s="522"/>
    </row>
    <row r="299" spans="1:40" ht="14.25" customHeight="1" x14ac:dyDescent="0.25">
      <c r="A299" s="522"/>
      <c r="B299" s="559" t="s">
        <v>313</v>
      </c>
      <c r="C299" s="559"/>
      <c r="D299" s="559"/>
      <c r="E299" s="559"/>
      <c r="F299" s="559"/>
      <c r="G299" s="559"/>
      <c r="H299" s="559"/>
      <c r="I299" s="559"/>
      <c r="J299" s="559"/>
      <c r="K299" s="559"/>
      <c r="L299" s="559"/>
      <c r="M299" s="559"/>
      <c r="N299" s="559"/>
      <c r="O299" s="559"/>
      <c r="P299" s="559"/>
      <c r="Q299" s="559"/>
      <c r="R299" s="559"/>
      <c r="S299" s="559"/>
      <c r="T299" s="559"/>
      <c r="U299" s="559"/>
      <c r="V299" s="559"/>
      <c r="W299" s="559"/>
      <c r="X299" s="559"/>
      <c r="Y299" s="559"/>
      <c r="Z299" s="559"/>
      <c r="AA299" s="559"/>
      <c r="AB299" s="559"/>
      <c r="AC299" s="559"/>
      <c r="AD299" s="559"/>
      <c r="AE299" s="559"/>
      <c r="AF299" s="559"/>
      <c r="AG299" s="559"/>
      <c r="AH299" s="559"/>
      <c r="AI299" s="559"/>
      <c r="AJ299" s="559"/>
      <c r="AK299" s="559"/>
      <c r="AL299" s="552" t="s">
        <v>195</v>
      </c>
      <c r="AM299" s="522"/>
      <c r="AN299" s="522"/>
    </row>
    <row r="300" spans="1:40" ht="12.75" customHeight="1" x14ac:dyDescent="0.25">
      <c r="A300" s="522"/>
      <c r="B300" s="560" t="s">
        <v>314</v>
      </c>
      <c r="C300" s="561" t="s">
        <v>314</v>
      </c>
      <c r="D300" s="560">
        <v>656560033</v>
      </c>
      <c r="E300" s="562">
        <v>503</v>
      </c>
      <c r="F300" s="563">
        <v>656</v>
      </c>
      <c r="G300" s="564">
        <v>5600020604</v>
      </c>
      <c r="H300" s="565" t="s">
        <v>219</v>
      </c>
      <c r="I300" s="565">
        <v>223</v>
      </c>
      <c r="J300" s="531">
        <v>0</v>
      </c>
      <c r="K300" s="566"/>
      <c r="L300" s="567">
        <v>170000</v>
      </c>
      <c r="M300" s="567">
        <v>50000</v>
      </c>
      <c r="N300" s="567">
        <v>-4000</v>
      </c>
      <c r="O300" s="567">
        <v>30055</v>
      </c>
      <c r="P300" s="567">
        <v>246055</v>
      </c>
      <c r="Q300" s="568">
        <f>R300+S300+T300+U300</f>
        <v>110000</v>
      </c>
      <c r="R300" s="566">
        <v>50000</v>
      </c>
      <c r="S300" s="566">
        <v>60000</v>
      </c>
      <c r="T300" s="566">
        <v>0</v>
      </c>
      <c r="U300" s="566"/>
      <c r="V300" s="569"/>
      <c r="W300" s="566" t="s">
        <v>368</v>
      </c>
      <c r="X300" s="575">
        <v>26000</v>
      </c>
      <c r="Y300" s="575" t="s">
        <v>368</v>
      </c>
      <c r="Z300" s="575"/>
      <c r="AA300" s="575"/>
      <c r="AB300" s="569"/>
      <c r="AC300" s="569"/>
      <c r="AD300" s="566"/>
      <c r="AE300" s="566"/>
      <c r="AF300" s="566"/>
      <c r="AG300" s="566"/>
      <c r="AH300" s="566"/>
      <c r="AI300" s="566"/>
      <c r="AJ300" s="569"/>
      <c r="AK300" s="570"/>
      <c r="AL300" s="552"/>
      <c r="AM300" s="522"/>
      <c r="AN300" s="522"/>
    </row>
    <row r="301" spans="1:40" ht="12.75" customHeight="1" x14ac:dyDescent="0.25">
      <c r="A301" s="522"/>
      <c r="B301" s="560"/>
      <c r="C301" s="561"/>
      <c r="D301" s="560">
        <v>656560033</v>
      </c>
      <c r="E301" s="562">
        <v>503</v>
      </c>
      <c r="F301" s="563">
        <v>656</v>
      </c>
      <c r="G301" s="564">
        <v>5600020604</v>
      </c>
      <c r="H301" s="565" t="s">
        <v>219</v>
      </c>
      <c r="I301" s="565">
        <v>225</v>
      </c>
      <c r="J301" s="531">
        <v>0</v>
      </c>
      <c r="K301" s="566"/>
      <c r="L301" s="567">
        <v>70000</v>
      </c>
      <c r="M301" s="567">
        <v>-70000</v>
      </c>
      <c r="N301" s="567">
        <v>0</v>
      </c>
      <c r="O301" s="567">
        <v>70000</v>
      </c>
      <c r="P301" s="567">
        <v>70000</v>
      </c>
      <c r="Q301" s="568">
        <f>R301+S301+T301+U301</f>
        <v>60000</v>
      </c>
      <c r="R301" s="566">
        <v>30000</v>
      </c>
      <c r="S301" s="566">
        <v>30000</v>
      </c>
      <c r="T301" s="566">
        <v>0</v>
      </c>
      <c r="U301" s="566"/>
      <c r="V301" s="569"/>
      <c r="W301" s="566" t="s">
        <v>368</v>
      </c>
      <c r="X301" s="575"/>
      <c r="Y301" s="575"/>
      <c r="Z301" s="575"/>
      <c r="AA301" s="575"/>
      <c r="AB301" s="569"/>
      <c r="AC301" s="569"/>
      <c r="AD301" s="566"/>
      <c r="AE301" s="566"/>
      <c r="AF301" s="566"/>
      <c r="AG301" s="566"/>
      <c r="AH301" s="566"/>
      <c r="AI301" s="566"/>
      <c r="AJ301" s="569"/>
      <c r="AK301" s="570"/>
      <c r="AL301" s="552"/>
      <c r="AM301" s="522"/>
      <c r="AN301" s="522"/>
    </row>
    <row r="302" spans="1:40" ht="12.75" customHeight="1" x14ac:dyDescent="0.25">
      <c r="A302" s="522"/>
      <c r="B302" s="560" t="s">
        <v>314</v>
      </c>
      <c r="C302" s="561" t="s">
        <v>314</v>
      </c>
      <c r="D302" s="560">
        <v>656560033</v>
      </c>
      <c r="E302" s="562">
        <v>503</v>
      </c>
      <c r="F302" s="563">
        <v>656</v>
      </c>
      <c r="G302" s="564">
        <v>5600020604</v>
      </c>
      <c r="H302" s="565" t="s">
        <v>219</v>
      </c>
      <c r="I302" s="565">
        <v>310</v>
      </c>
      <c r="J302" s="531">
        <v>0</v>
      </c>
      <c r="K302" s="566"/>
      <c r="L302" s="567">
        <v>70000</v>
      </c>
      <c r="M302" s="567">
        <v>-70000</v>
      </c>
      <c r="N302" s="567">
        <v>0</v>
      </c>
      <c r="O302" s="567">
        <v>70000</v>
      </c>
      <c r="P302" s="567">
        <v>70000</v>
      </c>
      <c r="Q302" s="568">
        <f>R302+S302+T302+U302</f>
        <v>60000</v>
      </c>
      <c r="R302" s="566">
        <v>30000</v>
      </c>
      <c r="S302" s="566">
        <v>30000</v>
      </c>
      <c r="T302" s="566">
        <v>0</v>
      </c>
      <c r="U302" s="566"/>
      <c r="V302" s="569">
        <v>0</v>
      </c>
      <c r="W302" s="566" t="s">
        <v>315</v>
      </c>
      <c r="X302" s="575"/>
      <c r="Y302" s="575"/>
      <c r="Z302" s="575"/>
      <c r="AA302" s="575"/>
      <c r="AB302" s="575"/>
      <c r="AC302" s="569"/>
      <c r="AD302" s="566"/>
      <c r="AE302" s="566"/>
      <c r="AF302" s="566"/>
      <c r="AG302" s="566"/>
      <c r="AH302" s="566"/>
      <c r="AI302" s="566"/>
      <c r="AJ302" s="569"/>
      <c r="AK302" s="570"/>
      <c r="AL302" s="552"/>
      <c r="AM302" s="522"/>
      <c r="AN302" s="522"/>
    </row>
    <row r="303" spans="1:40" ht="12.75" customHeight="1" x14ac:dyDescent="0.25">
      <c r="A303" s="522"/>
      <c r="B303" s="560" t="s">
        <v>314</v>
      </c>
      <c r="C303" s="561" t="s">
        <v>314</v>
      </c>
      <c r="D303" s="560">
        <v>656560033</v>
      </c>
      <c r="E303" s="562">
        <v>503</v>
      </c>
      <c r="F303" s="563">
        <v>656</v>
      </c>
      <c r="G303" s="564">
        <v>5600020604</v>
      </c>
      <c r="H303" s="565" t="s">
        <v>219</v>
      </c>
      <c r="I303" s="565">
        <v>226</v>
      </c>
      <c r="J303" s="531" t="s">
        <v>260</v>
      </c>
      <c r="K303" s="566"/>
      <c r="L303" s="567">
        <v>70000</v>
      </c>
      <c r="M303" s="567">
        <v>-70000</v>
      </c>
      <c r="N303" s="567">
        <v>0</v>
      </c>
      <c r="O303" s="567">
        <v>70000</v>
      </c>
      <c r="P303" s="567">
        <v>70000</v>
      </c>
      <c r="Q303" s="568">
        <f>R303+S303+T303+U303</f>
        <v>60000</v>
      </c>
      <c r="R303" s="566">
        <v>30000</v>
      </c>
      <c r="S303" s="566">
        <v>30000</v>
      </c>
      <c r="T303" s="566">
        <v>0</v>
      </c>
      <c r="U303" s="566"/>
      <c r="V303" s="569">
        <v>25000</v>
      </c>
      <c r="W303" s="566" t="s">
        <v>316</v>
      </c>
      <c r="X303" s="575">
        <v>-15000</v>
      </c>
      <c r="Y303" s="575"/>
      <c r="Z303" s="575"/>
      <c r="AA303" s="575"/>
      <c r="AB303" s="569"/>
      <c r="AC303" s="569"/>
      <c r="AD303" s="566"/>
      <c r="AE303" s="566"/>
      <c r="AF303" s="566"/>
      <c r="AG303" s="566"/>
      <c r="AH303" s="566"/>
      <c r="AI303" s="566"/>
      <c r="AJ303" s="569"/>
      <c r="AK303" s="570"/>
      <c r="AL303" s="552"/>
      <c r="AM303" s="522"/>
      <c r="AN303" s="522"/>
    </row>
    <row r="304" spans="1:40" ht="12.75" customHeight="1" x14ac:dyDescent="0.25">
      <c r="A304" s="522"/>
      <c r="B304" s="560"/>
      <c r="C304" s="561"/>
      <c r="D304" s="560"/>
      <c r="E304" s="562"/>
      <c r="F304" s="563"/>
      <c r="G304" s="564">
        <v>5600020604</v>
      </c>
      <c r="H304" s="565" t="s">
        <v>219</v>
      </c>
      <c r="I304" s="565">
        <v>226</v>
      </c>
      <c r="J304" s="531"/>
      <c r="K304" s="566"/>
      <c r="L304" s="567"/>
      <c r="M304" s="567"/>
      <c r="N304" s="567"/>
      <c r="O304" s="567"/>
      <c r="P304" s="567"/>
      <c r="Q304" s="568"/>
      <c r="R304" s="566"/>
      <c r="S304" s="566"/>
      <c r="T304" s="566"/>
      <c r="U304" s="566"/>
      <c r="V304" s="569"/>
      <c r="W304" s="566"/>
      <c r="X304" s="575"/>
      <c r="Y304" s="575"/>
      <c r="Z304" s="575"/>
      <c r="AA304" s="575"/>
      <c r="AB304" s="569"/>
      <c r="AC304" s="569"/>
      <c r="AD304" s="566"/>
      <c r="AE304" s="566"/>
      <c r="AF304" s="566"/>
      <c r="AG304" s="566"/>
      <c r="AH304" s="566"/>
      <c r="AI304" s="566"/>
      <c r="AJ304" s="569"/>
      <c r="AK304" s="570"/>
      <c r="AL304" s="552"/>
      <c r="AM304" s="522"/>
      <c r="AN304" s="522"/>
    </row>
    <row r="305" spans="1:40" ht="14.25" customHeight="1" x14ac:dyDescent="0.25">
      <c r="A305" s="522"/>
      <c r="B305" s="559" t="s">
        <v>212</v>
      </c>
      <c r="C305" s="559"/>
      <c r="D305" s="559"/>
      <c r="E305" s="559"/>
      <c r="F305" s="559"/>
      <c r="G305" s="559"/>
      <c r="H305" s="559"/>
      <c r="I305" s="559"/>
      <c r="J305" s="559"/>
      <c r="K305" s="559"/>
      <c r="L305" s="556">
        <v>240000</v>
      </c>
      <c r="M305" s="556">
        <v>-20000</v>
      </c>
      <c r="N305" s="556">
        <v>-4000</v>
      </c>
      <c r="O305" s="556">
        <v>100055</v>
      </c>
      <c r="P305" s="556">
        <v>316055</v>
      </c>
      <c r="Q305" s="571">
        <f>R305+S305+T305+U305</f>
        <v>170000</v>
      </c>
      <c r="R305" s="591">
        <f>R300+R302</f>
        <v>80000</v>
      </c>
      <c r="S305" s="591">
        <f>S300+S302</f>
        <v>90000</v>
      </c>
      <c r="T305" s="591">
        <f>T300+T302</f>
        <v>0</v>
      </c>
      <c r="U305" s="591">
        <f>U300+U302</f>
        <v>0</v>
      </c>
      <c r="V305" s="591">
        <f>SUM(V300:V304)</f>
        <v>25000</v>
      </c>
      <c r="W305" s="590"/>
      <c r="X305" s="591">
        <f>X300+X301+X303</f>
        <v>11000</v>
      </c>
      <c r="Y305" s="592"/>
      <c r="Z305" s="592"/>
      <c r="AA305" s="592"/>
      <c r="AB305" s="591"/>
      <c r="AC305" s="591"/>
      <c r="AD305" s="573"/>
      <c r="AE305" s="573"/>
      <c r="AF305" s="573"/>
      <c r="AG305" s="566"/>
      <c r="AH305" s="566"/>
      <c r="AI305" s="573"/>
      <c r="AJ305" s="573"/>
      <c r="AK305" s="570"/>
      <c r="AL305" s="552"/>
      <c r="AM305" s="522"/>
      <c r="AN305" s="522"/>
    </row>
    <row r="306" spans="1:40" ht="12.75" customHeight="1" x14ac:dyDescent="0.25">
      <c r="A306" s="522"/>
      <c r="B306" s="559" t="s">
        <v>297</v>
      </c>
      <c r="C306" s="559"/>
      <c r="D306" s="559"/>
      <c r="E306" s="559"/>
      <c r="F306" s="559"/>
      <c r="G306" s="559"/>
      <c r="H306" s="559"/>
      <c r="I306" s="559"/>
      <c r="J306" s="559"/>
      <c r="K306" s="559"/>
      <c r="L306" s="559"/>
      <c r="M306" s="559"/>
      <c r="N306" s="559"/>
      <c r="O306" s="559"/>
      <c r="P306" s="559"/>
      <c r="Q306" s="559"/>
      <c r="R306" s="559"/>
      <c r="S306" s="559"/>
      <c r="T306" s="559"/>
      <c r="U306" s="559"/>
      <c r="V306" s="559"/>
      <c r="W306" s="559"/>
      <c r="X306" s="559"/>
      <c r="Y306" s="559"/>
      <c r="Z306" s="559"/>
      <c r="AA306" s="559"/>
      <c r="AB306" s="559"/>
      <c r="AC306" s="559"/>
      <c r="AD306" s="559"/>
      <c r="AE306" s="559"/>
      <c r="AF306" s="559"/>
      <c r="AG306" s="559"/>
      <c r="AH306" s="559"/>
      <c r="AI306" s="559"/>
      <c r="AJ306" s="559"/>
      <c r="AK306" s="559"/>
      <c r="AL306" s="552" t="s">
        <v>195</v>
      </c>
      <c r="AM306" s="522"/>
      <c r="AN306" s="522"/>
    </row>
    <row r="307" spans="1:40" ht="12.75" customHeight="1" x14ac:dyDescent="0.25">
      <c r="A307" s="522"/>
      <c r="B307" s="560" t="s">
        <v>235</v>
      </c>
      <c r="C307" s="561" t="s">
        <v>235</v>
      </c>
      <c r="D307" s="560">
        <v>656560034</v>
      </c>
      <c r="E307" s="562">
        <v>503</v>
      </c>
      <c r="F307" s="563">
        <v>656</v>
      </c>
      <c r="G307" s="564">
        <v>5600020605</v>
      </c>
      <c r="H307" s="565" t="s">
        <v>236</v>
      </c>
      <c r="I307" s="565">
        <v>211</v>
      </c>
      <c r="J307" s="598"/>
      <c r="K307" s="566"/>
      <c r="L307" s="567">
        <v>647000</v>
      </c>
      <c r="M307" s="567">
        <v>550000</v>
      </c>
      <c r="N307" s="567">
        <v>408195.4</v>
      </c>
      <c r="O307" s="567">
        <v>580336</v>
      </c>
      <c r="P307" s="567">
        <v>2185531.4</v>
      </c>
      <c r="Q307" s="568">
        <f t="shared" ref="Q307:Q316" si="4">R307+S307+T307+U307</f>
        <v>2778065</v>
      </c>
      <c r="R307" s="567">
        <f>668804.6+50000+150000+120729+200000</f>
        <v>1189533.6000000001</v>
      </c>
      <c r="S307" s="567">
        <f>550000+100000-100000</f>
        <v>550000</v>
      </c>
      <c r="T307" s="567">
        <f>408195.4+130000</f>
        <v>538195.4</v>
      </c>
      <c r="U307" s="567">
        <f>580336-50000+100000-130000</f>
        <v>500336</v>
      </c>
      <c r="V307" s="567"/>
      <c r="W307" s="566"/>
      <c r="X307" s="575"/>
      <c r="Y307" s="575"/>
      <c r="Z307" s="575"/>
      <c r="AA307" s="575"/>
      <c r="AB307" s="567"/>
      <c r="AC307" s="567"/>
      <c r="AD307" s="566"/>
      <c r="AE307" s="566"/>
      <c r="AF307" s="566"/>
      <c r="AG307" s="566">
        <v>1508967.67</v>
      </c>
      <c r="AH307" s="566">
        <v>20700</v>
      </c>
      <c r="AI307" s="566"/>
      <c r="AJ307" s="569"/>
      <c r="AK307" s="570">
        <v>0.68096375554247346</v>
      </c>
      <c r="AL307" s="552" t="s">
        <v>195</v>
      </c>
      <c r="AM307" s="522"/>
      <c r="AN307" s="522"/>
    </row>
    <row r="308" spans="1:40" ht="39.6" customHeight="1" x14ac:dyDescent="0.25">
      <c r="A308" s="522"/>
      <c r="B308" s="560" t="s">
        <v>235</v>
      </c>
      <c r="C308" s="561" t="s">
        <v>235</v>
      </c>
      <c r="D308" s="560">
        <v>656560034</v>
      </c>
      <c r="E308" s="562">
        <v>503</v>
      </c>
      <c r="F308" s="563">
        <v>656</v>
      </c>
      <c r="G308" s="564">
        <v>5600020605</v>
      </c>
      <c r="H308" s="565">
        <v>244</v>
      </c>
      <c r="I308" s="565">
        <v>225</v>
      </c>
      <c r="J308" s="598"/>
      <c r="K308" s="566"/>
      <c r="L308" s="567">
        <v>196000</v>
      </c>
      <c r="M308" s="567">
        <v>167000</v>
      </c>
      <c r="N308" s="567">
        <v>130000</v>
      </c>
      <c r="O308" s="567">
        <v>173615</v>
      </c>
      <c r="P308" s="567">
        <v>666615</v>
      </c>
      <c r="Q308" s="568">
        <f t="shared" si="4"/>
        <v>838975.63000000012</v>
      </c>
      <c r="R308" s="567">
        <f>R307*30.2%</f>
        <v>359239.14720000001</v>
      </c>
      <c r="S308" s="567">
        <f>S307*30.2%</f>
        <v>166100</v>
      </c>
      <c r="T308" s="567">
        <f>T307*30.2%</f>
        <v>162535.01079999999</v>
      </c>
      <c r="U308" s="567">
        <f>U307*30.2%</f>
        <v>151101.47200000001</v>
      </c>
      <c r="V308" s="567">
        <v>163211.38</v>
      </c>
      <c r="W308" s="567" t="s">
        <v>558</v>
      </c>
      <c r="X308" s="575">
        <f>50000</f>
        <v>50000</v>
      </c>
      <c r="Y308" s="568" t="s">
        <v>558</v>
      </c>
      <c r="Z308" s="575">
        <v>74532.429999999993</v>
      </c>
      <c r="AA308" s="575" t="s">
        <v>699</v>
      </c>
      <c r="AB308" s="567"/>
      <c r="AC308" s="567"/>
      <c r="AD308" s="566"/>
      <c r="AE308" s="566"/>
      <c r="AF308" s="566"/>
      <c r="AG308" s="566">
        <v>459201.6</v>
      </c>
      <c r="AH308" s="566">
        <v>8362.7999999999993</v>
      </c>
      <c r="AI308" s="566"/>
      <c r="AJ308" s="569"/>
      <c r="AK308" s="570">
        <v>0.67631061407259074</v>
      </c>
      <c r="AL308" s="552" t="s">
        <v>195</v>
      </c>
      <c r="AM308" s="522"/>
      <c r="AN308" s="522"/>
    </row>
    <row r="309" spans="1:40" ht="12.75" customHeight="1" x14ac:dyDescent="0.25">
      <c r="A309" s="522"/>
      <c r="B309" s="560"/>
      <c r="C309" s="561"/>
      <c r="D309" s="560"/>
      <c r="E309" s="562"/>
      <c r="F309" s="563"/>
      <c r="G309" s="564"/>
      <c r="H309" s="565"/>
      <c r="I309" s="565">
        <v>225</v>
      </c>
      <c r="J309" s="598"/>
      <c r="K309" s="566"/>
      <c r="L309" s="567"/>
      <c r="M309" s="567"/>
      <c r="N309" s="567"/>
      <c r="O309" s="567"/>
      <c r="P309" s="567"/>
      <c r="Q309" s="568"/>
      <c r="R309" s="567"/>
      <c r="S309" s="567"/>
      <c r="T309" s="567"/>
      <c r="U309" s="567"/>
      <c r="V309" s="567"/>
      <c r="W309" s="567" t="s">
        <v>561</v>
      </c>
      <c r="X309" s="575">
        <v>20000</v>
      </c>
      <c r="Y309" s="575" t="s">
        <v>695</v>
      </c>
      <c r="Z309" s="575"/>
      <c r="AA309" s="575"/>
      <c r="AB309" s="567"/>
      <c r="AC309" s="567"/>
      <c r="AD309" s="566"/>
      <c r="AE309" s="566"/>
      <c r="AF309" s="566"/>
      <c r="AG309" s="566"/>
      <c r="AH309" s="566"/>
      <c r="AI309" s="566"/>
      <c r="AJ309" s="569"/>
      <c r="AK309" s="570"/>
      <c r="AL309" s="552"/>
      <c r="AM309" s="522"/>
      <c r="AN309" s="522"/>
    </row>
    <row r="310" spans="1:40" ht="60.6" customHeight="1" x14ac:dyDescent="0.25">
      <c r="A310" s="522"/>
      <c r="B310" s="560" t="s">
        <v>235</v>
      </c>
      <c r="C310" s="561" t="s">
        <v>235</v>
      </c>
      <c r="D310" s="560">
        <v>656560034</v>
      </c>
      <c r="E310" s="562">
        <v>503</v>
      </c>
      <c r="F310" s="563">
        <v>656</v>
      </c>
      <c r="G310" s="564">
        <v>5600020605</v>
      </c>
      <c r="H310" s="565">
        <v>244</v>
      </c>
      <c r="I310" s="565">
        <v>226</v>
      </c>
      <c r="J310" s="598"/>
      <c r="K310" s="566"/>
      <c r="L310" s="567">
        <v>196000</v>
      </c>
      <c r="M310" s="567">
        <v>167000</v>
      </c>
      <c r="N310" s="567">
        <v>130000</v>
      </c>
      <c r="O310" s="567">
        <v>173615</v>
      </c>
      <c r="P310" s="567">
        <v>666615</v>
      </c>
      <c r="Q310" s="568">
        <f t="shared" si="4"/>
        <v>838975.63000000012</v>
      </c>
      <c r="R310" s="567">
        <f>R307*30.2%</f>
        <v>359239.14720000001</v>
      </c>
      <c r="S310" s="567">
        <f>S307*30.2%</f>
        <v>166100</v>
      </c>
      <c r="T310" s="567">
        <f>T307*30.2%</f>
        <v>162535.01079999999</v>
      </c>
      <c r="U310" s="567">
        <f>U307*30.2%</f>
        <v>151101.47200000001</v>
      </c>
      <c r="V310" s="567">
        <v>15460</v>
      </c>
      <c r="W310" s="567" t="s">
        <v>557</v>
      </c>
      <c r="X310" s="575">
        <v>21850</v>
      </c>
      <c r="Y310" s="568" t="s">
        <v>690</v>
      </c>
      <c r="Z310" s="575"/>
      <c r="AA310" s="575"/>
      <c r="AB310" s="567"/>
      <c r="AC310" s="567"/>
      <c r="AD310" s="566"/>
      <c r="AE310" s="566"/>
      <c r="AF310" s="566"/>
      <c r="AG310" s="566">
        <v>459201.6</v>
      </c>
      <c r="AH310" s="566">
        <v>8362.7999999999993</v>
      </c>
      <c r="AI310" s="566"/>
      <c r="AJ310" s="569"/>
      <c r="AK310" s="570">
        <v>0.67631061407259074</v>
      </c>
      <c r="AL310" s="552" t="s">
        <v>195</v>
      </c>
      <c r="AM310" s="522"/>
      <c r="AN310" s="522"/>
    </row>
    <row r="311" spans="1:40" ht="31.8" customHeight="1" x14ac:dyDescent="0.25">
      <c r="A311" s="522"/>
      <c r="B311" s="560" t="s">
        <v>235</v>
      </c>
      <c r="C311" s="561" t="s">
        <v>235</v>
      </c>
      <c r="D311" s="560">
        <v>656560034</v>
      </c>
      <c r="E311" s="562">
        <v>503</v>
      </c>
      <c r="F311" s="563">
        <v>656</v>
      </c>
      <c r="G311" s="564">
        <v>5600020605</v>
      </c>
      <c r="H311" s="565">
        <v>244</v>
      </c>
      <c r="I311" s="565">
        <v>225</v>
      </c>
      <c r="J311" s="598"/>
      <c r="K311" s="566"/>
      <c r="L311" s="567">
        <v>196000</v>
      </c>
      <c r="M311" s="567">
        <v>167000</v>
      </c>
      <c r="N311" s="567">
        <v>130000</v>
      </c>
      <c r="O311" s="567">
        <v>173615</v>
      </c>
      <c r="P311" s="567">
        <v>666615</v>
      </c>
      <c r="Q311" s="568">
        <f t="shared" si="4"/>
        <v>838975.63000000012</v>
      </c>
      <c r="R311" s="567">
        <f t="shared" ref="R311:U312" si="5">R307*30.2%</f>
        <v>359239.14720000001</v>
      </c>
      <c r="S311" s="567">
        <f t="shared" si="5"/>
        <v>166100</v>
      </c>
      <c r="T311" s="567">
        <f t="shared" si="5"/>
        <v>162535.01079999999</v>
      </c>
      <c r="U311" s="567">
        <f t="shared" si="5"/>
        <v>151101.47200000001</v>
      </c>
      <c r="V311" s="567"/>
      <c r="W311" s="567" t="s">
        <v>535</v>
      </c>
      <c r="X311" s="575">
        <v>25000</v>
      </c>
      <c r="Y311" s="568" t="s">
        <v>691</v>
      </c>
      <c r="Z311" s="575"/>
      <c r="AA311" s="575"/>
      <c r="AB311" s="567"/>
      <c r="AC311" s="567"/>
      <c r="AD311" s="566"/>
      <c r="AE311" s="566"/>
      <c r="AF311" s="566"/>
      <c r="AG311" s="566">
        <v>459201.6</v>
      </c>
      <c r="AH311" s="566">
        <v>8362.7999999999993</v>
      </c>
      <c r="AI311" s="566"/>
      <c r="AJ311" s="569"/>
      <c r="AK311" s="570">
        <v>0.67631061407259074</v>
      </c>
      <c r="AL311" s="552" t="s">
        <v>195</v>
      </c>
      <c r="AM311" s="522"/>
      <c r="AN311" s="522"/>
    </row>
    <row r="312" spans="1:40" ht="12.75" customHeight="1" x14ac:dyDescent="0.25">
      <c r="A312" s="522"/>
      <c r="B312" s="560" t="s">
        <v>235</v>
      </c>
      <c r="C312" s="561" t="s">
        <v>235</v>
      </c>
      <c r="D312" s="560">
        <v>656560034</v>
      </c>
      <c r="E312" s="562">
        <v>503</v>
      </c>
      <c r="F312" s="563">
        <v>656</v>
      </c>
      <c r="G312" s="564">
        <v>5600020605</v>
      </c>
      <c r="H312" s="565">
        <v>244</v>
      </c>
      <c r="I312" s="565">
        <v>226</v>
      </c>
      <c r="J312" s="598"/>
      <c r="K312" s="566"/>
      <c r="L312" s="567">
        <v>196000</v>
      </c>
      <c r="M312" s="567">
        <v>167000</v>
      </c>
      <c r="N312" s="567">
        <v>130000</v>
      </c>
      <c r="O312" s="567">
        <v>173615</v>
      </c>
      <c r="P312" s="567">
        <v>666615</v>
      </c>
      <c r="Q312" s="568">
        <f t="shared" si="4"/>
        <v>253370.64025999999</v>
      </c>
      <c r="R312" s="567">
        <f t="shared" si="5"/>
        <v>108490.22245440001</v>
      </c>
      <c r="S312" s="567">
        <f t="shared" si="5"/>
        <v>50162.2</v>
      </c>
      <c r="T312" s="567">
        <f t="shared" si="5"/>
        <v>49085.573261599995</v>
      </c>
      <c r="U312" s="567">
        <f t="shared" si="5"/>
        <v>45632.644544000002</v>
      </c>
      <c r="V312" s="569"/>
      <c r="W312" s="566"/>
      <c r="X312" s="575">
        <v>100000</v>
      </c>
      <c r="Y312" s="575" t="s">
        <v>696</v>
      </c>
      <c r="Z312" s="575"/>
      <c r="AA312" s="575"/>
      <c r="AB312" s="567"/>
      <c r="AC312" s="567"/>
      <c r="AD312" s="566"/>
      <c r="AE312" s="566"/>
      <c r="AF312" s="566"/>
      <c r="AG312" s="566">
        <v>459201.6</v>
      </c>
      <c r="AH312" s="566">
        <v>8362.7999999999993</v>
      </c>
      <c r="AI312" s="566"/>
      <c r="AJ312" s="569"/>
      <c r="AK312" s="570">
        <v>0.67631061407259074</v>
      </c>
      <c r="AL312" s="552" t="s">
        <v>195</v>
      </c>
      <c r="AM312" s="522"/>
      <c r="AN312" s="522"/>
    </row>
    <row r="313" spans="1:40" ht="21.6" customHeight="1" x14ac:dyDescent="0.25">
      <c r="A313" s="522"/>
      <c r="B313" s="560" t="s">
        <v>235</v>
      </c>
      <c r="C313" s="561" t="s">
        <v>235</v>
      </c>
      <c r="D313" s="560">
        <v>656560034</v>
      </c>
      <c r="E313" s="562">
        <v>503</v>
      </c>
      <c r="F313" s="563">
        <v>656</v>
      </c>
      <c r="G313" s="564">
        <v>5600020605</v>
      </c>
      <c r="H313" s="565">
        <v>244</v>
      </c>
      <c r="I313" s="565">
        <v>226</v>
      </c>
      <c r="J313" s="598" t="s">
        <v>538</v>
      </c>
      <c r="K313" s="566"/>
      <c r="L313" s="567">
        <v>196000</v>
      </c>
      <c r="M313" s="567">
        <v>167000</v>
      </c>
      <c r="N313" s="567">
        <v>130000</v>
      </c>
      <c r="O313" s="567">
        <v>173615</v>
      </c>
      <c r="P313" s="567">
        <v>666615</v>
      </c>
      <c r="Q313" s="568">
        <f t="shared" si="4"/>
        <v>253370.64025999999</v>
      </c>
      <c r="R313" s="567">
        <f t="shared" ref="R313:U313" si="6">R310*30.2%</f>
        <v>108490.22245440001</v>
      </c>
      <c r="S313" s="567">
        <f t="shared" si="6"/>
        <v>50162.2</v>
      </c>
      <c r="T313" s="567">
        <f t="shared" si="6"/>
        <v>49085.573261599995</v>
      </c>
      <c r="U313" s="567">
        <f t="shared" si="6"/>
        <v>45632.644544000002</v>
      </c>
      <c r="V313" s="569"/>
      <c r="W313" s="575"/>
      <c r="X313" s="575">
        <v>29220.29</v>
      </c>
      <c r="Y313" s="568" t="s">
        <v>635</v>
      </c>
      <c r="Z313" s="575"/>
      <c r="AA313" s="575"/>
      <c r="AB313" s="567"/>
      <c r="AC313" s="567"/>
      <c r="AD313" s="566"/>
      <c r="AE313" s="566"/>
      <c r="AF313" s="566"/>
      <c r="AG313" s="566">
        <v>459201.6</v>
      </c>
      <c r="AH313" s="566">
        <v>8362.7999999999993</v>
      </c>
      <c r="AI313" s="566"/>
      <c r="AJ313" s="569"/>
      <c r="AK313" s="570">
        <v>0.67631061407259074</v>
      </c>
      <c r="AL313" s="552" t="s">
        <v>195</v>
      </c>
      <c r="AM313" s="522"/>
      <c r="AN313" s="522"/>
    </row>
    <row r="314" spans="1:40" ht="12.75" customHeight="1" x14ac:dyDescent="0.25">
      <c r="A314" s="522"/>
      <c r="B314" s="560" t="s">
        <v>314</v>
      </c>
      <c r="C314" s="561" t="s">
        <v>314</v>
      </c>
      <c r="D314" s="560">
        <v>656560034</v>
      </c>
      <c r="E314" s="562">
        <v>503</v>
      </c>
      <c r="F314" s="563">
        <v>656</v>
      </c>
      <c r="G314" s="564">
        <v>5600020605</v>
      </c>
      <c r="H314" s="565" t="s">
        <v>219</v>
      </c>
      <c r="I314" s="565">
        <v>310</v>
      </c>
      <c r="J314" s="531">
        <v>0</v>
      </c>
      <c r="K314" s="566"/>
      <c r="L314" s="567">
        <v>70000</v>
      </c>
      <c r="M314" s="567">
        <v>-70000</v>
      </c>
      <c r="N314" s="567">
        <v>0</v>
      </c>
      <c r="O314" s="567">
        <v>70000</v>
      </c>
      <c r="P314" s="567">
        <v>70000</v>
      </c>
      <c r="Q314" s="568">
        <f t="shared" si="4"/>
        <v>60000</v>
      </c>
      <c r="R314" s="566">
        <v>30000</v>
      </c>
      <c r="S314" s="566">
        <v>30000</v>
      </c>
      <c r="T314" s="566">
        <v>0</v>
      </c>
      <c r="U314" s="566"/>
      <c r="V314" s="569">
        <v>5000</v>
      </c>
      <c r="W314" s="566">
        <f>V314+V310+V308+X308+X311</f>
        <v>258671.38</v>
      </c>
      <c r="X314" s="575"/>
      <c r="Y314" s="575"/>
      <c r="Z314" s="575"/>
      <c r="AA314" s="575"/>
      <c r="AB314" s="569"/>
      <c r="AC314" s="569"/>
      <c r="AD314" s="566"/>
      <c r="AE314" s="566"/>
      <c r="AF314" s="566"/>
      <c r="AG314" s="566"/>
      <c r="AH314" s="566"/>
      <c r="AI314" s="566"/>
      <c r="AJ314" s="569"/>
      <c r="AK314" s="570"/>
      <c r="AL314" s="552"/>
      <c r="AM314" s="522"/>
      <c r="AN314" s="522"/>
    </row>
    <row r="315" spans="1:40" ht="12.75" customHeight="1" x14ac:dyDescent="0.25">
      <c r="A315" s="522"/>
      <c r="B315" s="560" t="s">
        <v>314</v>
      </c>
      <c r="C315" s="561" t="s">
        <v>314</v>
      </c>
      <c r="D315" s="560">
        <v>656560034</v>
      </c>
      <c r="E315" s="562">
        <v>605</v>
      </c>
      <c r="F315" s="563">
        <v>656</v>
      </c>
      <c r="G315" s="564">
        <v>5600084290</v>
      </c>
      <c r="H315" s="565" t="s">
        <v>219</v>
      </c>
      <c r="I315" s="565">
        <v>344</v>
      </c>
      <c r="J315" s="531" t="s">
        <v>537</v>
      </c>
      <c r="K315" s="566"/>
      <c r="L315" s="567">
        <v>70000</v>
      </c>
      <c r="M315" s="567">
        <v>-70000</v>
      </c>
      <c r="N315" s="567">
        <v>0</v>
      </c>
      <c r="O315" s="567">
        <v>70000</v>
      </c>
      <c r="P315" s="567">
        <v>70000</v>
      </c>
      <c r="Q315" s="568">
        <f t="shared" si="4"/>
        <v>60000</v>
      </c>
      <c r="R315" s="566">
        <v>30000</v>
      </c>
      <c r="S315" s="566">
        <v>30000</v>
      </c>
      <c r="T315" s="566">
        <v>0</v>
      </c>
      <c r="U315" s="566"/>
      <c r="V315" s="569">
        <v>2702.5</v>
      </c>
      <c r="W315" s="566" t="s">
        <v>533</v>
      </c>
      <c r="X315" s="575"/>
      <c r="Y315" s="575"/>
      <c r="Z315" s="575"/>
      <c r="AA315" s="575"/>
      <c r="AB315" s="569">
        <v>2702.5</v>
      </c>
      <c r="AC315" s="569">
        <v>2702.5</v>
      </c>
      <c r="AD315" s="566"/>
      <c r="AE315" s="566"/>
      <c r="AF315" s="566"/>
      <c r="AG315" s="566"/>
      <c r="AH315" s="566"/>
      <c r="AI315" s="566"/>
      <c r="AJ315" s="569"/>
      <c r="AK315" s="570"/>
      <c r="AL315" s="552"/>
      <c r="AM315" s="522"/>
      <c r="AN315" s="522"/>
    </row>
    <row r="316" spans="1:40" ht="18.600000000000001" customHeight="1" x14ac:dyDescent="0.25">
      <c r="A316" s="522"/>
      <c r="B316" s="559" t="s">
        <v>212</v>
      </c>
      <c r="C316" s="559"/>
      <c r="D316" s="559"/>
      <c r="E316" s="559"/>
      <c r="F316" s="559"/>
      <c r="G316" s="559"/>
      <c r="H316" s="559"/>
      <c r="I316" s="559"/>
      <c r="J316" s="559"/>
      <c r="K316" s="559"/>
      <c r="L316" s="556">
        <v>843000</v>
      </c>
      <c r="M316" s="556">
        <v>717000</v>
      </c>
      <c r="N316" s="556">
        <v>538195.4</v>
      </c>
      <c r="O316" s="556">
        <v>753951</v>
      </c>
      <c r="P316" s="556">
        <v>2852146.4</v>
      </c>
      <c r="Q316" s="571">
        <f t="shared" si="4"/>
        <v>3617040.63</v>
      </c>
      <c r="R316" s="556">
        <f>R307+R308</f>
        <v>1548772.7472000001</v>
      </c>
      <c r="S316" s="556">
        <f>S307+S308</f>
        <v>716100</v>
      </c>
      <c r="T316" s="556">
        <f>T307+T308</f>
        <v>700730.41079999995</v>
      </c>
      <c r="U316" s="556">
        <f>U307+U308</f>
        <v>651437.47200000007</v>
      </c>
      <c r="V316" s="556">
        <f>SUM(V307:V315)</f>
        <v>186373.88</v>
      </c>
      <c r="W316" s="590">
        <f>V311+V312+V314+V315+X314+X315</f>
        <v>7702.5</v>
      </c>
      <c r="X316" s="556">
        <f>SUM(X307:X315)</f>
        <v>246070.29</v>
      </c>
      <c r="Y316" s="592"/>
      <c r="Z316" s="592">
        <f>Z308</f>
        <v>74532.429999999993</v>
      </c>
      <c r="AA316" s="592"/>
      <c r="AB316" s="556">
        <f>AB315</f>
        <v>2702.5</v>
      </c>
      <c r="AC316" s="556">
        <f>AC315</f>
        <v>2702.5</v>
      </c>
      <c r="AD316" s="573"/>
      <c r="AE316" s="573"/>
      <c r="AF316" s="573"/>
      <c r="AG316" s="566">
        <v>1968169.27</v>
      </c>
      <c r="AH316" s="566">
        <v>29062.799999999999</v>
      </c>
      <c r="AI316" s="573"/>
      <c r="AJ316" s="573"/>
      <c r="AK316" s="570">
        <v>0.67987620481192679</v>
      </c>
      <c r="AL316" s="552" t="s">
        <v>195</v>
      </c>
      <c r="AM316" s="522"/>
      <c r="AN316" s="522"/>
    </row>
    <row r="317" spans="1:40" ht="14.4" customHeight="1" x14ac:dyDescent="0.25">
      <c r="A317" s="522"/>
      <c r="B317" s="559" t="s">
        <v>549</v>
      </c>
      <c r="C317" s="559"/>
      <c r="D317" s="559"/>
      <c r="E317" s="559"/>
      <c r="F317" s="559"/>
      <c r="G317" s="559"/>
      <c r="H317" s="559"/>
      <c r="I317" s="559"/>
      <c r="J317" s="559"/>
      <c r="K317" s="559"/>
      <c r="L317" s="559"/>
      <c r="M317" s="559"/>
      <c r="N317" s="559"/>
      <c r="O317" s="559"/>
      <c r="P317" s="559"/>
      <c r="Q317" s="559"/>
      <c r="R317" s="559"/>
      <c r="S317" s="559"/>
      <c r="T317" s="559"/>
      <c r="U317" s="559"/>
      <c r="V317" s="559"/>
      <c r="W317" s="559"/>
      <c r="X317" s="559"/>
      <c r="Y317" s="559"/>
      <c r="Z317" s="559"/>
      <c r="AA317" s="559"/>
      <c r="AB317" s="559"/>
      <c r="AC317" s="559"/>
      <c r="AD317" s="559"/>
      <c r="AE317" s="559"/>
      <c r="AF317" s="559"/>
      <c r="AG317" s="559"/>
      <c r="AH317" s="559"/>
      <c r="AI317" s="559"/>
      <c r="AJ317" s="559"/>
      <c r="AK317" s="559"/>
      <c r="AL317" s="552" t="s">
        <v>195</v>
      </c>
      <c r="AM317" s="522"/>
      <c r="AN317" s="522"/>
    </row>
    <row r="318" spans="1:40" ht="11.4" customHeight="1" x14ac:dyDescent="0.25">
      <c r="A318" s="522"/>
      <c r="B318" s="560" t="s">
        <v>235</v>
      </c>
      <c r="C318" s="561" t="s">
        <v>235</v>
      </c>
      <c r="D318" s="560">
        <v>656430011</v>
      </c>
      <c r="E318" s="562">
        <v>503</v>
      </c>
      <c r="F318" s="563">
        <v>656</v>
      </c>
      <c r="G318" s="564">
        <v>5600020605</v>
      </c>
      <c r="H318" s="565">
        <v>244</v>
      </c>
      <c r="I318" s="565">
        <v>226</v>
      </c>
      <c r="J318" s="598"/>
      <c r="K318" s="566"/>
      <c r="L318" s="567">
        <v>196000</v>
      </c>
      <c r="M318" s="567">
        <v>167000</v>
      </c>
      <c r="N318" s="567">
        <v>130000</v>
      </c>
      <c r="O318" s="567">
        <v>173615</v>
      </c>
      <c r="P318" s="567">
        <v>666615</v>
      </c>
      <c r="Q318" s="568" t="e">
        <f>R318+S318+T318+U318</f>
        <v>#REF!</v>
      </c>
      <c r="R318" s="567" t="e">
        <f>#REF!*30.2%</f>
        <v>#REF!</v>
      </c>
      <c r="S318" s="567" t="e">
        <f>#REF!*30.2%</f>
        <v>#REF!</v>
      </c>
      <c r="T318" s="567" t="e">
        <f>#REF!*30.2%</f>
        <v>#REF!</v>
      </c>
      <c r="U318" s="567" t="e">
        <f>#REF!*30.2%</f>
        <v>#REF!</v>
      </c>
      <c r="V318" s="569">
        <v>100000</v>
      </c>
      <c r="W318" s="566" t="s">
        <v>413</v>
      </c>
      <c r="X318" s="575"/>
      <c r="Y318" s="575"/>
      <c r="Z318" s="575"/>
      <c r="AA318" s="575"/>
      <c r="AB318" s="567"/>
      <c r="AC318" s="567"/>
      <c r="AD318" s="566"/>
      <c r="AE318" s="566"/>
      <c r="AF318" s="566"/>
      <c r="AG318" s="566">
        <v>459201.6</v>
      </c>
      <c r="AH318" s="566">
        <v>8362.7999999999993</v>
      </c>
      <c r="AI318" s="566"/>
      <c r="AJ318" s="569"/>
      <c r="AK318" s="570">
        <v>0.67631061407259074</v>
      </c>
      <c r="AL318" s="552" t="s">
        <v>195</v>
      </c>
      <c r="AM318" s="522"/>
      <c r="AN318" s="522"/>
    </row>
    <row r="319" spans="1:40" ht="11.4" customHeight="1" x14ac:dyDescent="0.25">
      <c r="A319" s="522"/>
      <c r="B319" s="560" t="s">
        <v>235</v>
      </c>
      <c r="C319" s="561" t="s">
        <v>235</v>
      </c>
      <c r="D319" s="560">
        <v>656430011</v>
      </c>
      <c r="E319" s="562">
        <v>503</v>
      </c>
      <c r="F319" s="563">
        <v>656</v>
      </c>
      <c r="G319" s="564">
        <v>5600020605</v>
      </c>
      <c r="H319" s="565">
        <v>244</v>
      </c>
      <c r="I319" s="565">
        <v>226</v>
      </c>
      <c r="J319" s="598" t="s">
        <v>538</v>
      </c>
      <c r="K319" s="566"/>
      <c r="L319" s="567">
        <v>196000</v>
      </c>
      <c r="M319" s="567">
        <v>167000</v>
      </c>
      <c r="N319" s="567">
        <v>130000</v>
      </c>
      <c r="O319" s="567">
        <v>173615</v>
      </c>
      <c r="P319" s="567">
        <v>666615</v>
      </c>
      <c r="Q319" s="568" t="e">
        <f>R319+S319+T319+U319</f>
        <v>#REF!</v>
      </c>
      <c r="R319" s="567" t="e">
        <f>#REF!*30.2%</f>
        <v>#REF!</v>
      </c>
      <c r="S319" s="567" t="e">
        <f>#REF!*30.2%</f>
        <v>#REF!</v>
      </c>
      <c r="T319" s="567" t="e">
        <f>#REF!*30.2%</f>
        <v>#REF!</v>
      </c>
      <c r="U319" s="567" t="e">
        <f>#REF!*30.2%</f>
        <v>#REF!</v>
      </c>
      <c r="V319" s="575">
        <v>288200</v>
      </c>
      <c r="W319" s="566" t="s">
        <v>546</v>
      </c>
      <c r="X319" s="575"/>
      <c r="Y319" s="575"/>
      <c r="Z319" s="575"/>
      <c r="AA319" s="575"/>
      <c r="AB319" s="567"/>
      <c r="AC319" s="567"/>
      <c r="AD319" s="566"/>
      <c r="AE319" s="566"/>
      <c r="AF319" s="566"/>
      <c r="AG319" s="566">
        <v>459201.6</v>
      </c>
      <c r="AH319" s="566">
        <v>8362.7999999999993</v>
      </c>
      <c r="AI319" s="566"/>
      <c r="AJ319" s="569"/>
      <c r="AK319" s="570">
        <v>0.67631061407259074</v>
      </c>
      <c r="AL319" s="552" t="s">
        <v>195</v>
      </c>
      <c r="AM319" s="522"/>
      <c r="AN319" s="522"/>
    </row>
    <row r="320" spans="1:40" ht="11.4" customHeight="1" x14ac:dyDescent="0.25">
      <c r="A320" s="522"/>
      <c r="B320" s="560" t="s">
        <v>314</v>
      </c>
      <c r="C320" s="561" t="s">
        <v>314</v>
      </c>
      <c r="D320" s="560">
        <v>656430011</v>
      </c>
      <c r="E320" s="562">
        <v>503</v>
      </c>
      <c r="F320" s="563">
        <v>656</v>
      </c>
      <c r="G320" s="564">
        <v>5600020605</v>
      </c>
      <c r="H320" s="565" t="s">
        <v>219</v>
      </c>
      <c r="I320" s="565">
        <v>226</v>
      </c>
      <c r="J320" s="531">
        <v>0</v>
      </c>
      <c r="K320" s="566"/>
      <c r="L320" s="567">
        <v>70000</v>
      </c>
      <c r="M320" s="567">
        <v>-70000</v>
      </c>
      <c r="N320" s="567">
        <v>0</v>
      </c>
      <c r="O320" s="567">
        <v>70000</v>
      </c>
      <c r="P320" s="567">
        <v>70000</v>
      </c>
      <c r="Q320" s="568">
        <f>R320+S320+T320+U320</f>
        <v>60000</v>
      </c>
      <c r="R320" s="566">
        <v>30000</v>
      </c>
      <c r="S320" s="566">
        <v>30000</v>
      </c>
      <c r="T320" s="566">
        <v>0</v>
      </c>
      <c r="U320" s="566"/>
      <c r="V320" s="575">
        <f>362887-100000</f>
        <v>262887</v>
      </c>
      <c r="W320" s="566" t="s">
        <v>547</v>
      </c>
      <c r="X320" s="575"/>
      <c r="Y320" s="575"/>
      <c r="Z320" s="575"/>
      <c r="AA320" s="575"/>
      <c r="AB320" s="569"/>
      <c r="AC320" s="569"/>
      <c r="AD320" s="566"/>
      <c r="AE320" s="566"/>
      <c r="AF320" s="566"/>
      <c r="AG320" s="566"/>
      <c r="AH320" s="566"/>
      <c r="AI320" s="566"/>
      <c r="AJ320" s="569"/>
      <c r="AK320" s="570"/>
      <c r="AL320" s="552"/>
      <c r="AM320" s="522"/>
      <c r="AN320" s="522"/>
    </row>
    <row r="321" spans="1:40" ht="24.75" customHeight="1" x14ac:dyDescent="0.25">
      <c r="A321" s="522"/>
      <c r="B321" s="559" t="s">
        <v>212</v>
      </c>
      <c r="C321" s="559"/>
      <c r="D321" s="559"/>
      <c r="E321" s="559"/>
      <c r="F321" s="559"/>
      <c r="G321" s="559"/>
      <c r="H321" s="559"/>
      <c r="I321" s="559"/>
      <c r="J321" s="559"/>
      <c r="K321" s="559"/>
      <c r="L321" s="556">
        <v>843000</v>
      </c>
      <c r="M321" s="556">
        <v>717000</v>
      </c>
      <c r="N321" s="556">
        <v>538195.4</v>
      </c>
      <c r="O321" s="556">
        <v>753951</v>
      </c>
      <c r="P321" s="556">
        <v>2852146.4</v>
      </c>
      <c r="Q321" s="571" t="e">
        <f>R321+S321+T321+U321</f>
        <v>#REF!</v>
      </c>
      <c r="R321" s="556" t="e">
        <f>#REF!+#REF!</f>
        <v>#REF!</v>
      </c>
      <c r="S321" s="556" t="e">
        <f>#REF!+#REF!</f>
        <v>#REF!</v>
      </c>
      <c r="T321" s="556" t="e">
        <f>#REF!+#REF!</f>
        <v>#REF!</v>
      </c>
      <c r="U321" s="556" t="e">
        <f>#REF!+#REF!</f>
        <v>#REF!</v>
      </c>
      <c r="V321" s="556">
        <f>SUM(V318:V320)</f>
        <v>651087</v>
      </c>
      <c r="W321" s="590"/>
      <c r="X321" s="556">
        <f>SUM(X318:X320)</f>
        <v>0</v>
      </c>
      <c r="Y321" s="592"/>
      <c r="Z321" s="592"/>
      <c r="AA321" s="592"/>
      <c r="AB321" s="556"/>
      <c r="AC321" s="556" t="e">
        <f>#REF!+#REF!</f>
        <v>#REF!</v>
      </c>
      <c r="AD321" s="573"/>
      <c r="AE321" s="573"/>
      <c r="AF321" s="573"/>
      <c r="AG321" s="566">
        <v>1968169.27</v>
      </c>
      <c r="AH321" s="566">
        <v>29062.799999999999</v>
      </c>
      <c r="AI321" s="573"/>
      <c r="AJ321" s="573"/>
      <c r="AK321" s="570">
        <v>0.67987620481192679</v>
      </c>
      <c r="AL321" s="552" t="s">
        <v>195</v>
      </c>
      <c r="AM321" s="522"/>
      <c r="AN321" s="522"/>
    </row>
    <row r="322" spans="1:40" ht="12.75" customHeight="1" x14ac:dyDescent="0.25">
      <c r="A322" s="522"/>
      <c r="B322" s="561"/>
      <c r="C322" s="561"/>
      <c r="D322" s="589" t="s">
        <v>548</v>
      </c>
      <c r="E322" s="589"/>
      <c r="F322" s="589"/>
      <c r="G322" s="589"/>
      <c r="H322" s="589"/>
      <c r="I322" s="589"/>
      <c r="J322" s="589"/>
      <c r="K322" s="589"/>
      <c r="L322" s="589"/>
      <c r="M322" s="589"/>
      <c r="N322" s="589"/>
      <c r="O322" s="589"/>
      <c r="P322" s="589"/>
      <c r="Q322" s="589"/>
      <c r="R322" s="589"/>
      <c r="S322" s="589"/>
      <c r="T322" s="589"/>
      <c r="U322" s="589"/>
      <c r="V322" s="589"/>
      <c r="W322" s="589"/>
      <c r="X322" s="589"/>
      <c r="Y322" s="589"/>
      <c r="Z322" s="589"/>
      <c r="AA322" s="589"/>
      <c r="AB322" s="589"/>
      <c r="AC322" s="589"/>
      <c r="AD322" s="590"/>
      <c r="AE322" s="590"/>
      <c r="AF322" s="590"/>
      <c r="AG322" s="566"/>
      <c r="AH322" s="566"/>
      <c r="AI322" s="590"/>
      <c r="AJ322" s="590"/>
      <c r="AK322" s="570"/>
      <c r="AL322" s="552"/>
      <c r="AM322" s="522"/>
      <c r="AN322" s="522"/>
    </row>
    <row r="323" spans="1:40" ht="12.75" customHeight="1" x14ac:dyDescent="0.25">
      <c r="A323" s="522"/>
      <c r="B323" s="561"/>
      <c r="C323" s="561"/>
      <c r="D323" s="620" t="s">
        <v>312</v>
      </c>
      <c r="E323" s="620"/>
      <c r="F323" s="620"/>
      <c r="G323" s="620"/>
      <c r="H323" s="620"/>
      <c r="I323" s="620"/>
      <c r="J323" s="620"/>
      <c r="K323" s="620"/>
      <c r="L323" s="620"/>
      <c r="M323" s="620"/>
      <c r="N323" s="620"/>
      <c r="O323" s="620"/>
      <c r="P323" s="620"/>
      <c r="Q323" s="620"/>
      <c r="R323" s="620"/>
      <c r="S323" s="620"/>
      <c r="T323" s="620"/>
      <c r="U323" s="620"/>
      <c r="V323" s="620"/>
      <c r="W323" s="620"/>
      <c r="X323" s="620"/>
      <c r="Y323" s="620"/>
      <c r="Z323" s="620"/>
      <c r="AA323" s="620"/>
      <c r="AB323" s="620"/>
      <c r="AC323" s="620"/>
      <c r="AD323" s="590"/>
      <c r="AE323" s="590"/>
      <c r="AF323" s="590"/>
      <c r="AG323" s="566"/>
      <c r="AH323" s="566"/>
      <c r="AI323" s="590"/>
      <c r="AJ323" s="590"/>
      <c r="AK323" s="570"/>
      <c r="AL323" s="552"/>
      <c r="AM323" s="522"/>
      <c r="AN323" s="522"/>
    </row>
    <row r="324" spans="1:40" ht="12.75" customHeight="1" x14ac:dyDescent="0.25">
      <c r="A324" s="522"/>
      <c r="B324" s="559" t="s">
        <v>314</v>
      </c>
      <c r="C324" s="559"/>
      <c r="D324" s="559"/>
      <c r="E324" s="559"/>
      <c r="F324" s="559"/>
      <c r="G324" s="559"/>
      <c r="H324" s="559"/>
      <c r="I324" s="559"/>
      <c r="J324" s="559"/>
      <c r="K324" s="559"/>
      <c r="L324" s="559"/>
      <c r="M324" s="559"/>
      <c r="N324" s="559"/>
      <c r="O324" s="559"/>
      <c r="P324" s="559"/>
      <c r="Q324" s="559"/>
      <c r="R324" s="559"/>
      <c r="S324" s="559"/>
      <c r="T324" s="559"/>
      <c r="U324" s="559"/>
      <c r="V324" s="559"/>
      <c r="W324" s="559"/>
      <c r="X324" s="559"/>
      <c r="Y324" s="559"/>
      <c r="Z324" s="559"/>
      <c r="AA324" s="559"/>
      <c r="AB324" s="559"/>
      <c r="AC324" s="559"/>
      <c r="AD324" s="559"/>
      <c r="AE324" s="559"/>
      <c r="AF324" s="559"/>
      <c r="AG324" s="559"/>
      <c r="AH324" s="559"/>
      <c r="AI324" s="559"/>
      <c r="AJ324" s="559"/>
      <c r="AK324" s="559"/>
      <c r="AL324" s="552" t="s">
        <v>195</v>
      </c>
      <c r="AM324" s="522"/>
      <c r="AN324" s="522"/>
    </row>
    <row r="325" spans="1:40" ht="12.75" customHeight="1" x14ac:dyDescent="0.25">
      <c r="A325" s="522"/>
      <c r="B325" s="560" t="s">
        <v>314</v>
      </c>
      <c r="C325" s="561" t="s">
        <v>314</v>
      </c>
      <c r="D325" s="560">
        <v>656560031</v>
      </c>
      <c r="E325" s="562">
        <v>503</v>
      </c>
      <c r="F325" s="563">
        <v>656</v>
      </c>
      <c r="G325" s="564">
        <v>5600020602</v>
      </c>
      <c r="H325" s="565" t="s">
        <v>219</v>
      </c>
      <c r="I325" s="565">
        <v>223</v>
      </c>
      <c r="J325" s="531">
        <v>0</v>
      </c>
      <c r="K325" s="566"/>
      <c r="L325" s="567">
        <v>170000</v>
      </c>
      <c r="M325" s="567">
        <v>50000</v>
      </c>
      <c r="N325" s="567">
        <v>-4000</v>
      </c>
      <c r="O325" s="567">
        <v>30055</v>
      </c>
      <c r="P325" s="567">
        <v>246055</v>
      </c>
      <c r="Q325" s="568">
        <f>R325+S325+T325+U325</f>
        <v>110000</v>
      </c>
      <c r="R325" s="566">
        <v>50000</v>
      </c>
      <c r="S325" s="566">
        <v>60000</v>
      </c>
      <c r="T325" s="566">
        <v>0</v>
      </c>
      <c r="U325" s="566"/>
      <c r="V325" s="569">
        <v>601165</v>
      </c>
      <c r="W325" s="566" t="s">
        <v>608</v>
      </c>
      <c r="X325" s="575"/>
      <c r="Y325" s="575" t="s">
        <v>559</v>
      </c>
      <c r="Z325" s="575"/>
      <c r="AA325" s="575"/>
      <c r="AB325" s="569"/>
      <c r="AC325" s="569"/>
      <c r="AD325" s="566"/>
      <c r="AE325" s="566"/>
      <c r="AF325" s="566"/>
      <c r="AG325" s="566">
        <v>118122.21</v>
      </c>
      <c r="AH325" s="566">
        <v>3464.99</v>
      </c>
      <c r="AI325" s="566"/>
      <c r="AJ325" s="569"/>
      <c r="AK325" s="570">
        <v>0.46598207717786683</v>
      </c>
      <c r="AL325" s="552" t="s">
        <v>195</v>
      </c>
      <c r="AM325" s="522"/>
      <c r="AN325" s="522"/>
    </row>
    <row r="326" spans="1:40" ht="29.4" customHeight="1" x14ac:dyDescent="0.25">
      <c r="A326" s="522"/>
      <c r="B326" s="560" t="s">
        <v>314</v>
      </c>
      <c r="C326" s="561" t="s">
        <v>314</v>
      </c>
      <c r="D326" s="560">
        <v>656560031</v>
      </c>
      <c r="E326" s="562">
        <v>503</v>
      </c>
      <c r="F326" s="563">
        <v>656</v>
      </c>
      <c r="G326" s="564">
        <v>5600020602</v>
      </c>
      <c r="H326" s="565" t="s">
        <v>219</v>
      </c>
      <c r="I326" s="565">
        <v>225</v>
      </c>
      <c r="J326" s="531">
        <v>0</v>
      </c>
      <c r="K326" s="566"/>
      <c r="L326" s="567">
        <v>70000</v>
      </c>
      <c r="M326" s="567">
        <v>-70000</v>
      </c>
      <c r="N326" s="567">
        <v>0</v>
      </c>
      <c r="O326" s="567">
        <v>70000</v>
      </c>
      <c r="P326" s="567">
        <v>70000</v>
      </c>
      <c r="Q326" s="568">
        <f>R326+S326+T326+U326</f>
        <v>60000</v>
      </c>
      <c r="R326" s="566">
        <v>30000</v>
      </c>
      <c r="S326" s="566">
        <v>30000</v>
      </c>
      <c r="T326" s="566">
        <v>0</v>
      </c>
      <c r="U326" s="566"/>
      <c r="V326" s="569">
        <v>129000</v>
      </c>
      <c r="W326" s="566" t="s">
        <v>539</v>
      </c>
      <c r="X326" s="575">
        <v>29000</v>
      </c>
      <c r="Y326" s="633" t="s">
        <v>556</v>
      </c>
      <c r="Z326" s="633">
        <v>100000</v>
      </c>
      <c r="AA326" s="633"/>
      <c r="AB326" s="569"/>
      <c r="AC326" s="569"/>
      <c r="AD326" s="566"/>
      <c r="AE326" s="566"/>
      <c r="AF326" s="566"/>
      <c r="AG326" s="566">
        <v>29855.56</v>
      </c>
      <c r="AH326" s="566">
        <v>13961.51</v>
      </c>
      <c r="AI326" s="566"/>
      <c r="AJ326" s="569"/>
      <c r="AK326" s="570">
        <v>0.22705785714285712</v>
      </c>
      <c r="AL326" s="552" t="s">
        <v>195</v>
      </c>
      <c r="AM326" s="522"/>
      <c r="AN326" s="522"/>
    </row>
    <row r="327" spans="1:40" ht="13.95" customHeight="1" x14ac:dyDescent="0.25">
      <c r="A327" s="522"/>
      <c r="B327" s="560"/>
      <c r="C327" s="561"/>
      <c r="D327" s="560"/>
      <c r="E327" s="562"/>
      <c r="F327" s="563"/>
      <c r="G327" s="564"/>
      <c r="H327" s="565"/>
      <c r="I327" s="565"/>
      <c r="J327" s="531"/>
      <c r="K327" s="566"/>
      <c r="L327" s="567"/>
      <c r="M327" s="567"/>
      <c r="N327" s="567"/>
      <c r="O327" s="567"/>
      <c r="P327" s="567"/>
      <c r="Q327" s="568"/>
      <c r="R327" s="566"/>
      <c r="S327" s="566"/>
      <c r="T327" s="566"/>
      <c r="U327" s="566"/>
      <c r="V327" s="569"/>
      <c r="W327" s="566"/>
      <c r="X327" s="575"/>
      <c r="Y327" s="575"/>
      <c r="Z327" s="575"/>
      <c r="AA327" s="575"/>
      <c r="AB327" s="569"/>
      <c r="AC327" s="569"/>
      <c r="AD327" s="566"/>
      <c r="AE327" s="566"/>
      <c r="AF327" s="566"/>
      <c r="AG327" s="566"/>
      <c r="AH327" s="566"/>
      <c r="AI327" s="566"/>
      <c r="AJ327" s="569"/>
      <c r="AK327" s="570"/>
      <c r="AL327" s="552"/>
      <c r="AM327" s="522"/>
      <c r="AN327" s="522"/>
    </row>
    <row r="328" spans="1:40" ht="13.95" customHeight="1" x14ac:dyDescent="0.25">
      <c r="A328" s="522"/>
      <c r="B328" s="559" t="s">
        <v>212</v>
      </c>
      <c r="C328" s="559"/>
      <c r="D328" s="559"/>
      <c r="E328" s="559"/>
      <c r="F328" s="559"/>
      <c r="G328" s="559"/>
      <c r="H328" s="559"/>
      <c r="I328" s="559"/>
      <c r="J328" s="559"/>
      <c r="K328" s="559"/>
      <c r="L328" s="556">
        <v>240000</v>
      </c>
      <c r="M328" s="556">
        <v>-20000</v>
      </c>
      <c r="N328" s="556">
        <v>-4000</v>
      </c>
      <c r="O328" s="556">
        <v>100055</v>
      </c>
      <c r="P328" s="556">
        <v>316055</v>
      </c>
      <c r="Q328" s="571">
        <f>R328+S328+T328+U328</f>
        <v>170000</v>
      </c>
      <c r="R328" s="591">
        <f>R325+R326</f>
        <v>80000</v>
      </c>
      <c r="S328" s="591">
        <f>S325+S326</f>
        <v>90000</v>
      </c>
      <c r="T328" s="591">
        <f>T325+T326</f>
        <v>0</v>
      </c>
      <c r="U328" s="591">
        <f>U325+U326</f>
        <v>0</v>
      </c>
      <c r="V328" s="591">
        <f>V325+V326</f>
        <v>730165</v>
      </c>
      <c r="W328" s="590"/>
      <c r="X328" s="592">
        <f>X325+X326+X327</f>
        <v>29000</v>
      </c>
      <c r="Y328" s="592"/>
      <c r="Z328" s="592">
        <f>Z326</f>
        <v>100000</v>
      </c>
      <c r="AA328" s="592"/>
      <c r="AB328" s="591">
        <f>AB325+AB326</f>
        <v>0</v>
      </c>
      <c r="AC328" s="591">
        <f>AC325+AC326</f>
        <v>0</v>
      </c>
      <c r="AD328" s="573"/>
      <c r="AE328" s="573"/>
      <c r="AF328" s="573"/>
      <c r="AG328" s="566">
        <v>147977.76999999999</v>
      </c>
      <c r="AH328" s="566">
        <v>17426.5</v>
      </c>
      <c r="AI328" s="573"/>
      <c r="AJ328" s="573"/>
      <c r="AK328" s="570">
        <v>0.41306503614877166</v>
      </c>
      <c r="AL328" s="552" t="s">
        <v>195</v>
      </c>
      <c r="AM328" s="522"/>
      <c r="AN328" s="522"/>
    </row>
    <row r="329" spans="1:40" ht="25.2" customHeight="1" x14ac:dyDescent="0.25">
      <c r="A329" s="522"/>
      <c r="B329" s="559" t="s">
        <v>512</v>
      </c>
      <c r="C329" s="559"/>
      <c r="D329" s="559"/>
      <c r="E329" s="559"/>
      <c r="F329" s="559"/>
      <c r="G329" s="559"/>
      <c r="H329" s="559"/>
      <c r="I329" s="559"/>
      <c r="J329" s="559"/>
      <c r="K329" s="559"/>
      <c r="L329" s="559"/>
      <c r="M329" s="559"/>
      <c r="N329" s="559"/>
      <c r="O329" s="559"/>
      <c r="P329" s="559"/>
      <c r="Q329" s="559"/>
      <c r="R329" s="559"/>
      <c r="S329" s="559"/>
      <c r="T329" s="559"/>
      <c r="U329" s="559"/>
      <c r="V329" s="559"/>
      <c r="W329" s="559"/>
      <c r="X329" s="559"/>
      <c r="Y329" s="559"/>
      <c r="Z329" s="559"/>
      <c r="AA329" s="559"/>
      <c r="AB329" s="559"/>
      <c r="AC329" s="559"/>
      <c r="AD329" s="559"/>
      <c r="AE329" s="559"/>
      <c r="AF329" s="559"/>
      <c r="AG329" s="559"/>
      <c r="AH329" s="559"/>
      <c r="AI329" s="559"/>
      <c r="AJ329" s="559"/>
      <c r="AK329" s="559"/>
      <c r="AL329" s="552" t="s">
        <v>195</v>
      </c>
      <c r="AM329" s="522"/>
      <c r="AN329" s="522"/>
    </row>
    <row r="330" spans="1:40" ht="12.75" customHeight="1" x14ac:dyDescent="0.25">
      <c r="A330" s="522"/>
      <c r="B330" s="560" t="s">
        <v>317</v>
      </c>
      <c r="C330" s="561" t="s">
        <v>317</v>
      </c>
      <c r="D330" s="560">
        <v>656560032</v>
      </c>
      <c r="E330" s="562">
        <v>503</v>
      </c>
      <c r="F330" s="563">
        <v>656</v>
      </c>
      <c r="G330" s="564">
        <v>5600020603</v>
      </c>
      <c r="H330" s="565" t="s">
        <v>219</v>
      </c>
      <c r="I330" s="565">
        <v>225</v>
      </c>
      <c r="J330" s="531">
        <v>0</v>
      </c>
      <c r="K330" s="566"/>
      <c r="L330" s="567">
        <v>100000</v>
      </c>
      <c r="M330" s="567">
        <v>1509042</v>
      </c>
      <c r="N330" s="567">
        <v>-504218.47</v>
      </c>
      <c r="O330" s="567">
        <v>0</v>
      </c>
      <c r="P330" s="567">
        <v>1104823.53</v>
      </c>
      <c r="Q330" s="568">
        <f>R330+S330+T330+U330</f>
        <v>54600</v>
      </c>
      <c r="R330" s="566">
        <f>V330-S330-T330</f>
        <v>-18085</v>
      </c>
      <c r="S330" s="566">
        <v>36342.5</v>
      </c>
      <c r="T330" s="566">
        <v>36342.5</v>
      </c>
      <c r="U330" s="566"/>
      <c r="V330" s="569">
        <v>54600</v>
      </c>
      <c r="W330" s="566" t="s">
        <v>609</v>
      </c>
      <c r="X330" s="575">
        <v>26064.36</v>
      </c>
      <c r="Y330" s="575" t="s">
        <v>623</v>
      </c>
      <c r="Z330" s="575"/>
      <c r="AA330" s="575"/>
      <c r="AB330" s="566"/>
      <c r="AC330" s="566"/>
      <c r="AD330" s="566"/>
      <c r="AE330" s="566"/>
      <c r="AF330" s="566"/>
      <c r="AG330" s="566">
        <v>468876.92</v>
      </c>
      <c r="AH330" s="566">
        <v>0</v>
      </c>
      <c r="AI330" s="566"/>
      <c r="AJ330" s="569"/>
      <c r="AK330" s="570">
        <v>0.42439078030859823</v>
      </c>
      <c r="AL330" s="552" t="s">
        <v>195</v>
      </c>
      <c r="AM330" s="522"/>
      <c r="AN330" s="522"/>
    </row>
    <row r="331" spans="1:40" ht="12.75" customHeight="1" x14ac:dyDescent="0.25">
      <c r="A331" s="522"/>
      <c r="B331" s="560" t="s">
        <v>317</v>
      </c>
      <c r="C331" s="561" t="s">
        <v>317</v>
      </c>
      <c r="D331" s="560"/>
      <c r="E331" s="562"/>
      <c r="F331" s="563"/>
      <c r="G331" s="564"/>
      <c r="H331" s="565"/>
      <c r="I331" s="565"/>
      <c r="J331" s="531">
        <v>0</v>
      </c>
      <c r="K331" s="566"/>
      <c r="L331" s="567">
        <v>0</v>
      </c>
      <c r="M331" s="567">
        <v>100000</v>
      </c>
      <c r="N331" s="567">
        <v>733095.39</v>
      </c>
      <c r="O331" s="567">
        <v>0</v>
      </c>
      <c r="P331" s="567">
        <v>833095.39</v>
      </c>
      <c r="Q331" s="568"/>
      <c r="R331" s="566"/>
      <c r="S331" s="566"/>
      <c r="T331" s="566"/>
      <c r="U331" s="566"/>
      <c r="V331" s="569"/>
      <c r="W331" s="566"/>
      <c r="X331" s="575"/>
      <c r="Y331" s="575"/>
      <c r="Z331" s="575"/>
      <c r="AA331" s="575"/>
      <c r="AB331" s="566"/>
      <c r="AC331" s="617"/>
      <c r="AD331" s="566"/>
      <c r="AE331" s="566"/>
      <c r="AF331" s="566"/>
      <c r="AG331" s="566">
        <v>701095.39</v>
      </c>
      <c r="AH331" s="566">
        <v>0</v>
      </c>
      <c r="AI331" s="566"/>
      <c r="AJ331" s="569"/>
      <c r="AK331" s="570">
        <v>0.84155475881339348</v>
      </c>
      <c r="AL331" s="552" t="s">
        <v>195</v>
      </c>
      <c r="AM331" s="522"/>
      <c r="AN331" s="522"/>
    </row>
    <row r="332" spans="1:40" ht="12.75" customHeight="1" x14ac:dyDescent="0.25">
      <c r="A332" s="522"/>
      <c r="B332" s="560" t="s">
        <v>317</v>
      </c>
      <c r="C332" s="561" t="s">
        <v>317</v>
      </c>
      <c r="D332" s="560"/>
      <c r="E332" s="562"/>
      <c r="F332" s="563"/>
      <c r="G332" s="564"/>
      <c r="H332" s="565"/>
      <c r="I332" s="565"/>
      <c r="J332" s="531" t="s">
        <v>261</v>
      </c>
      <c r="K332" s="566"/>
      <c r="L332" s="567">
        <v>0</v>
      </c>
      <c r="M332" s="567">
        <v>0</v>
      </c>
      <c r="N332" s="567">
        <v>11800</v>
      </c>
      <c r="O332" s="567">
        <v>0</v>
      </c>
      <c r="P332" s="567">
        <v>11800</v>
      </c>
      <c r="Q332" s="568"/>
      <c r="R332" s="566"/>
      <c r="S332" s="566"/>
      <c r="T332" s="566"/>
      <c r="U332" s="566"/>
      <c r="V332" s="569"/>
      <c r="W332" s="566"/>
      <c r="X332" s="575"/>
      <c r="Y332" s="575"/>
      <c r="Z332" s="575"/>
      <c r="AA332" s="575"/>
      <c r="AB332" s="566"/>
      <c r="AC332" s="617"/>
      <c r="AD332" s="566"/>
      <c r="AE332" s="566"/>
      <c r="AF332" s="566"/>
      <c r="AG332" s="566">
        <v>11800</v>
      </c>
      <c r="AH332" s="566">
        <v>0</v>
      </c>
      <c r="AI332" s="566"/>
      <c r="AJ332" s="569"/>
      <c r="AK332" s="570">
        <v>1</v>
      </c>
      <c r="AL332" s="552" t="s">
        <v>195</v>
      </c>
      <c r="AM332" s="522"/>
      <c r="AN332" s="522"/>
    </row>
    <row r="333" spans="1:40" ht="12.75" customHeight="1" x14ac:dyDescent="0.25">
      <c r="A333" s="522"/>
      <c r="B333" s="559" t="s">
        <v>212</v>
      </c>
      <c r="C333" s="559"/>
      <c r="D333" s="559"/>
      <c r="E333" s="559"/>
      <c r="F333" s="559"/>
      <c r="G333" s="559"/>
      <c r="H333" s="559"/>
      <c r="I333" s="559"/>
      <c r="J333" s="559"/>
      <c r="K333" s="559"/>
      <c r="L333" s="556">
        <v>100000</v>
      </c>
      <c r="M333" s="556">
        <v>1609042</v>
      </c>
      <c r="N333" s="556">
        <v>240676.92</v>
      </c>
      <c r="O333" s="556">
        <v>0</v>
      </c>
      <c r="P333" s="556">
        <v>1949718.92</v>
      </c>
      <c r="Q333" s="571">
        <f>R333+S333+T333+U333</f>
        <v>54600</v>
      </c>
      <c r="R333" s="566">
        <f>V333-S333-T333</f>
        <v>-18085</v>
      </c>
      <c r="S333" s="566">
        <v>36342.5</v>
      </c>
      <c r="T333" s="566">
        <v>36342.5</v>
      </c>
      <c r="U333" s="566"/>
      <c r="V333" s="591">
        <f>V330</f>
        <v>54600</v>
      </c>
      <c r="W333" s="590"/>
      <c r="X333" s="591">
        <f>X330</f>
        <v>26064.36</v>
      </c>
      <c r="Y333" s="592"/>
      <c r="Z333" s="592">
        <f>Z330</f>
        <v>0</v>
      </c>
      <c r="AA333" s="592"/>
      <c r="AB333" s="591">
        <f>AB330</f>
        <v>0</v>
      </c>
      <c r="AC333" s="591">
        <f>AC330</f>
        <v>0</v>
      </c>
      <c r="AD333" s="573"/>
      <c r="AE333" s="573"/>
      <c r="AF333" s="573"/>
      <c r="AG333" s="566">
        <v>1181772.31</v>
      </c>
      <c r="AH333" s="566">
        <v>0</v>
      </c>
      <c r="AI333" s="573"/>
      <c r="AJ333" s="573"/>
      <c r="AK333" s="570">
        <v>0.6061244510054814</v>
      </c>
      <c r="AL333" s="552" t="s">
        <v>195</v>
      </c>
      <c r="AM333" s="522"/>
      <c r="AN333" s="522"/>
    </row>
    <row r="334" spans="1:40" ht="12.75" customHeight="1" x14ac:dyDescent="0.25">
      <c r="A334" s="522"/>
      <c r="B334" s="559"/>
      <c r="C334" s="559"/>
      <c r="D334" s="559"/>
      <c r="E334" s="559"/>
      <c r="F334" s="559"/>
      <c r="G334" s="559"/>
      <c r="H334" s="559"/>
      <c r="I334" s="559"/>
      <c r="J334" s="559"/>
      <c r="K334" s="559"/>
      <c r="L334" s="559"/>
      <c r="M334" s="559"/>
      <c r="N334" s="559"/>
      <c r="O334" s="559"/>
      <c r="P334" s="559"/>
      <c r="Q334" s="559"/>
      <c r="R334" s="559"/>
      <c r="S334" s="559"/>
      <c r="T334" s="559"/>
      <c r="U334" s="559"/>
      <c r="V334" s="559"/>
      <c r="W334" s="559"/>
      <c r="X334" s="559"/>
      <c r="Y334" s="559"/>
      <c r="Z334" s="559"/>
      <c r="AA334" s="559"/>
      <c r="AB334" s="559"/>
      <c r="AC334" s="559"/>
      <c r="AD334" s="559"/>
      <c r="AE334" s="559"/>
      <c r="AF334" s="559"/>
      <c r="AG334" s="559"/>
      <c r="AH334" s="559"/>
      <c r="AI334" s="559"/>
      <c r="AJ334" s="559"/>
      <c r="AK334" s="559"/>
      <c r="AL334" s="552" t="s">
        <v>195</v>
      </c>
      <c r="AM334" s="522"/>
      <c r="AN334" s="522"/>
    </row>
    <row r="335" spans="1:40" ht="22.2" customHeight="1" x14ac:dyDescent="0.25">
      <c r="A335" s="522"/>
      <c r="B335" s="560"/>
      <c r="C335" s="561"/>
      <c r="D335" s="560"/>
      <c r="E335" s="562"/>
      <c r="F335" s="563"/>
      <c r="G335" s="564"/>
      <c r="H335" s="565"/>
      <c r="I335" s="565"/>
      <c r="J335" s="598"/>
      <c r="K335" s="566"/>
      <c r="L335" s="567"/>
      <c r="M335" s="567"/>
      <c r="N335" s="567"/>
      <c r="O335" s="567"/>
      <c r="P335" s="567"/>
      <c r="Q335" s="568"/>
      <c r="R335" s="566"/>
      <c r="S335" s="566"/>
      <c r="T335" s="566"/>
      <c r="U335" s="566"/>
      <c r="V335" s="569"/>
      <c r="W335" s="566"/>
      <c r="X335" s="575"/>
      <c r="Y335" s="575"/>
      <c r="Z335" s="575"/>
      <c r="AA335" s="575"/>
      <c r="AB335" s="569"/>
      <c r="AC335" s="569"/>
      <c r="AD335" s="566"/>
      <c r="AE335" s="566"/>
      <c r="AF335" s="566"/>
      <c r="AG335" s="566"/>
      <c r="AH335" s="566"/>
      <c r="AI335" s="566"/>
      <c r="AJ335" s="569"/>
      <c r="AK335" s="570"/>
      <c r="AL335" s="552"/>
      <c r="AM335" s="522"/>
      <c r="AN335" s="522"/>
    </row>
    <row r="336" spans="1:40" ht="12.75" customHeight="1" x14ac:dyDescent="0.25">
      <c r="A336" s="522"/>
      <c r="B336" s="559" t="s">
        <v>212</v>
      </c>
      <c r="C336" s="559"/>
      <c r="D336" s="559"/>
      <c r="E336" s="559"/>
      <c r="F336" s="559"/>
      <c r="G336" s="559"/>
      <c r="H336" s="559"/>
      <c r="I336" s="559"/>
      <c r="J336" s="559"/>
      <c r="K336" s="559"/>
      <c r="L336" s="556"/>
      <c r="M336" s="556"/>
      <c r="N336" s="556"/>
      <c r="O336" s="556"/>
      <c r="P336" s="556"/>
      <c r="Q336" s="568"/>
      <c r="R336" s="590"/>
      <c r="S336" s="566"/>
      <c r="T336" s="590"/>
      <c r="U336" s="566"/>
      <c r="V336" s="591">
        <v>0</v>
      </c>
      <c r="W336" s="590"/>
      <c r="X336" s="592"/>
      <c r="Y336" s="592"/>
      <c r="Z336" s="592"/>
      <c r="AA336" s="592"/>
      <c r="AB336" s="590"/>
      <c r="AC336" s="618"/>
      <c r="AD336" s="573"/>
      <c r="AE336" s="573"/>
      <c r="AF336" s="573"/>
      <c r="AG336" s="566">
        <v>0</v>
      </c>
      <c r="AH336" s="566">
        <v>0</v>
      </c>
      <c r="AI336" s="573"/>
      <c r="AJ336" s="573"/>
      <c r="AK336" s="570"/>
      <c r="AL336" s="552" t="s">
        <v>195</v>
      </c>
      <c r="AM336" s="522"/>
      <c r="AN336" s="522"/>
    </row>
    <row r="337" spans="1:42" ht="12.75" customHeight="1" x14ac:dyDescent="0.25">
      <c r="A337" s="522"/>
      <c r="B337" s="559"/>
      <c r="C337" s="559"/>
      <c r="D337" s="559"/>
      <c r="E337" s="559"/>
      <c r="F337" s="559"/>
      <c r="G337" s="559"/>
      <c r="H337" s="559"/>
      <c r="I337" s="559"/>
      <c r="J337" s="559"/>
      <c r="K337" s="559"/>
      <c r="L337" s="559"/>
      <c r="M337" s="559"/>
      <c r="N337" s="559"/>
      <c r="O337" s="559"/>
      <c r="P337" s="559"/>
      <c r="Q337" s="559"/>
      <c r="R337" s="559"/>
      <c r="S337" s="559"/>
      <c r="T337" s="559"/>
      <c r="U337" s="559"/>
      <c r="V337" s="559"/>
      <c r="W337" s="559"/>
      <c r="X337" s="559"/>
      <c r="Y337" s="559"/>
      <c r="Z337" s="559"/>
      <c r="AA337" s="559"/>
      <c r="AB337" s="559"/>
      <c r="AC337" s="559"/>
      <c r="AD337" s="559"/>
      <c r="AE337" s="559"/>
      <c r="AF337" s="559"/>
      <c r="AG337" s="559"/>
      <c r="AH337" s="559"/>
      <c r="AI337" s="559"/>
      <c r="AJ337" s="559"/>
      <c r="AK337" s="559"/>
      <c r="AL337" s="552" t="s">
        <v>195</v>
      </c>
      <c r="AM337" s="522"/>
      <c r="AN337" s="522"/>
    </row>
    <row r="338" spans="1:42" ht="24.75" customHeight="1" x14ac:dyDescent="0.25">
      <c r="A338" s="522"/>
      <c r="B338" s="560"/>
      <c r="C338" s="561"/>
      <c r="D338" s="560"/>
      <c r="E338" s="562"/>
      <c r="F338" s="563"/>
      <c r="G338" s="564"/>
      <c r="H338" s="565"/>
      <c r="I338" s="565"/>
      <c r="J338" s="531"/>
      <c r="K338" s="566"/>
      <c r="L338" s="567"/>
      <c r="M338" s="567"/>
      <c r="N338" s="567"/>
      <c r="O338" s="567"/>
      <c r="P338" s="567"/>
      <c r="Q338" s="568"/>
      <c r="R338" s="566"/>
      <c r="S338" s="566"/>
      <c r="T338" s="566"/>
      <c r="U338" s="566"/>
      <c r="V338" s="569"/>
      <c r="W338" s="566"/>
      <c r="X338" s="575"/>
      <c r="Y338" s="575"/>
      <c r="Z338" s="575"/>
      <c r="AA338" s="575"/>
      <c r="AB338" s="566"/>
      <c r="AC338" s="617"/>
      <c r="AD338" s="566"/>
      <c r="AE338" s="566"/>
      <c r="AF338" s="566"/>
      <c r="AG338" s="566"/>
      <c r="AH338" s="566"/>
      <c r="AI338" s="566"/>
      <c r="AJ338" s="569"/>
      <c r="AK338" s="570"/>
      <c r="AL338" s="552" t="s">
        <v>195</v>
      </c>
      <c r="AM338" s="522"/>
      <c r="AN338" s="522"/>
    </row>
    <row r="339" spans="1:42" ht="12" customHeight="1" x14ac:dyDescent="0.25">
      <c r="A339" s="522"/>
      <c r="B339" s="559" t="s">
        <v>212</v>
      </c>
      <c r="C339" s="559"/>
      <c r="D339" s="559"/>
      <c r="E339" s="559"/>
      <c r="F339" s="559"/>
      <c r="G339" s="559"/>
      <c r="H339" s="559"/>
      <c r="I339" s="559"/>
      <c r="J339" s="559"/>
      <c r="K339" s="559"/>
      <c r="L339" s="556">
        <v>62480</v>
      </c>
      <c r="M339" s="556">
        <v>0</v>
      </c>
      <c r="N339" s="556">
        <v>-62480</v>
      </c>
      <c r="O339" s="556">
        <v>0</v>
      </c>
      <c r="P339" s="556">
        <v>0</v>
      </c>
      <c r="Q339" s="568"/>
      <c r="R339" s="590"/>
      <c r="S339" s="566"/>
      <c r="T339" s="590"/>
      <c r="U339" s="566"/>
      <c r="V339" s="591">
        <v>0</v>
      </c>
      <c r="W339" s="590"/>
      <c r="X339" s="592"/>
      <c r="Y339" s="592"/>
      <c r="Z339" s="592"/>
      <c r="AA339" s="592"/>
      <c r="AB339" s="590"/>
      <c r="AC339" s="618"/>
      <c r="AD339" s="573"/>
      <c r="AE339" s="573"/>
      <c r="AF339" s="573"/>
      <c r="AG339" s="566">
        <v>0</v>
      </c>
      <c r="AH339" s="566">
        <v>0</v>
      </c>
      <c r="AI339" s="573"/>
      <c r="AJ339" s="573"/>
      <c r="AK339" s="570"/>
      <c r="AL339" s="552" t="s">
        <v>195</v>
      </c>
      <c r="AM339" s="522"/>
      <c r="AN339" s="522"/>
    </row>
    <row r="340" spans="1:42" ht="20.399999999999999" customHeight="1" x14ac:dyDescent="0.25">
      <c r="A340" s="522"/>
      <c r="B340" s="559" t="s">
        <v>318</v>
      </c>
      <c r="C340" s="559"/>
      <c r="D340" s="559"/>
      <c r="E340" s="559"/>
      <c r="F340" s="559"/>
      <c r="G340" s="559"/>
      <c r="H340" s="559"/>
      <c r="I340" s="559"/>
      <c r="J340" s="559"/>
      <c r="K340" s="559"/>
      <c r="L340" s="559"/>
      <c r="M340" s="559"/>
      <c r="N340" s="559"/>
      <c r="O340" s="559"/>
      <c r="P340" s="559"/>
      <c r="Q340" s="559"/>
      <c r="R340" s="559"/>
      <c r="S340" s="559"/>
      <c r="T340" s="559"/>
      <c r="U340" s="559"/>
      <c r="V340" s="559"/>
      <c r="W340" s="559"/>
      <c r="X340" s="559"/>
      <c r="Y340" s="559"/>
      <c r="Z340" s="559"/>
      <c r="AA340" s="559"/>
      <c r="AB340" s="559"/>
      <c r="AC340" s="559"/>
      <c r="AD340" s="559"/>
      <c r="AE340" s="559"/>
      <c r="AF340" s="559"/>
      <c r="AG340" s="559"/>
      <c r="AH340" s="559"/>
      <c r="AI340" s="559"/>
      <c r="AJ340" s="559"/>
      <c r="AK340" s="559"/>
      <c r="AL340" s="552" t="s">
        <v>195</v>
      </c>
      <c r="AM340" s="522"/>
      <c r="AN340" s="522"/>
    </row>
    <row r="341" spans="1:42" ht="33.6" customHeight="1" x14ac:dyDescent="0.25">
      <c r="A341" s="522"/>
      <c r="B341" s="560" t="s">
        <v>319</v>
      </c>
      <c r="C341" s="561" t="s">
        <v>319</v>
      </c>
      <c r="D341" s="560">
        <v>656590011</v>
      </c>
      <c r="E341" s="562">
        <v>503</v>
      </c>
      <c r="F341" s="563">
        <v>656</v>
      </c>
      <c r="G341" s="564" t="s">
        <v>147</v>
      </c>
      <c r="H341" s="565" t="s">
        <v>219</v>
      </c>
      <c r="I341" s="565">
        <v>225</v>
      </c>
      <c r="J341" s="531">
        <v>0</v>
      </c>
      <c r="K341" s="566"/>
      <c r="L341" s="567">
        <v>0</v>
      </c>
      <c r="M341" s="567">
        <v>100000</v>
      </c>
      <c r="N341" s="567">
        <v>-14850</v>
      </c>
      <c r="O341" s="567">
        <v>0</v>
      </c>
      <c r="P341" s="567">
        <v>85150</v>
      </c>
      <c r="Q341" s="568"/>
      <c r="R341" s="566"/>
      <c r="S341" s="566"/>
      <c r="T341" s="566"/>
      <c r="U341" s="566"/>
      <c r="V341" s="569">
        <v>160000</v>
      </c>
      <c r="W341" s="567" t="s">
        <v>624</v>
      </c>
      <c r="X341" s="575">
        <v>18200</v>
      </c>
      <c r="Y341" s="575" t="s">
        <v>555</v>
      </c>
      <c r="Z341" s="575">
        <v>286000</v>
      </c>
      <c r="AA341" s="575" t="s">
        <v>625</v>
      </c>
      <c r="AB341" s="566">
        <v>0</v>
      </c>
      <c r="AC341" s="617"/>
      <c r="AD341" s="566"/>
      <c r="AE341" s="566"/>
      <c r="AF341" s="566"/>
      <c r="AG341" s="566">
        <v>83042.25</v>
      </c>
      <c r="AH341" s="566">
        <v>0</v>
      </c>
      <c r="AI341" s="566"/>
      <c r="AJ341" s="569"/>
      <c r="AK341" s="570">
        <v>0.97524662360540226</v>
      </c>
      <c r="AL341" s="552" t="s">
        <v>195</v>
      </c>
      <c r="AM341" s="522"/>
      <c r="AN341" s="522"/>
    </row>
    <row r="342" spans="1:42" ht="12" customHeight="1" x14ac:dyDescent="0.25">
      <c r="A342" s="522"/>
      <c r="B342" s="559" t="s">
        <v>212</v>
      </c>
      <c r="C342" s="559"/>
      <c r="D342" s="559"/>
      <c r="E342" s="559"/>
      <c r="F342" s="559"/>
      <c r="G342" s="559"/>
      <c r="H342" s="559"/>
      <c r="I342" s="559"/>
      <c r="J342" s="559"/>
      <c r="K342" s="559"/>
      <c r="L342" s="556">
        <v>0</v>
      </c>
      <c r="M342" s="556">
        <v>100000</v>
      </c>
      <c r="N342" s="556">
        <v>0</v>
      </c>
      <c r="O342" s="556">
        <v>0</v>
      </c>
      <c r="P342" s="556">
        <v>100000</v>
      </c>
      <c r="Q342" s="568"/>
      <c r="R342" s="590"/>
      <c r="S342" s="566"/>
      <c r="T342" s="590"/>
      <c r="U342" s="566"/>
      <c r="V342" s="591">
        <f>V341</f>
        <v>160000</v>
      </c>
      <c r="W342" s="590"/>
      <c r="X342" s="592">
        <f>X341</f>
        <v>18200</v>
      </c>
      <c r="Y342" s="592"/>
      <c r="Z342" s="592">
        <f>Z341</f>
        <v>286000</v>
      </c>
      <c r="AA342" s="592"/>
      <c r="AB342" s="591">
        <f>AB341</f>
        <v>0</v>
      </c>
      <c r="AC342" s="591">
        <f>AC341</f>
        <v>0</v>
      </c>
      <c r="AD342" s="573"/>
      <c r="AE342" s="573"/>
      <c r="AF342" s="573"/>
      <c r="AG342" s="566">
        <v>95085.75</v>
      </c>
      <c r="AH342" s="566">
        <v>0</v>
      </c>
      <c r="AI342" s="573"/>
      <c r="AJ342" s="573"/>
      <c r="AK342" s="570">
        <v>0.95085750000000002</v>
      </c>
      <c r="AL342" s="552" t="s">
        <v>195</v>
      </c>
      <c r="AM342" s="522"/>
      <c r="AN342" s="522"/>
    </row>
    <row r="343" spans="1:42" ht="18.75" customHeight="1" x14ac:dyDescent="0.25">
      <c r="A343" s="522"/>
      <c r="B343" s="559"/>
      <c r="C343" s="559"/>
      <c r="D343" s="559"/>
      <c r="E343" s="559"/>
      <c r="F343" s="559"/>
      <c r="G343" s="559"/>
      <c r="H343" s="559"/>
      <c r="I343" s="559"/>
      <c r="J343" s="559"/>
      <c r="K343" s="559"/>
      <c r="L343" s="559"/>
      <c r="M343" s="559"/>
      <c r="N343" s="559"/>
      <c r="O343" s="559"/>
      <c r="P343" s="559"/>
      <c r="Q343" s="559"/>
      <c r="R343" s="559"/>
      <c r="S343" s="559"/>
      <c r="T343" s="559"/>
      <c r="U343" s="559"/>
      <c r="V343" s="559"/>
      <c r="W343" s="559"/>
      <c r="X343" s="559"/>
      <c r="Y343" s="559"/>
      <c r="Z343" s="559"/>
      <c r="AA343" s="559"/>
      <c r="AB343" s="559"/>
      <c r="AC343" s="559"/>
      <c r="AD343" s="559"/>
      <c r="AE343" s="559"/>
      <c r="AF343" s="559"/>
      <c r="AG343" s="559"/>
      <c r="AH343" s="559"/>
      <c r="AI343" s="559"/>
      <c r="AJ343" s="559"/>
      <c r="AK343" s="559"/>
      <c r="AL343" s="552" t="s">
        <v>195</v>
      </c>
      <c r="AM343" s="522"/>
      <c r="AN343" s="522"/>
    </row>
    <row r="344" spans="1:42" ht="18.75" customHeight="1" x14ac:dyDescent="0.25">
      <c r="A344" s="522"/>
      <c r="B344" s="560"/>
      <c r="C344" s="561"/>
      <c r="D344" s="560"/>
      <c r="E344" s="562"/>
      <c r="F344" s="563"/>
      <c r="G344" s="564"/>
      <c r="H344" s="565"/>
      <c r="I344" s="565"/>
      <c r="J344" s="531"/>
      <c r="K344" s="566"/>
      <c r="L344" s="567"/>
      <c r="M344" s="567"/>
      <c r="N344" s="567"/>
      <c r="O344" s="567"/>
      <c r="P344" s="567"/>
      <c r="Q344" s="568"/>
      <c r="R344" s="566"/>
      <c r="S344" s="566"/>
      <c r="T344" s="566"/>
      <c r="U344" s="566"/>
      <c r="V344" s="569"/>
      <c r="W344" s="566"/>
      <c r="X344" s="575"/>
      <c r="Y344" s="575"/>
      <c r="Z344" s="575"/>
      <c r="AA344" s="575"/>
      <c r="AB344" s="566"/>
      <c r="AC344" s="617"/>
      <c r="AD344" s="566"/>
      <c r="AE344" s="566"/>
      <c r="AF344" s="566"/>
      <c r="AG344" s="566"/>
      <c r="AH344" s="566"/>
      <c r="AI344" s="566"/>
      <c r="AJ344" s="569"/>
      <c r="AK344" s="570"/>
      <c r="AL344" s="552" t="s">
        <v>195</v>
      </c>
      <c r="AM344" s="522"/>
      <c r="AN344" s="522"/>
    </row>
    <row r="345" spans="1:42" ht="18.75" customHeight="1" x14ac:dyDescent="0.25">
      <c r="A345" s="522"/>
      <c r="B345" s="559" t="s">
        <v>212</v>
      </c>
      <c r="C345" s="559"/>
      <c r="D345" s="559"/>
      <c r="E345" s="559"/>
      <c r="F345" s="559"/>
      <c r="G345" s="559"/>
      <c r="H345" s="559"/>
      <c r="I345" s="559"/>
      <c r="J345" s="559"/>
      <c r="K345" s="559"/>
      <c r="L345" s="556">
        <v>0</v>
      </c>
      <c r="M345" s="556">
        <v>400000</v>
      </c>
      <c r="N345" s="556">
        <v>500000</v>
      </c>
      <c r="O345" s="556">
        <v>0</v>
      </c>
      <c r="P345" s="556">
        <v>900000</v>
      </c>
      <c r="Q345" s="568"/>
      <c r="R345" s="590"/>
      <c r="S345" s="566"/>
      <c r="T345" s="590"/>
      <c r="U345" s="566"/>
      <c r="V345" s="591"/>
      <c r="W345" s="590"/>
      <c r="X345" s="592"/>
      <c r="Y345" s="592"/>
      <c r="Z345" s="592"/>
      <c r="AA345" s="592"/>
      <c r="AB345" s="590"/>
      <c r="AC345" s="618"/>
      <c r="AD345" s="573"/>
      <c r="AE345" s="573"/>
      <c r="AF345" s="573"/>
      <c r="AG345" s="566">
        <v>900000</v>
      </c>
      <c r="AH345" s="566">
        <v>0</v>
      </c>
      <c r="AI345" s="573"/>
      <c r="AJ345" s="573"/>
      <c r="AK345" s="570">
        <v>1</v>
      </c>
      <c r="AL345" s="552" t="s">
        <v>195</v>
      </c>
      <c r="AM345" s="522"/>
      <c r="AN345" s="522"/>
    </row>
    <row r="346" spans="1:42" ht="18.75" customHeight="1" x14ac:dyDescent="0.25">
      <c r="A346" s="522"/>
      <c r="B346" s="561"/>
      <c r="C346" s="561"/>
      <c r="D346" s="589" t="s">
        <v>320</v>
      </c>
      <c r="E346" s="589"/>
      <c r="F346" s="589"/>
      <c r="G346" s="589"/>
      <c r="H346" s="589"/>
      <c r="I346" s="589"/>
      <c r="J346" s="589"/>
      <c r="K346" s="589"/>
      <c r="L346" s="589"/>
      <c r="M346" s="589"/>
      <c r="N346" s="589"/>
      <c r="O346" s="589"/>
      <c r="P346" s="589"/>
      <c r="Q346" s="589"/>
      <c r="R346" s="589"/>
      <c r="S346" s="589"/>
      <c r="T346" s="589"/>
      <c r="U346" s="589"/>
      <c r="V346" s="589"/>
      <c r="W346" s="589"/>
      <c r="X346" s="589"/>
      <c r="Y346" s="589"/>
      <c r="Z346" s="589"/>
      <c r="AA346" s="589"/>
      <c r="AB346" s="589"/>
      <c r="AC346" s="589"/>
      <c r="AD346" s="590"/>
      <c r="AE346" s="590"/>
      <c r="AF346" s="590"/>
      <c r="AG346" s="566"/>
      <c r="AH346" s="566"/>
      <c r="AI346" s="590"/>
      <c r="AJ346" s="590"/>
      <c r="AK346" s="570"/>
      <c r="AL346" s="552"/>
      <c r="AM346" s="522"/>
      <c r="AN346" s="522"/>
      <c r="AO346" s="513">
        <f>AO349-3111653</f>
        <v>-259653</v>
      </c>
    </row>
    <row r="347" spans="1:42" ht="12.75" customHeight="1" x14ac:dyDescent="0.25">
      <c r="A347" s="522"/>
      <c r="B347" s="561"/>
      <c r="C347" s="561"/>
      <c r="D347" s="620" t="s">
        <v>321</v>
      </c>
      <c r="E347" s="620"/>
      <c r="F347" s="620"/>
      <c r="G347" s="620"/>
      <c r="H347" s="620"/>
      <c r="I347" s="620"/>
      <c r="J347" s="620"/>
      <c r="K347" s="620"/>
      <c r="L347" s="620"/>
      <c r="M347" s="620"/>
      <c r="N347" s="620"/>
      <c r="O347" s="620"/>
      <c r="P347" s="620"/>
      <c r="Q347" s="620"/>
      <c r="R347" s="620"/>
      <c r="S347" s="620"/>
      <c r="T347" s="620"/>
      <c r="U347" s="620"/>
      <c r="V347" s="620"/>
      <c r="W347" s="620"/>
      <c r="X347" s="620"/>
      <c r="Y347" s="620"/>
      <c r="Z347" s="620"/>
      <c r="AA347" s="620"/>
      <c r="AB347" s="620"/>
      <c r="AC347" s="620"/>
      <c r="AD347" s="590"/>
      <c r="AE347" s="590"/>
      <c r="AF347" s="590"/>
      <c r="AG347" s="566"/>
      <c r="AH347" s="566"/>
      <c r="AI347" s="590"/>
      <c r="AJ347" s="590"/>
      <c r="AK347" s="570"/>
      <c r="AL347" s="552"/>
      <c r="AM347" s="522"/>
      <c r="AN347" s="522"/>
    </row>
    <row r="348" spans="1:42" ht="12.75" customHeight="1" x14ac:dyDescent="0.25">
      <c r="A348" s="522"/>
      <c r="B348" s="559" t="s">
        <v>322</v>
      </c>
      <c r="C348" s="559"/>
      <c r="D348" s="559"/>
      <c r="E348" s="559"/>
      <c r="F348" s="559"/>
      <c r="G348" s="559"/>
      <c r="H348" s="559"/>
      <c r="I348" s="559"/>
      <c r="J348" s="559"/>
      <c r="K348" s="559"/>
      <c r="L348" s="559"/>
      <c r="M348" s="559"/>
      <c r="N348" s="559"/>
      <c r="O348" s="559"/>
      <c r="P348" s="559"/>
      <c r="Q348" s="559"/>
      <c r="R348" s="559"/>
      <c r="S348" s="559"/>
      <c r="T348" s="559"/>
      <c r="U348" s="559"/>
      <c r="V348" s="559"/>
      <c r="W348" s="559"/>
      <c r="X348" s="559"/>
      <c r="Y348" s="559"/>
      <c r="Z348" s="559"/>
      <c r="AA348" s="559"/>
      <c r="AB348" s="559"/>
      <c r="AC348" s="559"/>
      <c r="AD348" s="559"/>
      <c r="AE348" s="559"/>
      <c r="AF348" s="559"/>
      <c r="AG348" s="559"/>
      <c r="AH348" s="559"/>
      <c r="AI348" s="559"/>
      <c r="AJ348" s="559"/>
      <c r="AK348" s="559"/>
      <c r="AL348" s="552" t="s">
        <v>195</v>
      </c>
      <c r="AM348" s="522"/>
      <c r="AN348" s="522"/>
      <c r="AO348" s="509" t="s">
        <v>403</v>
      </c>
      <c r="AP348" s="509" t="s">
        <v>402</v>
      </c>
    </row>
    <row r="349" spans="1:42" ht="17.399999999999999" customHeight="1" x14ac:dyDescent="0.25">
      <c r="A349" s="522"/>
      <c r="B349" s="560" t="s">
        <v>322</v>
      </c>
      <c r="C349" s="561" t="s">
        <v>322</v>
      </c>
      <c r="D349" s="560">
        <v>656530011</v>
      </c>
      <c r="E349" s="562">
        <v>801</v>
      </c>
      <c r="F349" s="563">
        <v>656</v>
      </c>
      <c r="G349" s="564">
        <v>5300000590</v>
      </c>
      <c r="H349" s="565" t="s">
        <v>236</v>
      </c>
      <c r="I349" s="565">
        <v>211</v>
      </c>
      <c r="J349" s="531"/>
      <c r="K349" s="566"/>
      <c r="L349" s="567">
        <v>628000</v>
      </c>
      <c r="M349" s="567">
        <v>896000</v>
      </c>
      <c r="N349" s="567">
        <v>877700</v>
      </c>
      <c r="O349" s="567">
        <v>373000</v>
      </c>
      <c r="P349" s="567">
        <v>2774700</v>
      </c>
      <c r="Q349" s="568">
        <f>R349+S349+T349+U349</f>
        <v>2599000</v>
      </c>
      <c r="R349" s="567">
        <v>800000</v>
      </c>
      <c r="S349" s="567">
        <v>599000</v>
      </c>
      <c r="T349" s="567">
        <v>700000</v>
      </c>
      <c r="U349" s="567">
        <v>500000</v>
      </c>
      <c r="V349" s="569">
        <f>3240000-718000-V351</f>
        <v>2522000</v>
      </c>
      <c r="W349" s="566" t="s">
        <v>401</v>
      </c>
      <c r="X349" s="575"/>
      <c r="Y349" s="575">
        <f>V349+V350+V404</f>
        <v>2802500</v>
      </c>
      <c r="Z349" s="575"/>
      <c r="AA349" s="575"/>
      <c r="AB349" s="569">
        <f>3240000-718000-AB351</f>
        <v>2522000</v>
      </c>
      <c r="AC349" s="569">
        <f>3240000-718000-AC351</f>
        <v>2522000</v>
      </c>
      <c r="AD349" s="566"/>
      <c r="AE349" s="566"/>
      <c r="AF349" s="566"/>
      <c r="AG349" s="566">
        <v>2276384.1</v>
      </c>
      <c r="AH349" s="566">
        <v>0</v>
      </c>
      <c r="AI349" s="566"/>
      <c r="AJ349" s="569"/>
      <c r="AK349" s="570">
        <v>0.82040728727429979</v>
      </c>
      <c r="AL349" s="552" t="s">
        <v>195</v>
      </c>
      <c r="AM349" s="522"/>
      <c r="AN349" s="522"/>
      <c r="AO349" s="513">
        <f>AB349+AB350+AB404</f>
        <v>2852000</v>
      </c>
      <c r="AP349" s="511">
        <v>3111653</v>
      </c>
    </row>
    <row r="350" spans="1:42" ht="17.399999999999999" customHeight="1" x14ac:dyDescent="0.25">
      <c r="A350" s="522"/>
      <c r="B350" s="560" t="s">
        <v>322</v>
      </c>
      <c r="C350" s="561" t="s">
        <v>322</v>
      </c>
      <c r="D350" s="560">
        <v>656530011</v>
      </c>
      <c r="E350" s="562">
        <v>801</v>
      </c>
      <c r="F350" s="563">
        <v>656</v>
      </c>
      <c r="G350" s="564">
        <v>5300082440</v>
      </c>
      <c r="H350" s="565" t="s">
        <v>236</v>
      </c>
      <c r="I350" s="565">
        <v>211</v>
      </c>
      <c r="J350" s="531">
        <v>0</v>
      </c>
      <c r="K350" s="566"/>
      <c r="L350" s="567">
        <v>628000</v>
      </c>
      <c r="M350" s="567">
        <v>896000</v>
      </c>
      <c r="N350" s="567">
        <v>877700</v>
      </c>
      <c r="O350" s="567">
        <v>373000</v>
      </c>
      <c r="P350" s="567">
        <v>2774700</v>
      </c>
      <c r="Q350" s="568">
        <f>R350+S350+T350+U350</f>
        <v>2599000</v>
      </c>
      <c r="R350" s="567">
        <v>800000</v>
      </c>
      <c r="S350" s="567">
        <v>599000</v>
      </c>
      <c r="T350" s="567">
        <v>700000</v>
      </c>
      <c r="U350" s="567">
        <v>500000</v>
      </c>
      <c r="V350" s="569"/>
      <c r="W350" s="566" t="s">
        <v>417</v>
      </c>
      <c r="X350" s="575"/>
      <c r="Y350" s="575">
        <v>718000</v>
      </c>
      <c r="Z350" s="575"/>
      <c r="AA350" s="575"/>
      <c r="AB350" s="569"/>
      <c r="AC350" s="569"/>
      <c r="AD350" s="566"/>
      <c r="AE350" s="566"/>
      <c r="AF350" s="566"/>
      <c r="AG350" s="566">
        <v>2276384.1</v>
      </c>
      <c r="AH350" s="566">
        <v>0</v>
      </c>
      <c r="AI350" s="566"/>
      <c r="AJ350" s="569"/>
      <c r="AK350" s="570">
        <v>0.82040728727429979</v>
      </c>
      <c r="AL350" s="552" t="s">
        <v>195</v>
      </c>
      <c r="AM350" s="522"/>
      <c r="AN350" s="522"/>
      <c r="AO350" s="513">
        <f>AB352+AB405</f>
        <v>441974</v>
      </c>
      <c r="AP350" s="511">
        <v>939720</v>
      </c>
    </row>
    <row r="351" spans="1:42" ht="17.399999999999999" customHeight="1" x14ac:dyDescent="0.25">
      <c r="A351" s="522"/>
      <c r="B351" s="560" t="s">
        <v>322</v>
      </c>
      <c r="C351" s="561" t="s">
        <v>322</v>
      </c>
      <c r="D351" s="560">
        <v>656530011</v>
      </c>
      <c r="E351" s="562">
        <v>801</v>
      </c>
      <c r="F351" s="563">
        <v>656</v>
      </c>
      <c r="G351" s="564" t="s">
        <v>398</v>
      </c>
      <c r="H351" s="565" t="s">
        <v>236</v>
      </c>
      <c r="I351" s="565">
        <v>211</v>
      </c>
      <c r="J351" s="531">
        <v>0</v>
      </c>
      <c r="K351" s="566"/>
      <c r="L351" s="567">
        <v>628000</v>
      </c>
      <c r="M351" s="567">
        <v>896000</v>
      </c>
      <c r="N351" s="567">
        <v>877700</v>
      </c>
      <c r="O351" s="567">
        <v>373000</v>
      </c>
      <c r="P351" s="567">
        <v>2774700</v>
      </c>
      <c r="Q351" s="568">
        <f>R351+S351+T351+U351</f>
        <v>2599000</v>
      </c>
      <c r="R351" s="567">
        <v>800000</v>
      </c>
      <c r="S351" s="567">
        <v>599000</v>
      </c>
      <c r="T351" s="567">
        <v>700000</v>
      </c>
      <c r="U351" s="567">
        <v>500000</v>
      </c>
      <c r="V351" s="569"/>
      <c r="W351" s="566" t="s">
        <v>399</v>
      </c>
      <c r="X351" s="575"/>
      <c r="Y351" s="575" t="s">
        <v>404</v>
      </c>
      <c r="Z351" s="575"/>
      <c r="AA351" s="575"/>
      <c r="AB351" s="569"/>
      <c r="AC351" s="569"/>
      <c r="AD351" s="566"/>
      <c r="AE351" s="566"/>
      <c r="AF351" s="566"/>
      <c r="AG351" s="566">
        <v>2276384.1</v>
      </c>
      <c r="AH351" s="566">
        <v>0</v>
      </c>
      <c r="AI351" s="566"/>
      <c r="AJ351" s="569"/>
      <c r="AK351" s="570">
        <v>0.82040728727429979</v>
      </c>
      <c r="AL351" s="552" t="s">
        <v>195</v>
      </c>
      <c r="AM351" s="522"/>
      <c r="AN351" s="522"/>
    </row>
    <row r="352" spans="1:42" ht="16.8" customHeight="1" x14ac:dyDescent="0.25">
      <c r="A352" s="522"/>
      <c r="B352" s="560" t="s">
        <v>322</v>
      </c>
      <c r="C352" s="561" t="s">
        <v>322</v>
      </c>
      <c r="D352" s="560">
        <v>656530011</v>
      </c>
      <c r="E352" s="562">
        <v>801</v>
      </c>
      <c r="F352" s="563">
        <v>656</v>
      </c>
      <c r="G352" s="564">
        <v>5300000590</v>
      </c>
      <c r="H352" s="565">
        <v>119</v>
      </c>
      <c r="I352" s="565">
        <v>213</v>
      </c>
      <c r="J352" s="531">
        <v>0</v>
      </c>
      <c r="K352" s="566"/>
      <c r="L352" s="567">
        <v>190000</v>
      </c>
      <c r="M352" s="567">
        <v>271000</v>
      </c>
      <c r="N352" s="567">
        <v>248000</v>
      </c>
      <c r="O352" s="567">
        <v>113000</v>
      </c>
      <c r="P352" s="567">
        <v>822000</v>
      </c>
      <c r="Q352" s="568">
        <f>R352+S352+T352+U352</f>
        <v>823960</v>
      </c>
      <c r="R352" s="567">
        <f>R349*30.2%</f>
        <v>241600</v>
      </c>
      <c r="S352" s="567">
        <f>S349*30.2%</f>
        <v>180898</v>
      </c>
      <c r="T352" s="567">
        <f>T349*30.2%</f>
        <v>211400</v>
      </c>
      <c r="U352" s="567">
        <f>U349*30.2%+39062</f>
        <v>190062</v>
      </c>
      <c r="V352" s="569">
        <v>551979</v>
      </c>
      <c r="W352" s="566"/>
      <c r="X352" s="575"/>
      <c r="Y352" s="575"/>
      <c r="Z352" s="575">
        <f>139665+70000</f>
        <v>209665</v>
      </c>
      <c r="AA352" s="575" t="s">
        <v>626</v>
      </c>
      <c r="AB352" s="569">
        <f>725500-443186+60000</f>
        <v>342314</v>
      </c>
      <c r="AC352" s="569">
        <f>725500-443186+60000</f>
        <v>342314</v>
      </c>
      <c r="AD352" s="566"/>
      <c r="AE352" s="566"/>
      <c r="AF352" s="566"/>
      <c r="AG352" s="566">
        <v>690155.25</v>
      </c>
      <c r="AH352" s="566">
        <v>0</v>
      </c>
      <c r="AI352" s="566"/>
      <c r="AJ352" s="569"/>
      <c r="AK352" s="570">
        <v>0.83960492700729938</v>
      </c>
      <c r="AL352" s="552" t="s">
        <v>195</v>
      </c>
      <c r="AM352" s="522"/>
      <c r="AN352" s="522"/>
      <c r="AO352" s="509" t="s">
        <v>404</v>
      </c>
      <c r="AP352" s="513"/>
    </row>
    <row r="353" spans="1:43" ht="14.25" customHeight="1" x14ac:dyDescent="0.25">
      <c r="A353" s="522"/>
      <c r="B353" s="559" t="s">
        <v>212</v>
      </c>
      <c r="C353" s="559"/>
      <c r="D353" s="559"/>
      <c r="E353" s="559"/>
      <c r="F353" s="559"/>
      <c r="G353" s="559"/>
      <c r="H353" s="559"/>
      <c r="I353" s="559"/>
      <c r="J353" s="559"/>
      <c r="K353" s="559"/>
      <c r="L353" s="556">
        <v>818000</v>
      </c>
      <c r="M353" s="556">
        <v>1167000</v>
      </c>
      <c r="N353" s="556">
        <v>1125700</v>
      </c>
      <c r="O353" s="556">
        <v>486000</v>
      </c>
      <c r="P353" s="556">
        <v>3596700</v>
      </c>
      <c r="Q353" s="571">
        <f>R353+S353+T353+U353</f>
        <v>3422960</v>
      </c>
      <c r="R353" s="591">
        <f>R349+R352</f>
        <v>1041600</v>
      </c>
      <c r="S353" s="591">
        <f>S349+S352</f>
        <v>779898</v>
      </c>
      <c r="T353" s="591">
        <f>T349+T352</f>
        <v>911400</v>
      </c>
      <c r="U353" s="591">
        <f>U349+U352</f>
        <v>690062</v>
      </c>
      <c r="V353" s="591">
        <f>SUM(V349:V352)</f>
        <v>3073979</v>
      </c>
      <c r="W353" s="590">
        <v>3240000</v>
      </c>
      <c r="X353" s="591">
        <f>SUM(X349:X352)</f>
        <v>0</v>
      </c>
      <c r="Y353" s="592"/>
      <c r="Z353" s="592">
        <f>Z352</f>
        <v>209665</v>
      </c>
      <c r="AA353" s="592"/>
      <c r="AB353" s="591">
        <f>SUM(AB349:AB352)</f>
        <v>2864314</v>
      </c>
      <c r="AC353" s="591">
        <f>SUM(AC349:AC352)</f>
        <v>2864314</v>
      </c>
      <c r="AD353" s="573"/>
      <c r="AE353" s="573"/>
      <c r="AF353" s="573"/>
      <c r="AG353" s="566">
        <v>2966539.35</v>
      </c>
      <c r="AH353" s="566">
        <v>0</v>
      </c>
      <c r="AI353" s="573"/>
      <c r="AJ353" s="573"/>
      <c r="AK353" s="570">
        <v>0.8247947702060221</v>
      </c>
      <c r="AL353" s="552" t="s">
        <v>195</v>
      </c>
      <c r="AM353" s="522"/>
      <c r="AN353" s="522"/>
      <c r="AO353" s="513">
        <f>V349+V350+V351+V404</f>
        <v>2802500</v>
      </c>
    </row>
    <row r="354" spans="1:43" ht="12.75" customHeight="1" x14ac:dyDescent="0.25">
      <c r="A354" s="522"/>
      <c r="B354" s="559" t="s">
        <v>323</v>
      </c>
      <c r="C354" s="559"/>
      <c r="D354" s="559"/>
      <c r="E354" s="559"/>
      <c r="F354" s="559"/>
      <c r="G354" s="559"/>
      <c r="H354" s="559"/>
      <c r="I354" s="559"/>
      <c r="J354" s="559"/>
      <c r="K354" s="559"/>
      <c r="L354" s="559"/>
      <c r="M354" s="559"/>
      <c r="N354" s="559"/>
      <c r="O354" s="559"/>
      <c r="P354" s="559"/>
      <c r="Q354" s="559"/>
      <c r="R354" s="559"/>
      <c r="S354" s="559"/>
      <c r="T354" s="559"/>
      <c r="U354" s="559"/>
      <c r="V354" s="559"/>
      <c r="W354" s="559"/>
      <c r="X354" s="559"/>
      <c r="Y354" s="559"/>
      <c r="Z354" s="559"/>
      <c r="AA354" s="559"/>
      <c r="AB354" s="559"/>
      <c r="AC354" s="559"/>
      <c r="AD354" s="559"/>
      <c r="AE354" s="559"/>
      <c r="AF354" s="559"/>
      <c r="AG354" s="559"/>
      <c r="AH354" s="559"/>
      <c r="AI354" s="559"/>
      <c r="AJ354" s="559"/>
      <c r="AK354" s="559"/>
      <c r="AL354" s="552" t="s">
        <v>195</v>
      </c>
      <c r="AM354" s="522"/>
      <c r="AN354" s="522"/>
      <c r="AO354" s="513">
        <f>V352+V405</f>
        <v>626690</v>
      </c>
    </row>
    <row r="355" spans="1:43" ht="12.75" customHeight="1" x14ac:dyDescent="0.25">
      <c r="A355" s="522"/>
      <c r="B355" s="560" t="s">
        <v>323</v>
      </c>
      <c r="C355" s="561" t="s">
        <v>323</v>
      </c>
      <c r="D355" s="560">
        <v>656530012</v>
      </c>
      <c r="E355" s="562">
        <v>801</v>
      </c>
      <c r="F355" s="563">
        <v>656</v>
      </c>
      <c r="G355" s="564">
        <v>5300000590</v>
      </c>
      <c r="H355" s="565" t="s">
        <v>234</v>
      </c>
      <c r="I355" s="565">
        <v>212</v>
      </c>
      <c r="J355" s="531">
        <v>0</v>
      </c>
      <c r="K355" s="566"/>
      <c r="L355" s="567">
        <v>50000</v>
      </c>
      <c r="M355" s="567">
        <v>50000</v>
      </c>
      <c r="N355" s="567">
        <v>50000</v>
      </c>
      <c r="O355" s="567">
        <v>0</v>
      </c>
      <c r="P355" s="567">
        <v>150000</v>
      </c>
      <c r="Q355" s="568">
        <f>R355+S355+T355+U355</f>
        <v>60000</v>
      </c>
      <c r="R355" s="566"/>
      <c r="S355" s="566">
        <v>30000</v>
      </c>
      <c r="T355" s="566">
        <v>30000</v>
      </c>
      <c r="U355" s="566">
        <v>0</v>
      </c>
      <c r="V355" s="569">
        <v>100000</v>
      </c>
      <c r="W355" s="566"/>
      <c r="X355" s="575">
        <v>50000</v>
      </c>
      <c r="Y355" s="575"/>
      <c r="Z355" s="575"/>
      <c r="AA355" s="575"/>
      <c r="AB355" s="575"/>
      <c r="AC355" s="569"/>
      <c r="AD355" s="566"/>
      <c r="AE355" s="566"/>
      <c r="AF355" s="566"/>
      <c r="AG355" s="566">
        <v>24440.3</v>
      </c>
      <c r="AH355" s="566">
        <v>0</v>
      </c>
      <c r="AI355" s="566"/>
      <c r="AJ355" s="569"/>
      <c r="AK355" s="570">
        <v>0.16293533333333332</v>
      </c>
      <c r="AL355" s="552" t="s">
        <v>195</v>
      </c>
      <c r="AM355" s="522"/>
      <c r="AN355" s="522"/>
      <c r="AO355" s="509" t="s">
        <v>632</v>
      </c>
    </row>
    <row r="356" spans="1:43" ht="12.75" customHeight="1" x14ac:dyDescent="0.25">
      <c r="A356" s="522"/>
      <c r="B356" s="559" t="s">
        <v>212</v>
      </c>
      <c r="C356" s="559"/>
      <c r="D356" s="559"/>
      <c r="E356" s="559"/>
      <c r="F356" s="559"/>
      <c r="G356" s="559"/>
      <c r="H356" s="559"/>
      <c r="I356" s="559"/>
      <c r="J356" s="559"/>
      <c r="K356" s="559"/>
      <c r="L356" s="556">
        <v>50000</v>
      </c>
      <c r="M356" s="556">
        <v>50000</v>
      </c>
      <c r="N356" s="556">
        <v>50000</v>
      </c>
      <c r="O356" s="556">
        <v>0</v>
      </c>
      <c r="P356" s="556">
        <v>150000</v>
      </c>
      <c r="Q356" s="571">
        <f>R356+S356+T356+U356</f>
        <v>60000</v>
      </c>
      <c r="R356" s="591">
        <f>R355</f>
        <v>0</v>
      </c>
      <c r="S356" s="591">
        <f>S355</f>
        <v>30000</v>
      </c>
      <c r="T356" s="591">
        <f>T355</f>
        <v>30000</v>
      </c>
      <c r="U356" s="591">
        <f>U355</f>
        <v>0</v>
      </c>
      <c r="V356" s="591">
        <f>V355</f>
        <v>100000</v>
      </c>
      <c r="W356" s="590"/>
      <c r="X356" s="591">
        <f>X355</f>
        <v>50000</v>
      </c>
      <c r="Y356" s="591">
        <f>Y355</f>
        <v>0</v>
      </c>
      <c r="Z356" s="591"/>
      <c r="AA356" s="591"/>
      <c r="AB356" s="591">
        <f>AB355</f>
        <v>0</v>
      </c>
      <c r="AC356" s="591">
        <f>AC355</f>
        <v>0</v>
      </c>
      <c r="AD356" s="573"/>
      <c r="AE356" s="573"/>
      <c r="AF356" s="573"/>
      <c r="AG356" s="566">
        <v>24440.3</v>
      </c>
      <c r="AH356" s="566">
        <v>0</v>
      </c>
      <c r="AI356" s="573"/>
      <c r="AJ356" s="573"/>
      <c r="AK356" s="570">
        <v>0.16293533333333332</v>
      </c>
      <c r="AL356" s="552" t="s">
        <v>195</v>
      </c>
      <c r="AM356" s="522"/>
      <c r="AN356" s="522"/>
    </row>
    <row r="357" spans="1:43" ht="18.75" customHeight="1" x14ac:dyDescent="0.25">
      <c r="A357" s="522"/>
      <c r="B357" s="559"/>
      <c r="C357" s="559"/>
      <c r="D357" s="559"/>
      <c r="E357" s="559"/>
      <c r="F357" s="559"/>
      <c r="G357" s="559"/>
      <c r="H357" s="559"/>
      <c r="I357" s="559"/>
      <c r="J357" s="559"/>
      <c r="K357" s="559"/>
      <c r="L357" s="559"/>
      <c r="M357" s="559"/>
      <c r="N357" s="559"/>
      <c r="O357" s="559"/>
      <c r="P357" s="559"/>
      <c r="Q357" s="559"/>
      <c r="R357" s="559"/>
      <c r="S357" s="559"/>
      <c r="T357" s="559"/>
      <c r="U357" s="559"/>
      <c r="V357" s="559"/>
      <c r="W357" s="559"/>
      <c r="X357" s="559"/>
      <c r="Y357" s="559"/>
      <c r="Z357" s="559"/>
      <c r="AA357" s="559"/>
      <c r="AB357" s="559"/>
      <c r="AC357" s="559"/>
      <c r="AD357" s="559"/>
      <c r="AE357" s="559"/>
      <c r="AF357" s="559"/>
      <c r="AG357" s="559"/>
      <c r="AH357" s="559"/>
      <c r="AI357" s="559"/>
      <c r="AJ357" s="559"/>
      <c r="AK357" s="559"/>
      <c r="AL357" s="552" t="s">
        <v>195</v>
      </c>
      <c r="AM357" s="522"/>
      <c r="AN357" s="522"/>
    </row>
    <row r="358" spans="1:43" ht="12.75" customHeight="1" x14ac:dyDescent="0.25">
      <c r="A358" s="522"/>
      <c r="B358" s="560" t="s">
        <v>324</v>
      </c>
      <c r="C358" s="561" t="s">
        <v>324</v>
      </c>
      <c r="D358" s="560">
        <v>656530013</v>
      </c>
      <c r="E358" s="562">
        <v>801</v>
      </c>
      <c r="F358" s="563">
        <v>656</v>
      </c>
      <c r="G358" s="564">
        <v>5300000590</v>
      </c>
      <c r="H358" s="565" t="s">
        <v>238</v>
      </c>
      <c r="I358" s="565">
        <v>221</v>
      </c>
      <c r="J358" s="531">
        <v>0</v>
      </c>
      <c r="K358" s="566"/>
      <c r="L358" s="567">
        <v>28000</v>
      </c>
      <c r="M358" s="567">
        <v>11000</v>
      </c>
      <c r="N358" s="567">
        <v>11000</v>
      </c>
      <c r="O358" s="567">
        <v>12000</v>
      </c>
      <c r="P358" s="567">
        <v>62000</v>
      </c>
      <c r="Q358" s="568">
        <f>R358+S358+T358+U358</f>
        <v>19000</v>
      </c>
      <c r="R358" s="566">
        <v>4750</v>
      </c>
      <c r="S358" s="566">
        <v>4750</v>
      </c>
      <c r="T358" s="566">
        <v>4750</v>
      </c>
      <c r="U358" s="566">
        <v>4750</v>
      </c>
      <c r="V358" s="569">
        <v>17500</v>
      </c>
      <c r="W358" s="566" t="s">
        <v>325</v>
      </c>
      <c r="X358" s="575">
        <v>0</v>
      </c>
      <c r="Y358" s="575"/>
      <c r="Z358" s="575"/>
      <c r="AA358" s="575"/>
      <c r="AB358" s="569">
        <v>17500</v>
      </c>
      <c r="AC358" s="569">
        <v>17500</v>
      </c>
      <c r="AD358" s="566"/>
      <c r="AE358" s="566"/>
      <c r="AF358" s="566"/>
      <c r="AG358" s="566">
        <v>22907.29</v>
      </c>
      <c r="AH358" s="566">
        <v>0</v>
      </c>
      <c r="AI358" s="566"/>
      <c r="AJ358" s="569"/>
      <c r="AK358" s="570">
        <v>0.36947241935483865</v>
      </c>
      <c r="AM358" s="522"/>
      <c r="AN358" s="522"/>
    </row>
    <row r="359" spans="1:43" ht="12.75" customHeight="1" x14ac:dyDescent="0.25">
      <c r="A359" s="522"/>
      <c r="B359" s="560" t="s">
        <v>324</v>
      </c>
      <c r="C359" s="561" t="s">
        <v>324</v>
      </c>
      <c r="D359" s="560"/>
      <c r="E359" s="562"/>
      <c r="F359" s="563"/>
      <c r="G359" s="564"/>
      <c r="H359" s="565" t="s">
        <v>238</v>
      </c>
      <c r="I359" s="565">
        <v>221</v>
      </c>
      <c r="J359" s="531"/>
      <c r="K359" s="566"/>
      <c r="L359" s="567"/>
      <c r="M359" s="567"/>
      <c r="N359" s="567"/>
      <c r="O359" s="567"/>
      <c r="P359" s="567"/>
      <c r="Q359" s="568">
        <f>R359+S359+T359+U359</f>
        <v>17000</v>
      </c>
      <c r="R359" s="566">
        <v>17000</v>
      </c>
      <c r="S359" s="566"/>
      <c r="T359" s="566"/>
      <c r="U359" s="566"/>
      <c r="V359" s="569">
        <v>25200</v>
      </c>
      <c r="W359" s="566" t="s">
        <v>326</v>
      </c>
      <c r="X359" s="575"/>
      <c r="Y359" s="575"/>
      <c r="Z359" s="575"/>
      <c r="AA359" s="575"/>
      <c r="AB359" s="569">
        <v>25200</v>
      </c>
      <c r="AC359" s="569">
        <v>25200</v>
      </c>
      <c r="AD359" s="566"/>
      <c r="AE359" s="566"/>
      <c r="AF359" s="566"/>
      <c r="AG359" s="566">
        <v>22907.29</v>
      </c>
      <c r="AH359" s="566">
        <v>0</v>
      </c>
      <c r="AI359" s="566"/>
      <c r="AJ359" s="569"/>
      <c r="AK359" s="570">
        <v>0.36947241935483865</v>
      </c>
      <c r="AL359" s="552" t="s">
        <v>195</v>
      </c>
      <c r="AM359" s="522"/>
      <c r="AN359" s="522"/>
    </row>
    <row r="360" spans="1:43" ht="12.75" customHeight="1" x14ac:dyDescent="0.25">
      <c r="A360" s="522"/>
      <c r="B360" s="559" t="s">
        <v>212</v>
      </c>
      <c r="C360" s="559"/>
      <c r="D360" s="559"/>
      <c r="E360" s="559"/>
      <c r="F360" s="559"/>
      <c r="G360" s="559"/>
      <c r="H360" s="559"/>
      <c r="I360" s="559"/>
      <c r="J360" s="559"/>
      <c r="K360" s="559"/>
      <c r="L360" s="556">
        <v>28000</v>
      </c>
      <c r="M360" s="556">
        <v>11000</v>
      </c>
      <c r="N360" s="556">
        <v>11000</v>
      </c>
      <c r="O360" s="556">
        <v>12000</v>
      </c>
      <c r="P360" s="556">
        <v>62000</v>
      </c>
      <c r="Q360" s="571">
        <f>R360+S360+T360+U360</f>
        <v>36000</v>
      </c>
      <c r="R360" s="591">
        <f>R358+R359</f>
        <v>21750</v>
      </c>
      <c r="S360" s="591">
        <f>S358+S359</f>
        <v>4750</v>
      </c>
      <c r="T360" s="591">
        <f>T358+T359</f>
        <v>4750</v>
      </c>
      <c r="U360" s="591">
        <f>U358+U359</f>
        <v>4750</v>
      </c>
      <c r="V360" s="591">
        <f>SUM(V358:V359)</f>
        <v>42700</v>
      </c>
      <c r="W360" s="590">
        <v>3.637978807091713E-12</v>
      </c>
      <c r="X360" s="592">
        <f>X359</f>
        <v>0</v>
      </c>
      <c r="Y360" s="592"/>
      <c r="Z360" s="592"/>
      <c r="AA360" s="592"/>
      <c r="AB360" s="591">
        <f>SUM(AB358:AB359)</f>
        <v>42700</v>
      </c>
      <c r="AC360" s="591">
        <f>SUM(AC358:AC359)</f>
        <v>42700</v>
      </c>
      <c r="AD360" s="573"/>
      <c r="AE360" s="573"/>
      <c r="AF360" s="573"/>
      <c r="AG360" s="566">
        <v>22907.29</v>
      </c>
      <c r="AH360" s="566">
        <v>0</v>
      </c>
      <c r="AI360" s="573"/>
      <c r="AJ360" s="573"/>
      <c r="AK360" s="570">
        <v>0.36947241935483865</v>
      </c>
      <c r="AL360" s="552" t="s">
        <v>195</v>
      </c>
      <c r="AM360" s="522"/>
      <c r="AN360" s="522"/>
    </row>
    <row r="361" spans="1:43" ht="12.75" customHeight="1" x14ac:dyDescent="0.25">
      <c r="A361" s="522"/>
      <c r="B361" s="559" t="s">
        <v>327</v>
      </c>
      <c r="C361" s="559"/>
      <c r="D361" s="559"/>
      <c r="E361" s="559"/>
      <c r="F361" s="559"/>
      <c r="G361" s="559"/>
      <c r="H361" s="559"/>
      <c r="I361" s="559"/>
      <c r="J361" s="559"/>
      <c r="K361" s="559"/>
      <c r="L361" s="559"/>
      <c r="M361" s="559"/>
      <c r="N361" s="559"/>
      <c r="O361" s="559"/>
      <c r="P361" s="559"/>
      <c r="Q361" s="559"/>
      <c r="R361" s="559"/>
      <c r="S361" s="559"/>
      <c r="T361" s="559"/>
      <c r="U361" s="559"/>
      <c r="V361" s="559"/>
      <c r="W361" s="559"/>
      <c r="X361" s="559"/>
      <c r="Y361" s="559"/>
      <c r="Z361" s="559"/>
      <c r="AA361" s="559"/>
      <c r="AB361" s="559"/>
      <c r="AC361" s="559"/>
      <c r="AD361" s="559"/>
      <c r="AE361" s="559"/>
      <c r="AF361" s="559"/>
      <c r="AG361" s="559"/>
      <c r="AH361" s="559"/>
      <c r="AI361" s="559"/>
      <c r="AJ361" s="559"/>
      <c r="AK361" s="559"/>
      <c r="AL361" s="552" t="s">
        <v>195</v>
      </c>
      <c r="AM361" s="522"/>
      <c r="AN361" s="522"/>
    </row>
    <row r="362" spans="1:43" ht="12.75" customHeight="1" x14ac:dyDescent="0.25">
      <c r="A362" s="522"/>
      <c r="B362" s="560" t="s">
        <v>327</v>
      </c>
      <c r="C362" s="561" t="s">
        <v>327</v>
      </c>
      <c r="D362" s="560">
        <v>656530014</v>
      </c>
      <c r="E362" s="562">
        <v>801</v>
      </c>
      <c r="F362" s="563">
        <v>656</v>
      </c>
      <c r="G362" s="564">
        <v>5300000590</v>
      </c>
      <c r="H362" s="565" t="s">
        <v>219</v>
      </c>
      <c r="I362" s="565">
        <v>223</v>
      </c>
      <c r="J362" s="531">
        <v>0</v>
      </c>
      <c r="K362" s="566"/>
      <c r="L362" s="567">
        <v>515376</v>
      </c>
      <c r="M362" s="567">
        <v>124624</v>
      </c>
      <c r="N362" s="567">
        <v>30000</v>
      </c>
      <c r="O362" s="567">
        <v>4000</v>
      </c>
      <c r="P362" s="567">
        <v>674000</v>
      </c>
      <c r="Q362" s="568"/>
      <c r="R362" s="566"/>
      <c r="S362" s="566"/>
      <c r="T362" s="566"/>
      <c r="U362" s="566"/>
      <c r="V362" s="569">
        <v>5246.3399999999674</v>
      </c>
      <c r="W362" s="566" t="s">
        <v>646</v>
      </c>
      <c r="X362" s="575"/>
      <c r="Y362" s="575"/>
      <c r="Z362" s="575"/>
      <c r="AA362" s="575"/>
      <c r="AB362" s="569"/>
      <c r="AC362" s="569"/>
      <c r="AD362" s="566"/>
      <c r="AE362" s="566"/>
      <c r="AF362" s="566"/>
      <c r="AG362" s="566">
        <v>482852.32</v>
      </c>
      <c r="AH362" s="566">
        <v>0</v>
      </c>
      <c r="AI362" s="566"/>
      <c r="AJ362" s="569"/>
      <c r="AK362" s="570">
        <v>0.7163981008902075</v>
      </c>
      <c r="AL362" s="552" t="s">
        <v>195</v>
      </c>
      <c r="AM362" s="522"/>
      <c r="AN362" s="522"/>
      <c r="AO362" s="519"/>
      <c r="AP362" s="519"/>
      <c r="AQ362" s="519"/>
    </row>
    <row r="363" spans="1:43" ht="12.75" customHeight="1" x14ac:dyDescent="0.25">
      <c r="A363" s="522"/>
      <c r="B363" s="560" t="s">
        <v>327</v>
      </c>
      <c r="C363" s="561" t="s">
        <v>327</v>
      </c>
      <c r="D363" s="560"/>
      <c r="E363" s="562"/>
      <c r="F363" s="563"/>
      <c r="G363" s="564">
        <v>5300000590</v>
      </c>
      <c r="H363" s="565" t="s">
        <v>219</v>
      </c>
      <c r="I363" s="565">
        <v>223</v>
      </c>
      <c r="J363" s="531"/>
      <c r="K363" s="566"/>
      <c r="L363" s="567"/>
      <c r="M363" s="567"/>
      <c r="N363" s="567"/>
      <c r="O363" s="567"/>
      <c r="P363" s="567"/>
      <c r="Q363" s="568">
        <f>R363+S363+T363+U363</f>
        <v>74000</v>
      </c>
      <c r="R363" s="566">
        <f>22000+18000</f>
        <v>40000</v>
      </c>
      <c r="S363" s="566">
        <v>20000</v>
      </c>
      <c r="T363" s="566">
        <v>14000</v>
      </c>
      <c r="U363" s="566"/>
      <c r="V363" s="569">
        <v>13608.98</v>
      </c>
      <c r="W363" s="566" t="s">
        <v>647</v>
      </c>
      <c r="X363" s="575"/>
      <c r="Y363" s="575"/>
      <c r="Z363" s="575"/>
      <c r="AA363" s="575"/>
      <c r="AB363" s="569"/>
      <c r="AC363" s="569">
        <v>50000</v>
      </c>
      <c r="AD363" s="566"/>
      <c r="AE363" s="566"/>
      <c r="AF363" s="566"/>
      <c r="AG363" s="566">
        <v>482852.32</v>
      </c>
      <c r="AH363" s="566">
        <v>0</v>
      </c>
      <c r="AI363" s="566"/>
      <c r="AJ363" s="569"/>
      <c r="AK363" s="570">
        <v>0.7163981008902075</v>
      </c>
      <c r="AL363" s="552" t="s">
        <v>195</v>
      </c>
      <c r="AM363" s="522"/>
      <c r="AN363" s="522"/>
      <c r="AQ363" s="511"/>
    </row>
    <row r="364" spans="1:43" ht="12.75" customHeight="1" x14ac:dyDescent="0.25">
      <c r="A364" s="522"/>
      <c r="B364" s="560" t="s">
        <v>327</v>
      </c>
      <c r="C364" s="561" t="s">
        <v>327</v>
      </c>
      <c r="D364" s="560"/>
      <c r="E364" s="562"/>
      <c r="F364" s="563"/>
      <c r="G364" s="564">
        <v>5300000590</v>
      </c>
      <c r="H364" s="565" t="s">
        <v>219</v>
      </c>
      <c r="I364" s="565">
        <v>223</v>
      </c>
      <c r="J364" s="531"/>
      <c r="K364" s="566"/>
      <c r="L364" s="567"/>
      <c r="M364" s="567"/>
      <c r="N364" s="567"/>
      <c r="O364" s="567"/>
      <c r="P364" s="567"/>
      <c r="Q364" s="568">
        <f>R364+S364+T364+U364</f>
        <v>470544.46</v>
      </c>
      <c r="R364" s="566">
        <v>253000</v>
      </c>
      <c r="S364" s="566">
        <v>253000</v>
      </c>
      <c r="T364" s="566">
        <v>70000</v>
      </c>
      <c r="U364" s="566">
        <f>V364-R364-S364-T364</f>
        <v>-105455.53999999998</v>
      </c>
      <c r="V364" s="569">
        <v>470544.46</v>
      </c>
      <c r="W364" s="566" t="s">
        <v>648</v>
      </c>
      <c r="X364" s="575"/>
      <c r="Y364" s="575"/>
      <c r="Z364" s="575"/>
      <c r="AA364" s="575"/>
      <c r="AB364" s="569"/>
      <c r="AC364" s="569">
        <v>800000</v>
      </c>
      <c r="AD364" s="566"/>
      <c r="AE364" s="566"/>
      <c r="AF364" s="566"/>
      <c r="AG364" s="566">
        <v>482852.32</v>
      </c>
      <c r="AH364" s="566">
        <v>0</v>
      </c>
      <c r="AI364" s="566"/>
      <c r="AJ364" s="569"/>
      <c r="AK364" s="570">
        <v>0.7163981008902075</v>
      </c>
      <c r="AL364" s="552" t="s">
        <v>195</v>
      </c>
      <c r="AM364" s="522"/>
      <c r="AN364" s="522"/>
    </row>
    <row r="365" spans="1:43" ht="12.75" customHeight="1" x14ac:dyDescent="0.25">
      <c r="A365" s="522"/>
      <c r="B365" s="560" t="s">
        <v>327</v>
      </c>
      <c r="C365" s="561" t="s">
        <v>327</v>
      </c>
      <c r="D365" s="560"/>
      <c r="E365" s="562"/>
      <c r="F365" s="563"/>
      <c r="G365" s="564">
        <v>5300000590</v>
      </c>
      <c r="H365" s="565" t="s">
        <v>219</v>
      </c>
      <c r="I365" s="565">
        <v>223</v>
      </c>
      <c r="J365" s="531"/>
      <c r="K365" s="566"/>
      <c r="L365" s="567"/>
      <c r="M365" s="567"/>
      <c r="N365" s="567"/>
      <c r="O365" s="567"/>
      <c r="P365" s="567"/>
      <c r="Q365" s="568">
        <f>R365+S365+T365+U365</f>
        <v>70000</v>
      </c>
      <c r="R365" s="566">
        <v>25000</v>
      </c>
      <c r="S365" s="566">
        <v>17500</v>
      </c>
      <c r="T365" s="566">
        <v>17500</v>
      </c>
      <c r="U365" s="566">
        <v>10000</v>
      </c>
      <c r="V365" s="569">
        <v>44752.68</v>
      </c>
      <c r="W365" s="566" t="s">
        <v>649</v>
      </c>
      <c r="X365" s="575"/>
      <c r="Y365" s="575"/>
      <c r="Z365" s="575"/>
      <c r="AA365" s="575"/>
      <c r="AB365" s="569"/>
      <c r="AC365" s="569">
        <v>65000</v>
      </c>
      <c r="AD365" s="566"/>
      <c r="AE365" s="566"/>
      <c r="AF365" s="566"/>
      <c r="AG365" s="566">
        <v>482852.32</v>
      </c>
      <c r="AH365" s="566">
        <v>0</v>
      </c>
      <c r="AI365" s="566"/>
      <c r="AJ365" s="569"/>
      <c r="AK365" s="570">
        <v>0.7163981008902075</v>
      </c>
      <c r="AL365" s="552" t="s">
        <v>195</v>
      </c>
      <c r="AM365" s="522"/>
      <c r="AN365" s="522"/>
    </row>
    <row r="366" spans="1:43" ht="12.75" customHeight="1" x14ac:dyDescent="0.25">
      <c r="A366" s="522"/>
      <c r="B366" s="560" t="s">
        <v>327</v>
      </c>
      <c r="C366" s="561" t="s">
        <v>327</v>
      </c>
      <c r="D366" s="560"/>
      <c r="E366" s="562"/>
      <c r="F366" s="563"/>
      <c r="G366" s="564">
        <v>5300000590</v>
      </c>
      <c r="H366" s="565" t="s">
        <v>219</v>
      </c>
      <c r="I366" s="565">
        <v>223</v>
      </c>
      <c r="J366" s="531"/>
      <c r="K366" s="566"/>
      <c r="L366" s="567"/>
      <c r="M366" s="567"/>
      <c r="N366" s="567"/>
      <c r="O366" s="567"/>
      <c r="P366" s="567"/>
      <c r="Q366" s="568">
        <f>R366+S366+T366+U366</f>
        <v>45000</v>
      </c>
      <c r="R366" s="566">
        <v>15000</v>
      </c>
      <c r="S366" s="566">
        <v>15000</v>
      </c>
      <c r="T366" s="566">
        <v>5000</v>
      </c>
      <c r="U366" s="566">
        <v>10000</v>
      </c>
      <c r="V366" s="569">
        <v>30975</v>
      </c>
      <c r="W366" s="566" t="s">
        <v>650</v>
      </c>
      <c r="X366" s="575"/>
      <c r="Y366" s="575"/>
      <c r="Z366" s="575"/>
      <c r="AA366" s="575"/>
      <c r="AB366" s="569"/>
      <c r="AC366" s="569">
        <v>33500</v>
      </c>
      <c r="AD366" s="566"/>
      <c r="AE366" s="566"/>
      <c r="AF366" s="566"/>
      <c r="AG366" s="566">
        <v>482852.32</v>
      </c>
      <c r="AH366" s="566">
        <v>0</v>
      </c>
      <c r="AI366" s="566"/>
      <c r="AJ366" s="569"/>
      <c r="AK366" s="570">
        <v>0.7163981008902075</v>
      </c>
      <c r="AL366" s="552" t="s">
        <v>195</v>
      </c>
      <c r="AM366" s="522"/>
      <c r="AN366" s="522"/>
    </row>
    <row r="367" spans="1:43" ht="12.75" customHeight="1" x14ac:dyDescent="0.25">
      <c r="A367" s="522"/>
      <c r="B367" s="560"/>
      <c r="C367" s="561"/>
      <c r="D367" s="560"/>
      <c r="E367" s="562"/>
      <c r="F367" s="563"/>
      <c r="G367" s="564"/>
      <c r="H367" s="565"/>
      <c r="I367" s="565"/>
      <c r="J367" s="531"/>
      <c r="K367" s="566"/>
      <c r="L367" s="567"/>
      <c r="M367" s="567"/>
      <c r="N367" s="567"/>
      <c r="O367" s="567"/>
      <c r="P367" s="567"/>
      <c r="Q367" s="585">
        <f>(Q363+Q364+Q365+Q366)</f>
        <v>659544.46</v>
      </c>
      <c r="R367" s="585">
        <f>R363+R364+R365+R366</f>
        <v>333000</v>
      </c>
      <c r="S367" s="585">
        <f>S363+S364+S365+S366</f>
        <v>305500</v>
      </c>
      <c r="T367" s="585">
        <f>T363+T364+T365+T366</f>
        <v>106500</v>
      </c>
      <c r="U367" s="585">
        <f>U363+U364+U365+U366</f>
        <v>-85455.539999999979</v>
      </c>
      <c r="V367" s="585">
        <f>SUM(V362:V366)</f>
        <v>565127.46</v>
      </c>
      <c r="W367" s="566"/>
      <c r="X367" s="585">
        <f>(X363+X364+X365+X366)</f>
        <v>0</v>
      </c>
      <c r="Y367" s="575"/>
      <c r="Z367" s="575"/>
      <c r="AA367" s="575"/>
      <c r="AB367" s="585">
        <f>SUM(AB363:AB366)</f>
        <v>0</v>
      </c>
      <c r="AC367" s="585">
        <f>SUM(AC363:AC366)</f>
        <v>948500</v>
      </c>
      <c r="AD367" s="566"/>
      <c r="AE367" s="566"/>
      <c r="AF367" s="566"/>
      <c r="AG367" s="566"/>
      <c r="AH367" s="566"/>
      <c r="AI367" s="566"/>
      <c r="AJ367" s="569"/>
      <c r="AK367" s="570"/>
      <c r="AL367" s="552"/>
      <c r="AM367" s="522"/>
      <c r="AN367" s="522"/>
    </row>
    <row r="368" spans="1:43" ht="22.2" customHeight="1" x14ac:dyDescent="0.25">
      <c r="A368" s="522"/>
      <c r="B368" s="560" t="s">
        <v>327</v>
      </c>
      <c r="C368" s="561" t="s">
        <v>327</v>
      </c>
      <c r="D368" s="560">
        <v>656530014</v>
      </c>
      <c r="E368" s="562">
        <v>801</v>
      </c>
      <c r="F368" s="563">
        <v>656</v>
      </c>
      <c r="G368" s="564">
        <v>5300000590</v>
      </c>
      <c r="H368" s="565" t="s">
        <v>219</v>
      </c>
      <c r="I368" s="565">
        <v>225</v>
      </c>
      <c r="J368" s="531"/>
      <c r="K368" s="566"/>
      <c r="L368" s="567"/>
      <c r="M368" s="567"/>
      <c r="N368" s="567"/>
      <c r="O368" s="567"/>
      <c r="P368" s="567"/>
      <c r="Q368" s="568">
        <f t="shared" ref="Q368:Q376" si="7">R368+S368+T368+U368</f>
        <v>42000</v>
      </c>
      <c r="R368" s="566">
        <v>10500</v>
      </c>
      <c r="S368" s="566">
        <v>10500</v>
      </c>
      <c r="T368" s="566">
        <v>10500</v>
      </c>
      <c r="U368" s="566">
        <v>10500</v>
      </c>
      <c r="V368" s="569">
        <v>63121.2</v>
      </c>
      <c r="W368" s="567" t="s">
        <v>651</v>
      </c>
      <c r="X368" s="568"/>
      <c r="Y368" s="569"/>
      <c r="Z368" s="569"/>
      <c r="AA368" s="569"/>
      <c r="AB368" s="569"/>
      <c r="AC368" s="569">
        <v>57000</v>
      </c>
      <c r="AD368" s="566"/>
      <c r="AE368" s="566"/>
      <c r="AF368" s="566"/>
      <c r="AG368" s="566">
        <v>149721.59</v>
      </c>
      <c r="AH368" s="566">
        <v>0</v>
      </c>
      <c r="AI368" s="566"/>
      <c r="AJ368" s="569"/>
      <c r="AK368" s="570">
        <v>0.66066020310275764</v>
      </c>
      <c r="AL368" s="552" t="s">
        <v>195</v>
      </c>
      <c r="AM368" s="522"/>
      <c r="AN368" s="522"/>
    </row>
    <row r="369" spans="1:40" ht="12.75" customHeight="1" x14ac:dyDescent="0.25">
      <c r="A369" s="522"/>
      <c r="B369" s="560" t="s">
        <v>327</v>
      </c>
      <c r="C369" s="561" t="s">
        <v>327</v>
      </c>
      <c r="D369" s="560"/>
      <c r="E369" s="562"/>
      <c r="F369" s="563"/>
      <c r="G369" s="564">
        <v>5300000590</v>
      </c>
      <c r="H369" s="565" t="s">
        <v>219</v>
      </c>
      <c r="I369" s="565">
        <v>225</v>
      </c>
      <c r="J369" s="531"/>
      <c r="K369" s="566"/>
      <c r="L369" s="567"/>
      <c r="M369" s="567"/>
      <c r="N369" s="567"/>
      <c r="O369" s="567"/>
      <c r="P369" s="567"/>
      <c r="Q369" s="568">
        <f t="shared" si="7"/>
        <v>17000</v>
      </c>
      <c r="R369" s="566">
        <v>4250</v>
      </c>
      <c r="S369" s="566">
        <v>4250</v>
      </c>
      <c r="T369" s="566">
        <v>4250</v>
      </c>
      <c r="U369" s="566">
        <v>4250</v>
      </c>
      <c r="V369" s="569">
        <v>50410.13</v>
      </c>
      <c r="W369" s="566" t="s">
        <v>652</v>
      </c>
      <c r="X369" s="569"/>
      <c r="Y369" s="569"/>
      <c r="Z369" s="569"/>
      <c r="AA369" s="569"/>
      <c r="AB369" s="569"/>
      <c r="AC369" s="569">
        <v>74000</v>
      </c>
      <c r="AD369" s="566"/>
      <c r="AE369" s="566"/>
      <c r="AF369" s="566"/>
      <c r="AG369" s="566">
        <v>149721.59</v>
      </c>
      <c r="AH369" s="566">
        <v>0</v>
      </c>
      <c r="AI369" s="566"/>
      <c r="AJ369" s="569"/>
      <c r="AK369" s="570">
        <v>0.66066020310275764</v>
      </c>
      <c r="AL369" s="552" t="s">
        <v>195</v>
      </c>
      <c r="AM369" s="522"/>
      <c r="AN369" s="522"/>
    </row>
    <row r="370" spans="1:40" ht="12.75" customHeight="1" x14ac:dyDescent="0.25">
      <c r="A370" s="522"/>
      <c r="B370" s="560" t="s">
        <v>327</v>
      </c>
      <c r="C370" s="561" t="s">
        <v>327</v>
      </c>
      <c r="D370" s="560"/>
      <c r="E370" s="562"/>
      <c r="F370" s="563"/>
      <c r="G370" s="564">
        <v>5300000590</v>
      </c>
      <c r="H370" s="565" t="s">
        <v>219</v>
      </c>
      <c r="I370" s="565">
        <v>225</v>
      </c>
      <c r="J370" s="531"/>
      <c r="K370" s="566"/>
      <c r="L370" s="567"/>
      <c r="M370" s="567"/>
      <c r="N370" s="567"/>
      <c r="O370" s="567"/>
      <c r="P370" s="567"/>
      <c r="Q370" s="568">
        <f t="shared" si="7"/>
        <v>30000</v>
      </c>
      <c r="R370" s="566">
        <v>7500</v>
      </c>
      <c r="S370" s="566">
        <v>7500</v>
      </c>
      <c r="T370" s="566">
        <v>7500</v>
      </c>
      <c r="U370" s="566">
        <v>7500</v>
      </c>
      <c r="V370" s="569">
        <v>0</v>
      </c>
      <c r="W370" s="566" t="s">
        <v>653</v>
      </c>
      <c r="X370" s="575"/>
      <c r="Y370" s="575"/>
      <c r="Z370" s="575"/>
      <c r="AA370" s="575"/>
      <c r="AB370" s="569"/>
      <c r="AC370" s="569">
        <v>20000</v>
      </c>
      <c r="AD370" s="566"/>
      <c r="AE370" s="566"/>
      <c r="AF370" s="566"/>
      <c r="AG370" s="566">
        <v>149721.59</v>
      </c>
      <c r="AH370" s="566">
        <v>0</v>
      </c>
      <c r="AI370" s="566"/>
      <c r="AJ370" s="569"/>
      <c r="AK370" s="570">
        <v>0.66066020310275764</v>
      </c>
      <c r="AL370" s="552" t="s">
        <v>195</v>
      </c>
      <c r="AM370" s="522"/>
      <c r="AN370" s="522"/>
    </row>
    <row r="371" spans="1:40" ht="12.75" customHeight="1" x14ac:dyDescent="0.25">
      <c r="A371" s="522"/>
      <c r="B371" s="560" t="s">
        <v>327</v>
      </c>
      <c r="C371" s="561" t="s">
        <v>327</v>
      </c>
      <c r="D371" s="560"/>
      <c r="E371" s="562"/>
      <c r="F371" s="563"/>
      <c r="G371" s="564">
        <v>5300000590</v>
      </c>
      <c r="H371" s="565" t="s">
        <v>219</v>
      </c>
      <c r="I371" s="565">
        <v>225</v>
      </c>
      <c r="J371" s="531"/>
      <c r="K371" s="566"/>
      <c r="L371" s="567"/>
      <c r="M371" s="567"/>
      <c r="N371" s="567"/>
      <c r="O371" s="567"/>
      <c r="P371" s="567"/>
      <c r="Q371" s="568">
        <f t="shared" si="7"/>
        <v>3000</v>
      </c>
      <c r="R371" s="566">
        <v>1000</v>
      </c>
      <c r="S371" s="566">
        <v>1000</v>
      </c>
      <c r="T371" s="566">
        <v>1000</v>
      </c>
      <c r="U371" s="566"/>
      <c r="V371" s="569">
        <v>7650</v>
      </c>
      <c r="W371" s="566" t="s">
        <v>328</v>
      </c>
      <c r="X371" s="575"/>
      <c r="Y371" s="575"/>
      <c r="Z371" s="575"/>
      <c r="AA371" s="575"/>
      <c r="AB371" s="569"/>
      <c r="AC371" s="569">
        <v>7500</v>
      </c>
      <c r="AD371" s="566"/>
      <c r="AE371" s="566"/>
      <c r="AF371" s="566"/>
      <c r="AG371" s="566">
        <v>149721.59</v>
      </c>
      <c r="AH371" s="566">
        <v>0</v>
      </c>
      <c r="AI371" s="566"/>
      <c r="AJ371" s="569"/>
      <c r="AK371" s="570">
        <v>0.66066020310275764</v>
      </c>
      <c r="AL371" s="552" t="s">
        <v>195</v>
      </c>
      <c r="AM371" s="522"/>
      <c r="AN371" s="522"/>
    </row>
    <row r="372" spans="1:40" ht="15.75" customHeight="1" x14ac:dyDescent="0.25">
      <c r="A372" s="522"/>
      <c r="B372" s="560" t="s">
        <v>327</v>
      </c>
      <c r="C372" s="561" t="s">
        <v>327</v>
      </c>
      <c r="D372" s="560"/>
      <c r="E372" s="562"/>
      <c r="F372" s="563"/>
      <c r="G372" s="564">
        <v>5300000590</v>
      </c>
      <c r="H372" s="565" t="s">
        <v>219</v>
      </c>
      <c r="I372" s="565">
        <v>225</v>
      </c>
      <c r="J372" s="531"/>
      <c r="K372" s="566"/>
      <c r="L372" s="567"/>
      <c r="M372" s="567"/>
      <c r="N372" s="567"/>
      <c r="O372" s="567"/>
      <c r="P372" s="567"/>
      <c r="Q372" s="568">
        <f t="shared" si="7"/>
        <v>42000</v>
      </c>
      <c r="R372" s="566">
        <v>10500</v>
      </c>
      <c r="S372" s="566">
        <v>10500</v>
      </c>
      <c r="T372" s="566">
        <v>10500</v>
      </c>
      <c r="U372" s="566">
        <v>10500</v>
      </c>
      <c r="V372" s="569">
        <v>63000</v>
      </c>
      <c r="W372" s="566" t="s">
        <v>654</v>
      </c>
      <c r="X372" s="575"/>
      <c r="Y372" s="575"/>
      <c r="Z372" s="575"/>
      <c r="AA372" s="575"/>
      <c r="AB372" s="569"/>
      <c r="AC372" s="569">
        <v>0</v>
      </c>
      <c r="AD372" s="566"/>
      <c r="AE372" s="566"/>
      <c r="AF372" s="566"/>
      <c r="AG372" s="566">
        <v>149721.59</v>
      </c>
      <c r="AH372" s="566">
        <v>0</v>
      </c>
      <c r="AI372" s="566"/>
      <c r="AJ372" s="569"/>
      <c r="AK372" s="570">
        <v>0.66066020310275764</v>
      </c>
      <c r="AL372" s="552" t="s">
        <v>195</v>
      </c>
      <c r="AM372" s="522"/>
      <c r="AN372" s="522"/>
    </row>
    <row r="373" spans="1:40" ht="12.75" customHeight="1" x14ac:dyDescent="0.25">
      <c r="A373" s="522"/>
      <c r="B373" s="560"/>
      <c r="C373" s="561"/>
      <c r="D373" s="560"/>
      <c r="E373" s="562"/>
      <c r="F373" s="563"/>
      <c r="G373" s="564">
        <v>5300000590</v>
      </c>
      <c r="H373" s="565"/>
      <c r="I373" s="565"/>
      <c r="J373" s="531"/>
      <c r="K373" s="566"/>
      <c r="L373" s="567"/>
      <c r="M373" s="567"/>
      <c r="N373" s="567"/>
      <c r="O373" s="567"/>
      <c r="P373" s="567"/>
      <c r="Q373" s="568"/>
      <c r="R373" s="566"/>
      <c r="S373" s="566"/>
      <c r="T373" s="566"/>
      <c r="U373" s="566"/>
      <c r="V373" s="569">
        <v>82482.710000000006</v>
      </c>
      <c r="W373" s="566" t="s">
        <v>329</v>
      </c>
      <c r="X373" s="575"/>
      <c r="Y373" s="575"/>
      <c r="Z373" s="575"/>
      <c r="AA373" s="575"/>
      <c r="AB373" s="569"/>
      <c r="AC373" s="569"/>
      <c r="AD373" s="566"/>
      <c r="AE373" s="566"/>
      <c r="AF373" s="566"/>
      <c r="AG373" s="566"/>
      <c r="AH373" s="566"/>
      <c r="AI373" s="566"/>
      <c r="AJ373" s="569"/>
      <c r="AK373" s="570"/>
      <c r="AL373" s="552"/>
      <c r="AM373" s="522"/>
      <c r="AN373" s="522"/>
    </row>
    <row r="374" spans="1:40" ht="12.75" customHeight="1" x14ac:dyDescent="0.25">
      <c r="A374" s="522"/>
      <c r="B374" s="560"/>
      <c r="C374" s="561"/>
      <c r="D374" s="560"/>
      <c r="E374" s="562"/>
      <c r="F374" s="563"/>
      <c r="G374" s="564">
        <v>5300000590</v>
      </c>
      <c r="H374" s="565"/>
      <c r="I374" s="565">
        <v>225</v>
      </c>
      <c r="J374" s="531"/>
      <c r="K374" s="566"/>
      <c r="L374" s="567"/>
      <c r="M374" s="567"/>
      <c r="N374" s="567"/>
      <c r="O374" s="567"/>
      <c r="P374" s="567"/>
      <c r="Q374" s="568">
        <f t="shared" si="7"/>
        <v>71000</v>
      </c>
      <c r="R374" s="569">
        <v>71000</v>
      </c>
      <c r="S374" s="566"/>
      <c r="T374" s="566"/>
      <c r="U374" s="566"/>
      <c r="V374" s="569">
        <v>60000</v>
      </c>
      <c r="W374" s="566" t="s">
        <v>655</v>
      </c>
      <c r="X374" s="575"/>
      <c r="Y374" s="575"/>
      <c r="Z374" s="575"/>
      <c r="AA374" s="575"/>
      <c r="AB374" s="569"/>
      <c r="AC374" s="569">
        <v>60000</v>
      </c>
      <c r="AD374" s="566"/>
      <c r="AE374" s="566"/>
      <c r="AF374" s="566"/>
      <c r="AG374" s="566"/>
      <c r="AH374" s="566"/>
      <c r="AI374" s="566"/>
      <c r="AJ374" s="569"/>
      <c r="AK374" s="570"/>
      <c r="AL374" s="552"/>
      <c r="AM374" s="522"/>
      <c r="AN374" s="522"/>
    </row>
    <row r="375" spans="1:40" ht="12.75" customHeight="1" x14ac:dyDescent="0.25">
      <c r="A375" s="522"/>
      <c r="B375" s="560" t="s">
        <v>327</v>
      </c>
      <c r="C375" s="561" t="s">
        <v>327</v>
      </c>
      <c r="D375" s="560"/>
      <c r="E375" s="562"/>
      <c r="F375" s="563"/>
      <c r="G375" s="564">
        <v>5300000590</v>
      </c>
      <c r="H375" s="565" t="s">
        <v>219</v>
      </c>
      <c r="I375" s="565">
        <v>225</v>
      </c>
      <c r="J375" s="531"/>
      <c r="K375" s="566"/>
      <c r="L375" s="567"/>
      <c r="M375" s="567"/>
      <c r="N375" s="567"/>
      <c r="O375" s="567"/>
      <c r="P375" s="567"/>
      <c r="Q375" s="568">
        <f t="shared" si="7"/>
        <v>65000</v>
      </c>
      <c r="R375" s="569">
        <v>65000</v>
      </c>
      <c r="S375" s="566"/>
      <c r="T375" s="566"/>
      <c r="U375" s="566"/>
      <c r="V375" s="569">
        <f>148600-326664.04</f>
        <v>-178064.03999999998</v>
      </c>
      <c r="W375" s="566" t="s">
        <v>662</v>
      </c>
      <c r="X375" s="575"/>
      <c r="Y375" s="575"/>
      <c r="Z375" s="575"/>
      <c r="AA375" s="575"/>
      <c r="AB375" s="569">
        <f>187491.9+29323.1-200027.43+8000+1.43</f>
        <v>24789.000000000007</v>
      </c>
      <c r="AC375" s="569">
        <f>40000-21231</f>
        <v>18769</v>
      </c>
      <c r="AD375" s="566"/>
      <c r="AE375" s="566"/>
      <c r="AF375" s="566"/>
      <c r="AG375" s="566">
        <v>149721.59</v>
      </c>
      <c r="AH375" s="566">
        <v>0</v>
      </c>
      <c r="AI375" s="566"/>
      <c r="AJ375" s="569"/>
      <c r="AK375" s="570">
        <v>0.66066020310275764</v>
      </c>
      <c r="AL375" s="552" t="s">
        <v>195</v>
      </c>
      <c r="AM375" s="522"/>
      <c r="AN375" s="522"/>
    </row>
    <row r="376" spans="1:40" ht="12.75" customHeight="1" x14ac:dyDescent="0.25">
      <c r="A376" s="522"/>
      <c r="B376" s="560" t="s">
        <v>327</v>
      </c>
      <c r="C376" s="561" t="s">
        <v>327</v>
      </c>
      <c r="D376" s="560"/>
      <c r="E376" s="562"/>
      <c r="F376" s="563"/>
      <c r="G376" s="564">
        <v>5300000590</v>
      </c>
      <c r="H376" s="565" t="s">
        <v>219</v>
      </c>
      <c r="I376" s="565">
        <v>225</v>
      </c>
      <c r="J376" s="531"/>
      <c r="K376" s="566"/>
      <c r="L376" s="567"/>
      <c r="M376" s="567"/>
      <c r="N376" s="567"/>
      <c r="O376" s="567"/>
      <c r="P376" s="567"/>
      <c r="Q376" s="568">
        <f t="shared" si="7"/>
        <v>60000</v>
      </c>
      <c r="R376" s="566">
        <v>60000</v>
      </c>
      <c r="S376" s="566">
        <v>0</v>
      </c>
      <c r="T376" s="566">
        <v>0</v>
      </c>
      <c r="U376" s="566">
        <v>0</v>
      </c>
      <c r="V376" s="569"/>
      <c r="W376" s="566"/>
      <c r="X376" s="575"/>
      <c r="Y376" s="575"/>
      <c r="Z376" s="575"/>
      <c r="AA376" s="575"/>
      <c r="AB376" s="569"/>
      <c r="AC376" s="585">
        <v>60000</v>
      </c>
      <c r="AD376" s="566"/>
      <c r="AE376" s="566"/>
      <c r="AF376" s="566"/>
      <c r="AG376" s="566">
        <v>149721.59</v>
      </c>
      <c r="AH376" s="566">
        <v>0</v>
      </c>
      <c r="AI376" s="566"/>
      <c r="AJ376" s="569"/>
      <c r="AK376" s="570">
        <v>0.66066020310275764</v>
      </c>
      <c r="AL376" s="552" t="s">
        <v>195</v>
      </c>
      <c r="AM376" s="522"/>
      <c r="AN376" s="522"/>
    </row>
    <row r="377" spans="1:40" ht="12.75" customHeight="1" x14ac:dyDescent="0.25">
      <c r="A377" s="522"/>
      <c r="B377" s="560"/>
      <c r="C377" s="561"/>
      <c r="D377" s="560"/>
      <c r="E377" s="562"/>
      <c r="F377" s="563"/>
      <c r="G377" s="564"/>
      <c r="H377" s="565"/>
      <c r="I377" s="565"/>
      <c r="J377" s="531"/>
      <c r="K377" s="566"/>
      <c r="L377" s="567"/>
      <c r="M377" s="567"/>
      <c r="N377" s="567"/>
      <c r="O377" s="567"/>
      <c r="P377" s="567"/>
      <c r="Q377" s="585">
        <f>Q369+Q370+Q371+Q372+Q375+Q376+Q374+Q368</f>
        <v>330000</v>
      </c>
      <c r="R377" s="585">
        <f>SUM(R368:R376)</f>
        <v>229750</v>
      </c>
      <c r="S377" s="585">
        <f>SUM(S368:S376)</f>
        <v>33750</v>
      </c>
      <c r="T377" s="585">
        <f>SUM(T368:T376)</f>
        <v>33750</v>
      </c>
      <c r="U377" s="585">
        <f>SUM(U368:U376)</f>
        <v>32750</v>
      </c>
      <c r="V377" s="585">
        <f t="shared" ref="V377" si="8">SUM(V368:V376)</f>
        <v>148600</v>
      </c>
      <c r="W377" s="566"/>
      <c r="X377" s="585">
        <v>20000</v>
      </c>
      <c r="Y377" s="575"/>
      <c r="Z377" s="575">
        <v>67931.5</v>
      </c>
      <c r="AA377" s="575"/>
      <c r="AB377" s="585">
        <f>SUM(AB368:AB376)</f>
        <v>24789.000000000007</v>
      </c>
      <c r="AC377" s="585">
        <f>SUM(AC368:AC376)</f>
        <v>297269</v>
      </c>
      <c r="AD377" s="566"/>
      <c r="AE377" s="566"/>
      <c r="AF377" s="566"/>
      <c r="AG377" s="566"/>
      <c r="AH377" s="566"/>
      <c r="AI377" s="566"/>
      <c r="AJ377" s="569"/>
      <c r="AK377" s="570"/>
      <c r="AL377" s="552"/>
      <c r="AM377" s="522"/>
      <c r="AN377" s="522"/>
    </row>
    <row r="378" spans="1:40" ht="12.75" customHeight="1" x14ac:dyDescent="0.25">
      <c r="A378" s="522"/>
      <c r="B378" s="560" t="s">
        <v>327</v>
      </c>
      <c r="C378" s="561" t="s">
        <v>327</v>
      </c>
      <c r="D378" s="560">
        <v>656530014</v>
      </c>
      <c r="E378" s="562">
        <v>801</v>
      </c>
      <c r="F378" s="563">
        <v>656</v>
      </c>
      <c r="G378" s="564">
        <v>5300000590</v>
      </c>
      <c r="H378" s="565" t="s">
        <v>219</v>
      </c>
      <c r="I378" s="565">
        <v>226</v>
      </c>
      <c r="J378" s="531">
        <v>0</v>
      </c>
      <c r="K378" s="566"/>
      <c r="L378" s="567">
        <v>33000</v>
      </c>
      <c r="M378" s="567">
        <v>5000</v>
      </c>
      <c r="N378" s="567">
        <v>7328</v>
      </c>
      <c r="O378" s="567">
        <v>2000</v>
      </c>
      <c r="P378" s="567">
        <v>47328</v>
      </c>
      <c r="Q378" s="568"/>
      <c r="R378" s="566"/>
      <c r="S378" s="566"/>
      <c r="T378" s="566"/>
      <c r="U378" s="566"/>
      <c r="V378" s="569">
        <v>0</v>
      </c>
      <c r="W378" s="566" t="s">
        <v>656</v>
      </c>
      <c r="X378" s="575"/>
      <c r="Y378" s="575"/>
      <c r="Z378" s="575"/>
      <c r="AA378" s="575"/>
      <c r="AB378" s="569"/>
      <c r="AC378" s="569"/>
      <c r="AD378" s="566"/>
      <c r="AE378" s="566"/>
      <c r="AF378" s="566"/>
      <c r="AG378" s="566">
        <v>35629.01</v>
      </c>
      <c r="AH378" s="566">
        <v>0</v>
      </c>
      <c r="AI378" s="566"/>
      <c r="AJ378" s="569"/>
      <c r="AK378" s="570">
        <v>0.75281038708586889</v>
      </c>
      <c r="AL378" s="552" t="s">
        <v>195</v>
      </c>
      <c r="AM378" s="522"/>
      <c r="AN378" s="522"/>
    </row>
    <row r="379" spans="1:40" ht="21.75" customHeight="1" x14ac:dyDescent="0.25">
      <c r="A379" s="522"/>
      <c r="B379" s="560"/>
      <c r="C379" s="561"/>
      <c r="D379" s="560"/>
      <c r="E379" s="562"/>
      <c r="F379" s="563"/>
      <c r="G379" s="564">
        <v>5300000590</v>
      </c>
      <c r="H379" s="565"/>
      <c r="I379" s="565"/>
      <c r="J379" s="531"/>
      <c r="K379" s="566"/>
      <c r="L379" s="567"/>
      <c r="M379" s="567"/>
      <c r="N379" s="567"/>
      <c r="O379" s="567"/>
      <c r="P379" s="567"/>
      <c r="Q379" s="568">
        <f>R379+S379+T379+U379</f>
        <v>0</v>
      </c>
      <c r="R379" s="566"/>
      <c r="S379" s="566"/>
      <c r="T379" s="566"/>
      <c r="U379" s="566"/>
      <c r="V379" s="569">
        <v>0</v>
      </c>
      <c r="W379" s="566" t="s">
        <v>657</v>
      </c>
      <c r="X379" s="575"/>
      <c r="Y379" s="575"/>
      <c r="Z379" s="575"/>
      <c r="AA379" s="575"/>
      <c r="AB379" s="569"/>
      <c r="AC379" s="569"/>
      <c r="AD379" s="566"/>
      <c r="AE379" s="566"/>
      <c r="AF379" s="566"/>
      <c r="AG379" s="566"/>
      <c r="AH379" s="566"/>
      <c r="AI379" s="566"/>
      <c r="AJ379" s="569"/>
      <c r="AK379" s="570"/>
      <c r="AL379" s="552"/>
      <c r="AM379" s="522"/>
      <c r="AN379" s="522"/>
    </row>
    <row r="380" spans="1:40" ht="12.75" customHeight="1" x14ac:dyDescent="0.25">
      <c r="A380" s="522"/>
      <c r="B380" s="560" t="s">
        <v>327</v>
      </c>
      <c r="C380" s="561" t="s">
        <v>327</v>
      </c>
      <c r="D380" s="560"/>
      <c r="E380" s="562"/>
      <c r="F380" s="563"/>
      <c r="G380" s="564">
        <v>5300000590</v>
      </c>
      <c r="H380" s="565" t="s">
        <v>219</v>
      </c>
      <c r="I380" s="565">
        <v>226</v>
      </c>
      <c r="J380" s="531"/>
      <c r="K380" s="566"/>
      <c r="L380" s="567"/>
      <c r="M380" s="567"/>
      <c r="N380" s="567"/>
      <c r="O380" s="567"/>
      <c r="P380" s="567"/>
      <c r="Q380" s="568">
        <f>R380+S380+T380+U380</f>
        <v>0</v>
      </c>
      <c r="R380" s="566"/>
      <c r="S380" s="566"/>
      <c r="T380" s="566"/>
      <c r="U380" s="566"/>
      <c r="V380" s="569">
        <v>8162</v>
      </c>
      <c r="W380" s="566" t="s">
        <v>658</v>
      </c>
      <c r="X380" s="575"/>
      <c r="Y380" s="575"/>
      <c r="Z380" s="575"/>
      <c r="AA380" s="575"/>
      <c r="AB380" s="569"/>
      <c r="AC380" s="569"/>
      <c r="AD380" s="566"/>
      <c r="AE380" s="566"/>
      <c r="AF380" s="566"/>
      <c r="AG380" s="566">
        <v>35629.01</v>
      </c>
      <c r="AH380" s="566">
        <v>0</v>
      </c>
      <c r="AI380" s="566"/>
      <c r="AJ380" s="569"/>
      <c r="AK380" s="570">
        <v>0.75281038708586889</v>
      </c>
      <c r="AL380" s="552" t="s">
        <v>195</v>
      </c>
      <c r="AM380" s="522"/>
      <c r="AN380" s="522"/>
    </row>
    <row r="381" spans="1:40" ht="12.75" customHeight="1" x14ac:dyDescent="0.25">
      <c r="A381" s="522"/>
      <c r="B381" s="560" t="s">
        <v>327</v>
      </c>
      <c r="C381" s="561" t="s">
        <v>327</v>
      </c>
      <c r="D381" s="560"/>
      <c r="E381" s="562"/>
      <c r="F381" s="563"/>
      <c r="G381" s="564">
        <v>5300000590</v>
      </c>
      <c r="H381" s="565" t="s">
        <v>219</v>
      </c>
      <c r="I381" s="565">
        <v>226</v>
      </c>
      <c r="J381" s="531"/>
      <c r="K381" s="566"/>
      <c r="L381" s="567"/>
      <c r="M381" s="567"/>
      <c r="N381" s="567"/>
      <c r="O381" s="567"/>
      <c r="P381" s="567"/>
      <c r="Q381" s="568">
        <f>R381+S381+T381+U381</f>
        <v>0</v>
      </c>
      <c r="R381" s="566"/>
      <c r="S381" s="566"/>
      <c r="T381" s="566"/>
      <c r="U381" s="566"/>
      <c r="V381" s="569">
        <f>97000-93162</f>
        <v>3838</v>
      </c>
      <c r="W381" s="566" t="s">
        <v>659</v>
      </c>
      <c r="X381" s="575"/>
      <c r="Y381" s="575"/>
      <c r="Z381" s="575"/>
      <c r="AA381" s="575"/>
      <c r="AB381" s="569"/>
      <c r="AC381" s="569"/>
      <c r="AD381" s="566"/>
      <c r="AE381" s="566"/>
      <c r="AF381" s="566"/>
      <c r="AG381" s="566">
        <v>35629.01</v>
      </c>
      <c r="AH381" s="566">
        <v>0</v>
      </c>
      <c r="AI381" s="566"/>
      <c r="AJ381" s="569"/>
      <c r="AK381" s="570">
        <v>0.75281038708586889</v>
      </c>
      <c r="AL381" s="552" t="s">
        <v>195</v>
      </c>
      <c r="AM381" s="522"/>
      <c r="AN381" s="522"/>
    </row>
    <row r="382" spans="1:40" ht="12.75" customHeight="1" x14ac:dyDescent="0.25">
      <c r="A382" s="522"/>
      <c r="B382" s="560"/>
      <c r="C382" s="561"/>
      <c r="D382" s="560"/>
      <c r="E382" s="562"/>
      <c r="F382" s="563"/>
      <c r="G382" s="564"/>
      <c r="H382" s="565"/>
      <c r="I382" s="565"/>
      <c r="J382" s="531"/>
      <c r="K382" s="566"/>
      <c r="L382" s="567"/>
      <c r="M382" s="567"/>
      <c r="N382" s="567"/>
      <c r="O382" s="567"/>
      <c r="P382" s="567"/>
      <c r="Q382" s="568"/>
      <c r="R382" s="566"/>
      <c r="S382" s="566"/>
      <c r="T382" s="566"/>
      <c r="U382" s="566"/>
      <c r="V382" s="569">
        <v>0</v>
      </c>
      <c r="W382" s="566" t="s">
        <v>660</v>
      </c>
      <c r="X382" s="575"/>
      <c r="Y382" s="575"/>
      <c r="Z382" s="575"/>
      <c r="AA382" s="575"/>
      <c r="AB382" s="569"/>
      <c r="AC382" s="569"/>
      <c r="AD382" s="566"/>
      <c r="AE382" s="566"/>
      <c r="AF382" s="566"/>
      <c r="AG382" s="566"/>
      <c r="AH382" s="566"/>
      <c r="AI382" s="566"/>
      <c r="AJ382" s="569"/>
      <c r="AK382" s="570"/>
      <c r="AL382" s="552"/>
      <c r="AM382" s="522"/>
      <c r="AN382" s="522"/>
    </row>
    <row r="383" spans="1:40" ht="12.75" customHeight="1" x14ac:dyDescent="0.25">
      <c r="A383" s="522"/>
      <c r="B383" s="560"/>
      <c r="C383" s="561"/>
      <c r="D383" s="560"/>
      <c r="E383" s="562"/>
      <c r="F383" s="563"/>
      <c r="G383" s="564"/>
      <c r="H383" s="565"/>
      <c r="I383" s="565"/>
      <c r="J383" s="531"/>
      <c r="K383" s="566"/>
      <c r="L383" s="567"/>
      <c r="M383" s="567"/>
      <c r="N383" s="567"/>
      <c r="O383" s="567"/>
      <c r="P383" s="567"/>
      <c r="Q383" s="568"/>
      <c r="R383" s="566"/>
      <c r="S383" s="566"/>
      <c r="T383" s="566"/>
      <c r="U383" s="566"/>
      <c r="V383" s="569">
        <v>25000</v>
      </c>
      <c r="W383" s="566" t="s">
        <v>661</v>
      </c>
      <c r="X383" s="575"/>
      <c r="Y383" s="575"/>
      <c r="Z383" s="575"/>
      <c r="AA383" s="575"/>
      <c r="AB383" s="569"/>
      <c r="AC383" s="569"/>
      <c r="AD383" s="566"/>
      <c r="AE383" s="566"/>
      <c r="AF383" s="566"/>
      <c r="AG383" s="566"/>
      <c r="AH383" s="566"/>
      <c r="AI383" s="566"/>
      <c r="AJ383" s="569"/>
      <c r="AK383" s="570"/>
      <c r="AL383" s="552"/>
      <c r="AM383" s="522"/>
      <c r="AN383" s="522"/>
    </row>
    <row r="384" spans="1:40" ht="12.75" customHeight="1" x14ac:dyDescent="0.25">
      <c r="A384" s="522"/>
      <c r="B384" s="560"/>
      <c r="C384" s="561"/>
      <c r="D384" s="560"/>
      <c r="E384" s="562"/>
      <c r="F384" s="563"/>
      <c r="G384" s="564"/>
      <c r="H384" s="565"/>
      <c r="I384" s="565"/>
      <c r="J384" s="531"/>
      <c r="K384" s="566"/>
      <c r="L384" s="567"/>
      <c r="M384" s="567"/>
      <c r="N384" s="567"/>
      <c r="O384" s="567"/>
      <c r="P384" s="567"/>
      <c r="Q384" s="568"/>
      <c r="R384" s="566"/>
      <c r="S384" s="566"/>
      <c r="T384" s="566"/>
      <c r="U384" s="566"/>
      <c r="V384" s="569">
        <v>60000</v>
      </c>
      <c r="W384" s="566" t="s">
        <v>231</v>
      </c>
      <c r="X384" s="575"/>
      <c r="Y384" s="575"/>
      <c r="Z384" s="575"/>
      <c r="AA384" s="575"/>
      <c r="AB384" s="569"/>
      <c r="AC384" s="569"/>
      <c r="AD384" s="566"/>
      <c r="AE384" s="566"/>
      <c r="AF384" s="566"/>
      <c r="AG384" s="566"/>
      <c r="AH384" s="566"/>
      <c r="AI384" s="566"/>
      <c r="AJ384" s="569"/>
      <c r="AK384" s="570"/>
      <c r="AL384" s="552"/>
      <c r="AM384" s="522"/>
      <c r="AN384" s="522"/>
    </row>
    <row r="385" spans="1:42" ht="12.75" customHeight="1" x14ac:dyDescent="0.25">
      <c r="A385" s="635">
        <f>V385</f>
        <v>0</v>
      </c>
      <c r="B385" s="560"/>
      <c r="C385" s="561"/>
      <c r="D385" s="560"/>
      <c r="E385" s="562"/>
      <c r="F385" s="563"/>
      <c r="G385" s="564">
        <v>5300000590</v>
      </c>
      <c r="H385" s="565"/>
      <c r="I385" s="565"/>
      <c r="J385" s="531"/>
      <c r="K385" s="566"/>
      <c r="L385" s="567"/>
      <c r="M385" s="567"/>
      <c r="N385" s="567"/>
      <c r="O385" s="567"/>
      <c r="P385" s="567"/>
      <c r="Q385" s="568">
        <f>R385+S385+T385+U385</f>
        <v>0</v>
      </c>
      <c r="R385" s="566"/>
      <c r="S385" s="566"/>
      <c r="T385" s="566"/>
      <c r="U385" s="566"/>
      <c r="V385" s="569"/>
      <c r="W385" s="566"/>
      <c r="X385" s="575"/>
      <c r="Y385" s="575"/>
      <c r="Z385" s="575"/>
      <c r="AA385" s="575"/>
      <c r="AB385" s="569"/>
      <c r="AC385" s="569"/>
      <c r="AD385" s="566"/>
      <c r="AE385" s="566"/>
      <c r="AF385" s="566"/>
      <c r="AG385" s="566"/>
      <c r="AH385" s="566"/>
      <c r="AI385" s="566"/>
      <c r="AJ385" s="569"/>
      <c r="AK385" s="570"/>
      <c r="AL385" s="552"/>
      <c r="AM385" s="522"/>
      <c r="AN385" s="522"/>
    </row>
    <row r="386" spans="1:42" ht="12.75" customHeight="1" x14ac:dyDescent="0.25">
      <c r="A386" s="522"/>
      <c r="B386" s="560"/>
      <c r="C386" s="561"/>
      <c r="D386" s="560"/>
      <c r="E386" s="562"/>
      <c r="F386" s="563"/>
      <c r="G386" s="564"/>
      <c r="H386" s="565"/>
      <c r="I386" s="565"/>
      <c r="J386" s="531"/>
      <c r="K386" s="566"/>
      <c r="L386" s="567"/>
      <c r="M386" s="567"/>
      <c r="N386" s="567"/>
      <c r="O386" s="567"/>
      <c r="P386" s="567"/>
      <c r="Q386" s="585">
        <f>Q380+Q381+Q385</f>
        <v>0</v>
      </c>
      <c r="R386" s="585">
        <f>R380+R381+R385</f>
        <v>0</v>
      </c>
      <c r="S386" s="585">
        <f>S380+S381</f>
        <v>0</v>
      </c>
      <c r="T386" s="585">
        <f>T380+T381</f>
        <v>0</v>
      </c>
      <c r="U386" s="585">
        <f>U380+U381</f>
        <v>0</v>
      </c>
      <c r="V386" s="585">
        <f>SUM(V378:V384)</f>
        <v>97000</v>
      </c>
      <c r="W386" s="566"/>
      <c r="X386" s="585"/>
      <c r="Y386" s="575"/>
      <c r="Z386" s="575"/>
      <c r="AA386" s="575"/>
      <c r="AB386" s="585">
        <f>AB380+AB381+AB385+AB378+AB379</f>
        <v>0</v>
      </c>
      <c r="AC386" s="585">
        <f>AC380+AC381+AC385+AC378+AC379</f>
        <v>0</v>
      </c>
      <c r="AD386" s="566"/>
      <c r="AE386" s="566"/>
      <c r="AF386" s="566"/>
      <c r="AG386" s="566"/>
      <c r="AH386" s="566"/>
      <c r="AI386" s="566"/>
      <c r="AJ386" s="569"/>
      <c r="AK386" s="570"/>
      <c r="AL386" s="552"/>
      <c r="AM386" s="522"/>
      <c r="AN386" s="522"/>
    </row>
    <row r="387" spans="1:42" s="520" customFormat="1" ht="31.8" customHeight="1" x14ac:dyDescent="0.25">
      <c r="A387" s="636"/>
      <c r="B387" s="560" t="s">
        <v>327</v>
      </c>
      <c r="C387" s="561" t="s">
        <v>327</v>
      </c>
      <c r="D387" s="560">
        <v>656530014</v>
      </c>
      <c r="E387" s="637">
        <v>801</v>
      </c>
      <c r="F387" s="563">
        <v>656</v>
      </c>
      <c r="G387" s="564">
        <v>5300000590</v>
      </c>
      <c r="H387" s="563" t="s">
        <v>219</v>
      </c>
      <c r="I387" s="563">
        <v>290</v>
      </c>
      <c r="J387" s="638" t="s">
        <v>598</v>
      </c>
      <c r="K387" s="567"/>
      <c r="L387" s="567">
        <v>15000</v>
      </c>
      <c r="M387" s="567">
        <v>840</v>
      </c>
      <c r="N387" s="567">
        <v>205.8</v>
      </c>
      <c r="O387" s="567">
        <v>5000</v>
      </c>
      <c r="P387" s="567">
        <v>21045.8</v>
      </c>
      <c r="Q387" s="568">
        <f>R387+S387+T387+U387</f>
        <v>50000</v>
      </c>
      <c r="R387" s="567">
        <v>50000</v>
      </c>
      <c r="S387" s="567">
        <v>0</v>
      </c>
      <c r="T387" s="567">
        <v>0</v>
      </c>
      <c r="U387" s="567"/>
      <c r="V387" s="617">
        <v>20000</v>
      </c>
      <c r="W387" s="567" t="s">
        <v>369</v>
      </c>
      <c r="X387" s="568">
        <v>5000</v>
      </c>
      <c r="Y387" s="568" t="s">
        <v>615</v>
      </c>
      <c r="Z387" s="568"/>
      <c r="AA387" s="568"/>
      <c r="AB387" s="617"/>
      <c r="AC387" s="617"/>
      <c r="AD387" s="567"/>
      <c r="AE387" s="567"/>
      <c r="AF387" s="567"/>
      <c r="AG387" s="567">
        <v>15974.02</v>
      </c>
      <c r="AH387" s="567">
        <v>0</v>
      </c>
      <c r="AI387" s="567"/>
      <c r="AJ387" s="617"/>
      <c r="AK387" s="639">
        <v>0.75901224947495471</v>
      </c>
      <c r="AL387" s="640" t="s">
        <v>195</v>
      </c>
      <c r="AM387" s="636"/>
      <c r="AN387" s="636"/>
    </row>
    <row r="388" spans="1:42" ht="12.75" customHeight="1" x14ac:dyDescent="0.25">
      <c r="A388" s="522"/>
      <c r="B388" s="560" t="s">
        <v>327</v>
      </c>
      <c r="C388" s="561" t="s">
        <v>327</v>
      </c>
      <c r="D388" s="560"/>
      <c r="E388" s="562"/>
      <c r="F388" s="563"/>
      <c r="G388" s="564">
        <v>5300000590</v>
      </c>
      <c r="H388" s="565">
        <v>851</v>
      </c>
      <c r="I388" s="565">
        <v>290</v>
      </c>
      <c r="J388" s="531" t="s">
        <v>599</v>
      </c>
      <c r="K388" s="566"/>
      <c r="L388" s="567"/>
      <c r="M388" s="567"/>
      <c r="N388" s="567"/>
      <c r="O388" s="567"/>
      <c r="P388" s="567"/>
      <c r="Q388" s="568">
        <f>R388+S388+T388+U388</f>
        <v>2000</v>
      </c>
      <c r="R388" s="566">
        <v>2000</v>
      </c>
      <c r="S388" s="566"/>
      <c r="T388" s="566"/>
      <c r="U388" s="566"/>
      <c r="V388" s="569">
        <v>12000</v>
      </c>
      <c r="W388" s="566" t="s">
        <v>330</v>
      </c>
      <c r="X388" s="575"/>
      <c r="Y388" s="575"/>
      <c r="Z388" s="575"/>
      <c r="AA388" s="575"/>
      <c r="AB388" s="569"/>
      <c r="AC388" s="569"/>
      <c r="AD388" s="566"/>
      <c r="AE388" s="566"/>
      <c r="AF388" s="566"/>
      <c r="AG388" s="566">
        <v>15974.02</v>
      </c>
      <c r="AH388" s="566">
        <v>0</v>
      </c>
      <c r="AI388" s="566"/>
      <c r="AJ388" s="569"/>
      <c r="AK388" s="570">
        <v>0.75901224947495471</v>
      </c>
      <c r="AL388" s="552" t="s">
        <v>195</v>
      </c>
      <c r="AM388" s="522"/>
      <c r="AN388" s="522"/>
    </row>
    <row r="389" spans="1:42" ht="12.75" customHeight="1" x14ac:dyDescent="0.25">
      <c r="A389" s="522"/>
      <c r="B389" s="560"/>
      <c r="C389" s="561"/>
      <c r="D389" s="560"/>
      <c r="E389" s="562"/>
      <c r="F389" s="563"/>
      <c r="G389" s="564">
        <v>5300000590</v>
      </c>
      <c r="H389" s="565">
        <v>853</v>
      </c>
      <c r="I389" s="565"/>
      <c r="J389" s="531" t="s">
        <v>222</v>
      </c>
      <c r="K389" s="566"/>
      <c r="L389" s="567"/>
      <c r="M389" s="567"/>
      <c r="N389" s="567"/>
      <c r="O389" s="567"/>
      <c r="P389" s="567"/>
      <c r="Q389" s="568"/>
      <c r="R389" s="566"/>
      <c r="S389" s="566"/>
      <c r="T389" s="566"/>
      <c r="U389" s="566"/>
      <c r="V389" s="569">
        <v>3000</v>
      </c>
      <c r="W389" s="566" t="s">
        <v>387</v>
      </c>
      <c r="X389" s="575"/>
      <c r="Y389" s="575"/>
      <c r="Z389" s="575"/>
      <c r="AA389" s="575"/>
      <c r="AB389" s="569"/>
      <c r="AC389" s="569"/>
      <c r="AD389" s="566"/>
      <c r="AE389" s="566"/>
      <c r="AF389" s="566"/>
      <c r="AG389" s="566"/>
      <c r="AH389" s="566"/>
      <c r="AI389" s="566"/>
      <c r="AJ389" s="569"/>
      <c r="AK389" s="570"/>
      <c r="AL389" s="552"/>
      <c r="AM389" s="522"/>
      <c r="AN389" s="522"/>
    </row>
    <row r="390" spans="1:42" ht="12.75" customHeight="1" x14ac:dyDescent="0.25">
      <c r="A390" s="522"/>
      <c r="B390" s="560"/>
      <c r="C390" s="561"/>
      <c r="D390" s="560"/>
      <c r="E390" s="562"/>
      <c r="F390" s="563"/>
      <c r="G390" s="564"/>
      <c r="H390" s="565"/>
      <c r="I390" s="565"/>
      <c r="J390" s="531"/>
      <c r="K390" s="566"/>
      <c r="L390" s="567"/>
      <c r="M390" s="567"/>
      <c r="N390" s="567"/>
      <c r="O390" s="567"/>
      <c r="P390" s="567"/>
      <c r="Q390" s="568">
        <f>Q387+Q388</f>
        <v>52000</v>
      </c>
      <c r="R390" s="585">
        <f>R387+R388</f>
        <v>52000</v>
      </c>
      <c r="S390" s="585">
        <f>S387+S388</f>
        <v>0</v>
      </c>
      <c r="T390" s="585">
        <f>T387+T388</f>
        <v>0</v>
      </c>
      <c r="U390" s="585">
        <f>U387+U388</f>
        <v>0</v>
      </c>
      <c r="V390" s="585">
        <f>V387+V388+V389</f>
        <v>35000</v>
      </c>
      <c r="W390" s="566"/>
      <c r="X390" s="585">
        <f>X387+X388+X389</f>
        <v>5000</v>
      </c>
      <c r="Y390" s="575">
        <f>W393+X392+X391+X390+X377</f>
        <v>1016068.46</v>
      </c>
      <c r="Z390" s="575"/>
      <c r="AA390" s="575"/>
      <c r="AB390" s="585">
        <f>AB387+AB388+AB389</f>
        <v>0</v>
      </c>
      <c r="AC390" s="585">
        <f>AC387+AC388+AC389</f>
        <v>0</v>
      </c>
      <c r="AD390" s="566"/>
      <c r="AE390" s="566"/>
      <c r="AF390" s="566"/>
      <c r="AG390" s="566"/>
      <c r="AH390" s="566"/>
      <c r="AI390" s="566"/>
      <c r="AJ390" s="569"/>
      <c r="AK390" s="570"/>
      <c r="AL390" s="552"/>
      <c r="AM390" s="522"/>
      <c r="AN390" s="522"/>
    </row>
    <row r="391" spans="1:42" ht="31.8" customHeight="1" x14ac:dyDescent="0.25">
      <c r="A391" s="522"/>
      <c r="B391" s="560" t="s">
        <v>327</v>
      </c>
      <c r="C391" s="561" t="s">
        <v>327</v>
      </c>
      <c r="D391" s="560">
        <v>656530014</v>
      </c>
      <c r="E391" s="562">
        <v>801</v>
      </c>
      <c r="F391" s="563">
        <v>656</v>
      </c>
      <c r="G391" s="564">
        <v>5300000590</v>
      </c>
      <c r="H391" s="565" t="s">
        <v>219</v>
      </c>
      <c r="I391" s="565">
        <v>310</v>
      </c>
      <c r="J391" s="531" t="s">
        <v>275</v>
      </c>
      <c r="K391" s="566"/>
      <c r="L391" s="567">
        <v>0</v>
      </c>
      <c r="M391" s="567">
        <v>4800</v>
      </c>
      <c r="N391" s="567">
        <v>440000</v>
      </c>
      <c r="O391" s="567">
        <v>0</v>
      </c>
      <c r="P391" s="567">
        <v>444800</v>
      </c>
      <c r="Q391" s="568"/>
      <c r="R391" s="566"/>
      <c r="S391" s="566"/>
      <c r="T391" s="566"/>
      <c r="U391" s="566"/>
      <c r="V391" s="569">
        <v>83000</v>
      </c>
      <c r="W391" s="566" t="s">
        <v>370</v>
      </c>
      <c r="X391" s="575">
        <v>37341</v>
      </c>
      <c r="Y391" s="568" t="s">
        <v>616</v>
      </c>
      <c r="Z391" s="568"/>
      <c r="AA391" s="568"/>
      <c r="AB391" s="569">
        <v>0</v>
      </c>
      <c r="AC391" s="569">
        <v>0</v>
      </c>
      <c r="AD391" s="566"/>
      <c r="AE391" s="566"/>
      <c r="AF391" s="566"/>
      <c r="AG391" s="566">
        <v>4800</v>
      </c>
      <c r="AH391" s="566">
        <v>0</v>
      </c>
      <c r="AI391" s="566"/>
      <c r="AJ391" s="569"/>
      <c r="AK391" s="570">
        <v>1.0791366906474821E-2</v>
      </c>
      <c r="AL391" s="552" t="s">
        <v>195</v>
      </c>
      <c r="AM391" s="522"/>
      <c r="AN391" s="522"/>
    </row>
    <row r="392" spans="1:42" ht="12.75" customHeight="1" x14ac:dyDescent="0.25">
      <c r="A392" s="522"/>
      <c r="B392" s="560" t="s">
        <v>327</v>
      </c>
      <c r="C392" s="561" t="s">
        <v>327</v>
      </c>
      <c r="D392" s="560">
        <v>656530014</v>
      </c>
      <c r="E392" s="562">
        <v>801</v>
      </c>
      <c r="F392" s="563">
        <v>656</v>
      </c>
      <c r="G392" s="564">
        <v>5300000590</v>
      </c>
      <c r="H392" s="565" t="s">
        <v>219</v>
      </c>
      <c r="I392" s="565">
        <v>340</v>
      </c>
      <c r="J392" s="531" t="s">
        <v>261</v>
      </c>
      <c r="K392" s="566"/>
      <c r="L392" s="567">
        <v>17000</v>
      </c>
      <c r="M392" s="567">
        <v>62360</v>
      </c>
      <c r="N392" s="567">
        <v>-30</v>
      </c>
      <c r="O392" s="567">
        <v>0</v>
      </c>
      <c r="P392" s="567">
        <v>79330</v>
      </c>
      <c r="Q392" s="568">
        <f>R392+S392+T392+U392</f>
        <v>50000</v>
      </c>
      <c r="R392" s="566">
        <v>20000</v>
      </c>
      <c r="S392" s="566">
        <v>30000</v>
      </c>
      <c r="T392" s="566"/>
      <c r="U392" s="566"/>
      <c r="V392" s="585">
        <v>30000</v>
      </c>
      <c r="W392" s="566" t="s">
        <v>331</v>
      </c>
      <c r="X392" s="575">
        <v>10000</v>
      </c>
      <c r="Y392" s="575" t="s">
        <v>617</v>
      </c>
      <c r="Z392" s="575"/>
      <c r="AA392" s="575"/>
      <c r="AB392" s="585"/>
      <c r="AC392" s="585"/>
      <c r="AD392" s="566"/>
      <c r="AE392" s="566"/>
      <c r="AF392" s="566"/>
      <c r="AG392" s="566">
        <v>44793.9</v>
      </c>
      <c r="AH392" s="566">
        <v>0</v>
      </c>
      <c r="AI392" s="566"/>
      <c r="AJ392" s="569"/>
      <c r="AK392" s="570">
        <v>0.56465271650069337</v>
      </c>
      <c r="AL392" s="552" t="s">
        <v>195</v>
      </c>
      <c r="AM392" s="522"/>
      <c r="AN392" s="522"/>
    </row>
    <row r="393" spans="1:42" ht="12.6" customHeight="1" x14ac:dyDescent="0.25">
      <c r="A393" s="522"/>
      <c r="B393" s="559" t="s">
        <v>212</v>
      </c>
      <c r="C393" s="559"/>
      <c r="D393" s="559"/>
      <c r="E393" s="559"/>
      <c r="F393" s="559"/>
      <c r="G393" s="559"/>
      <c r="H393" s="559"/>
      <c r="I393" s="559"/>
      <c r="J393" s="559"/>
      <c r="K393" s="559"/>
      <c r="L393" s="556">
        <v>673376</v>
      </c>
      <c r="M393" s="556">
        <v>257624</v>
      </c>
      <c r="N393" s="556">
        <v>537328</v>
      </c>
      <c r="O393" s="556">
        <v>24800</v>
      </c>
      <c r="P393" s="556">
        <v>1493128</v>
      </c>
      <c r="Q393" s="591">
        <f>R393+S393+T393+U393</f>
        <v>1091544.46</v>
      </c>
      <c r="R393" s="591">
        <f>R367+R377+R386+R390+R392</f>
        <v>634750</v>
      </c>
      <c r="S393" s="591">
        <f>S367+S377+S386+S390+S392</f>
        <v>369250</v>
      </c>
      <c r="T393" s="591">
        <f>T367+T377+T386+T390+T392</f>
        <v>140250</v>
      </c>
      <c r="U393" s="591">
        <f>U367+U377+U386+U390+U392</f>
        <v>-52705.539999999979</v>
      </c>
      <c r="V393" s="591">
        <f>V367+V377+V390+V391+V392+V386+V360+V356+V353</f>
        <v>4175406.46</v>
      </c>
      <c r="W393" s="590">
        <f>V367+V377+V386+V387+V392+V391</f>
        <v>943727.46</v>
      </c>
      <c r="X393" s="591">
        <f>X367+X377+X390+X391+X392+X386+X360+X356+X353</f>
        <v>122341</v>
      </c>
      <c r="Y393" s="592">
        <f>V393-W393</f>
        <v>3231679</v>
      </c>
      <c r="Z393" s="591">
        <f>Z367+Z377+Z390+Z391+Z392+Z386+Z360+Z356+Z353</f>
        <v>277596.5</v>
      </c>
      <c r="AA393" s="592"/>
      <c r="AB393" s="591">
        <f>AB367+AB377+AB390+AB391+AB392+AB386+AB360+AB356+AB353</f>
        <v>2931803</v>
      </c>
      <c r="AC393" s="591">
        <f>AC367+AC377+AC390+AC391+AC392+AC386+AC360+AC356+AC353</f>
        <v>4152783</v>
      </c>
      <c r="AD393" s="573"/>
      <c r="AE393" s="573"/>
      <c r="AF393" s="573"/>
      <c r="AG393" s="566">
        <v>733770.84</v>
      </c>
      <c r="AH393" s="566">
        <v>0</v>
      </c>
      <c r="AI393" s="573"/>
      <c r="AJ393" s="573"/>
      <c r="AK393" s="570">
        <v>0.49143197368209557</v>
      </c>
      <c r="AL393" s="552" t="s">
        <v>195</v>
      </c>
      <c r="AM393" s="522"/>
      <c r="AN393" s="522"/>
      <c r="AO393" s="513"/>
      <c r="AP393" s="513"/>
    </row>
    <row r="394" spans="1:42" ht="12.75" customHeight="1" x14ac:dyDescent="0.25">
      <c r="A394" s="522"/>
      <c r="B394" s="559" t="s">
        <v>332</v>
      </c>
      <c r="C394" s="559"/>
      <c r="D394" s="559"/>
      <c r="E394" s="559"/>
      <c r="F394" s="559"/>
      <c r="G394" s="559"/>
      <c r="H394" s="559"/>
      <c r="I394" s="559"/>
      <c r="J394" s="559"/>
      <c r="K394" s="559"/>
      <c r="L394" s="559"/>
      <c r="M394" s="559"/>
      <c r="N394" s="559"/>
      <c r="O394" s="559"/>
      <c r="P394" s="559"/>
      <c r="Q394" s="559"/>
      <c r="R394" s="559"/>
      <c r="S394" s="559"/>
      <c r="T394" s="559"/>
      <c r="U394" s="559"/>
      <c r="V394" s="559"/>
      <c r="W394" s="559"/>
      <c r="X394" s="559"/>
      <c r="Y394" s="559"/>
      <c r="Z394" s="559"/>
      <c r="AA394" s="559"/>
      <c r="AB394" s="559"/>
      <c r="AC394" s="559"/>
      <c r="AD394" s="559"/>
      <c r="AE394" s="559"/>
      <c r="AF394" s="559"/>
      <c r="AG394" s="559"/>
      <c r="AH394" s="559"/>
      <c r="AI394" s="559"/>
      <c r="AJ394" s="559"/>
      <c r="AK394" s="559"/>
      <c r="AL394" s="552" t="s">
        <v>195</v>
      </c>
      <c r="AM394" s="522"/>
      <c r="AN394" s="522"/>
    </row>
    <row r="395" spans="1:42" ht="12.75" customHeight="1" x14ac:dyDescent="0.25">
      <c r="A395" s="522"/>
      <c r="B395" s="560" t="s">
        <v>332</v>
      </c>
      <c r="C395" s="561" t="s">
        <v>332</v>
      </c>
      <c r="D395" s="560">
        <v>656080015</v>
      </c>
      <c r="E395" s="562">
        <v>801</v>
      </c>
      <c r="F395" s="563">
        <v>656</v>
      </c>
      <c r="G395" s="564">
        <v>4409900</v>
      </c>
      <c r="H395" s="565" t="s">
        <v>219</v>
      </c>
      <c r="I395" s="565">
        <v>0</v>
      </c>
      <c r="J395" s="531">
        <v>0</v>
      </c>
      <c r="K395" s="566"/>
      <c r="L395" s="567">
        <v>0</v>
      </c>
      <c r="M395" s="567">
        <v>0</v>
      </c>
      <c r="N395" s="567">
        <v>0</v>
      </c>
      <c r="O395" s="567">
        <v>0</v>
      </c>
      <c r="P395" s="567">
        <v>0</v>
      </c>
      <c r="Q395" s="568"/>
      <c r="R395" s="566"/>
      <c r="S395" s="566"/>
      <c r="T395" s="566"/>
      <c r="U395" s="566"/>
      <c r="V395" s="569">
        <v>0</v>
      </c>
      <c r="W395" s="566"/>
      <c r="X395" s="575"/>
      <c r="Y395" s="575"/>
      <c r="Z395" s="575"/>
      <c r="AA395" s="575"/>
      <c r="AB395" s="566"/>
      <c r="AC395" s="617"/>
      <c r="AD395" s="566"/>
      <c r="AE395" s="566"/>
      <c r="AF395" s="566"/>
      <c r="AG395" s="566">
        <v>0</v>
      </c>
      <c r="AH395" s="566">
        <v>0</v>
      </c>
      <c r="AI395" s="566"/>
      <c r="AJ395" s="569"/>
      <c r="AK395" s="570"/>
      <c r="AL395" s="552" t="s">
        <v>195</v>
      </c>
      <c r="AM395" s="522"/>
      <c r="AN395" s="522"/>
    </row>
    <row r="396" spans="1:42" ht="12.75" customHeight="1" x14ac:dyDescent="0.25">
      <c r="A396" s="522"/>
      <c r="B396" s="560" t="s">
        <v>332</v>
      </c>
      <c r="C396" s="561" t="s">
        <v>332</v>
      </c>
      <c r="D396" s="560">
        <v>656080015</v>
      </c>
      <c r="E396" s="562">
        <v>801</v>
      </c>
      <c r="F396" s="563">
        <v>656</v>
      </c>
      <c r="G396" s="564">
        <v>4409900</v>
      </c>
      <c r="H396" s="565" t="s">
        <v>219</v>
      </c>
      <c r="I396" s="565">
        <v>310</v>
      </c>
      <c r="J396" s="531" t="s">
        <v>275</v>
      </c>
      <c r="K396" s="566"/>
      <c r="L396" s="567">
        <v>0</v>
      </c>
      <c r="M396" s="567">
        <v>100000</v>
      </c>
      <c r="N396" s="567">
        <v>0</v>
      </c>
      <c r="O396" s="567">
        <v>0</v>
      </c>
      <c r="P396" s="567">
        <v>100000</v>
      </c>
      <c r="Q396" s="568"/>
      <c r="R396" s="566"/>
      <c r="S396" s="566"/>
      <c r="T396" s="566"/>
      <c r="U396" s="566"/>
      <c r="V396" s="569">
        <v>0</v>
      </c>
      <c r="W396" s="566"/>
      <c r="X396" s="575"/>
      <c r="Y396" s="575"/>
      <c r="Z396" s="575"/>
      <c r="AA396" s="575"/>
      <c r="AB396" s="566"/>
      <c r="AC396" s="617"/>
      <c r="AD396" s="566"/>
      <c r="AE396" s="566"/>
      <c r="AF396" s="566"/>
      <c r="AG396" s="566">
        <v>100000</v>
      </c>
      <c r="AH396" s="566">
        <v>0</v>
      </c>
      <c r="AI396" s="566"/>
      <c r="AJ396" s="569"/>
      <c r="AK396" s="570">
        <v>1</v>
      </c>
      <c r="AL396" s="552" t="s">
        <v>195</v>
      </c>
      <c r="AM396" s="522"/>
      <c r="AN396" s="522"/>
    </row>
    <row r="397" spans="1:42" ht="12.75" customHeight="1" x14ac:dyDescent="0.25">
      <c r="A397" s="522"/>
      <c r="B397" s="559" t="s">
        <v>212</v>
      </c>
      <c r="C397" s="559"/>
      <c r="D397" s="559"/>
      <c r="E397" s="559"/>
      <c r="F397" s="559"/>
      <c r="G397" s="559"/>
      <c r="H397" s="559"/>
      <c r="I397" s="559"/>
      <c r="J397" s="559"/>
      <c r="K397" s="559"/>
      <c r="L397" s="556">
        <v>0</v>
      </c>
      <c r="M397" s="556">
        <v>100000</v>
      </c>
      <c r="N397" s="556">
        <v>0</v>
      </c>
      <c r="O397" s="556">
        <v>0</v>
      </c>
      <c r="P397" s="556">
        <v>100000</v>
      </c>
      <c r="Q397" s="568"/>
      <c r="R397" s="590"/>
      <c r="S397" s="566"/>
      <c r="T397" s="590"/>
      <c r="U397" s="566"/>
      <c r="V397" s="591">
        <v>0</v>
      </c>
      <c r="W397" s="590"/>
      <c r="X397" s="592"/>
      <c r="Y397" s="592"/>
      <c r="Z397" s="592"/>
      <c r="AA397" s="592"/>
      <c r="AB397" s="590"/>
      <c r="AC397" s="618"/>
      <c r="AD397" s="573"/>
      <c r="AE397" s="573"/>
      <c r="AF397" s="573"/>
      <c r="AG397" s="566">
        <v>100000</v>
      </c>
      <c r="AH397" s="566">
        <v>0</v>
      </c>
      <c r="AI397" s="573"/>
      <c r="AJ397" s="573"/>
      <c r="AK397" s="570">
        <v>1</v>
      </c>
      <c r="AL397" s="552" t="s">
        <v>195</v>
      </c>
      <c r="AM397" s="522"/>
      <c r="AN397" s="522"/>
    </row>
    <row r="398" spans="1:42" ht="45.6" customHeight="1" x14ac:dyDescent="0.25">
      <c r="A398" s="522"/>
      <c r="B398" s="559" t="s">
        <v>476</v>
      </c>
      <c r="C398" s="559"/>
      <c r="D398" s="559"/>
      <c r="E398" s="559"/>
      <c r="F398" s="559"/>
      <c r="G398" s="559"/>
      <c r="H398" s="559"/>
      <c r="I398" s="559"/>
      <c r="J398" s="559"/>
      <c r="K398" s="559"/>
      <c r="L398" s="559"/>
      <c r="M398" s="559"/>
      <c r="N398" s="559"/>
      <c r="O398" s="559"/>
      <c r="P398" s="559"/>
      <c r="Q398" s="559"/>
      <c r="R398" s="559"/>
      <c r="S398" s="559"/>
      <c r="T398" s="559"/>
      <c r="U398" s="559"/>
      <c r="V398" s="559"/>
      <c r="W398" s="559"/>
      <c r="X398" s="559"/>
      <c r="Y398" s="559"/>
      <c r="Z398" s="559"/>
      <c r="AA398" s="559"/>
      <c r="AB398" s="559"/>
      <c r="AC398" s="559"/>
      <c r="AD398" s="559"/>
      <c r="AE398" s="559"/>
      <c r="AF398" s="559"/>
      <c r="AG398" s="559"/>
      <c r="AH398" s="559"/>
      <c r="AI398" s="559"/>
      <c r="AJ398" s="559"/>
      <c r="AK398" s="559"/>
      <c r="AL398" s="552" t="s">
        <v>195</v>
      </c>
      <c r="AM398" s="522"/>
      <c r="AN398" s="522"/>
    </row>
    <row r="399" spans="1:42" ht="21" customHeight="1" x14ac:dyDescent="0.25">
      <c r="A399" s="522"/>
      <c r="B399" s="560" t="s">
        <v>334</v>
      </c>
      <c r="C399" s="561" t="s">
        <v>334</v>
      </c>
      <c r="D399" s="560">
        <v>656530015</v>
      </c>
      <c r="E399" s="562">
        <v>801</v>
      </c>
      <c r="F399" s="563">
        <v>656</v>
      </c>
      <c r="G399" s="564">
        <v>5300082420</v>
      </c>
      <c r="H399" s="565">
        <v>244</v>
      </c>
      <c r="I399" s="565">
        <v>226</v>
      </c>
      <c r="J399" s="531">
        <v>0</v>
      </c>
      <c r="K399" s="566"/>
      <c r="L399" s="567">
        <v>65000</v>
      </c>
      <c r="M399" s="567">
        <v>97000</v>
      </c>
      <c r="N399" s="567">
        <v>73000</v>
      </c>
      <c r="O399" s="567">
        <v>60400</v>
      </c>
      <c r="P399" s="567">
        <v>295400</v>
      </c>
      <c r="Q399" s="568">
        <f>R399+S399+T399+U399</f>
        <v>326000</v>
      </c>
      <c r="R399" s="566">
        <v>81500</v>
      </c>
      <c r="S399" s="566">
        <f>81500+20000</f>
        <v>101500</v>
      </c>
      <c r="T399" s="566">
        <v>81500</v>
      </c>
      <c r="U399" s="566">
        <f>81500-20000</f>
        <v>61500</v>
      </c>
      <c r="V399" s="569">
        <v>0</v>
      </c>
      <c r="W399" s="566">
        <v>0</v>
      </c>
      <c r="X399" s="575">
        <f>V399*100/85-V399</f>
        <v>0</v>
      </c>
      <c r="Y399" s="575"/>
      <c r="Z399" s="575"/>
      <c r="AA399" s="575"/>
      <c r="AB399" s="569">
        <v>0</v>
      </c>
      <c r="AC399" s="569">
        <v>100000</v>
      </c>
      <c r="AD399" s="566"/>
      <c r="AE399" s="566"/>
      <c r="AF399" s="566"/>
      <c r="AG399" s="566">
        <v>210683.62</v>
      </c>
      <c r="AH399" s="566">
        <v>0</v>
      </c>
      <c r="AI399" s="566"/>
      <c r="AJ399" s="569"/>
      <c r="AK399" s="570">
        <v>0.71321469194312792</v>
      </c>
      <c r="AL399" s="552" t="s">
        <v>195</v>
      </c>
      <c r="AM399" s="522"/>
      <c r="AN399" s="522"/>
    </row>
    <row r="400" spans="1:42" ht="12.6" customHeight="1" x14ac:dyDescent="0.25">
      <c r="A400" s="522"/>
      <c r="B400" s="560" t="s">
        <v>334</v>
      </c>
      <c r="C400" s="561" t="s">
        <v>334</v>
      </c>
      <c r="D400" s="560">
        <v>656530015</v>
      </c>
      <c r="E400" s="562">
        <v>801</v>
      </c>
      <c r="F400" s="563">
        <v>656</v>
      </c>
      <c r="G400" s="564" t="s">
        <v>477</v>
      </c>
      <c r="H400" s="565">
        <v>244</v>
      </c>
      <c r="I400" s="565">
        <v>226</v>
      </c>
      <c r="J400" s="531">
        <v>0</v>
      </c>
      <c r="K400" s="566"/>
      <c r="L400" s="567">
        <v>65000</v>
      </c>
      <c r="M400" s="567">
        <v>97000</v>
      </c>
      <c r="N400" s="567">
        <v>73000</v>
      </c>
      <c r="O400" s="567">
        <v>60400</v>
      </c>
      <c r="P400" s="567">
        <v>295400</v>
      </c>
      <c r="Q400" s="568">
        <f>R400+S400+T400+U400</f>
        <v>326000</v>
      </c>
      <c r="R400" s="566">
        <v>81500</v>
      </c>
      <c r="S400" s="566">
        <f>81500+20000</f>
        <v>101500</v>
      </c>
      <c r="T400" s="566">
        <v>81500</v>
      </c>
      <c r="U400" s="566">
        <f>81500-20000</f>
        <v>61500</v>
      </c>
      <c r="V400" s="569">
        <v>0</v>
      </c>
      <c r="W400" s="566" t="s">
        <v>478</v>
      </c>
      <c r="X400" s="575">
        <f>V400*100/85-V400</f>
        <v>0</v>
      </c>
      <c r="Y400" s="575"/>
      <c r="Z400" s="575"/>
      <c r="AA400" s="575"/>
      <c r="AB400" s="569">
        <v>0</v>
      </c>
      <c r="AC400" s="569">
        <v>1010.1</v>
      </c>
      <c r="AD400" s="566"/>
      <c r="AE400" s="566"/>
      <c r="AF400" s="566"/>
      <c r="AG400" s="566">
        <v>210683.62</v>
      </c>
      <c r="AH400" s="566">
        <v>0</v>
      </c>
      <c r="AI400" s="566"/>
      <c r="AJ400" s="569"/>
      <c r="AK400" s="570">
        <v>0.71321469194312792</v>
      </c>
      <c r="AL400" s="552" t="s">
        <v>195</v>
      </c>
      <c r="AM400" s="522"/>
      <c r="AN400" s="522"/>
    </row>
    <row r="401" spans="1:41" ht="12.6" customHeight="1" x14ac:dyDescent="0.25">
      <c r="A401" s="522"/>
      <c r="B401" s="559" t="s">
        <v>212</v>
      </c>
      <c r="C401" s="559"/>
      <c r="D401" s="559"/>
      <c r="E401" s="559"/>
      <c r="F401" s="559"/>
      <c r="G401" s="559"/>
      <c r="H401" s="559"/>
      <c r="I401" s="559"/>
      <c r="J401" s="559"/>
      <c r="K401" s="559"/>
      <c r="L401" s="556">
        <v>86000</v>
      </c>
      <c r="M401" s="556">
        <v>121000</v>
      </c>
      <c r="N401" s="556">
        <v>102000</v>
      </c>
      <c r="O401" s="556">
        <v>75611</v>
      </c>
      <c r="P401" s="556">
        <v>384611</v>
      </c>
      <c r="Q401" s="571">
        <f>R401+S401+T401+U401</f>
        <v>652000</v>
      </c>
      <c r="R401" s="591">
        <f>R399+R400</f>
        <v>163000</v>
      </c>
      <c r="S401" s="591">
        <f>S399+S400</f>
        <v>203000</v>
      </c>
      <c r="T401" s="591">
        <f>T399+T400</f>
        <v>163000</v>
      </c>
      <c r="U401" s="591">
        <f>U399+U400</f>
        <v>123000</v>
      </c>
      <c r="V401" s="591">
        <f>V399+V400</f>
        <v>0</v>
      </c>
      <c r="W401" s="592">
        <v>0</v>
      </c>
      <c r="X401" s="591">
        <f>X399+X400</f>
        <v>0</v>
      </c>
      <c r="Y401" s="592"/>
      <c r="Z401" s="592"/>
      <c r="AA401" s="592"/>
      <c r="AB401" s="591">
        <f>SUM(AB399:AB400)</f>
        <v>0</v>
      </c>
      <c r="AC401" s="591">
        <f>SUM(AC399:AC400)</f>
        <v>101010.1</v>
      </c>
      <c r="AD401" s="573"/>
      <c r="AE401" s="573"/>
      <c r="AF401" s="573"/>
      <c r="AG401" s="566">
        <v>249246.77</v>
      </c>
      <c r="AH401" s="566">
        <v>0</v>
      </c>
      <c r="AI401" s="573"/>
      <c r="AJ401" s="573"/>
      <c r="AK401" s="570">
        <v>0.64804898975848324</v>
      </c>
      <c r="AL401" s="552" t="s">
        <v>195</v>
      </c>
      <c r="AM401" s="522"/>
      <c r="AN401" s="522"/>
      <c r="AO401" s="513">
        <v>0</v>
      </c>
    </row>
    <row r="402" spans="1:41" ht="12.75" customHeight="1" x14ac:dyDescent="0.25">
      <c r="A402" s="522"/>
      <c r="B402" s="561"/>
      <c r="C402" s="561"/>
      <c r="D402" s="620" t="s">
        <v>333</v>
      </c>
      <c r="E402" s="620"/>
      <c r="F402" s="620"/>
      <c r="G402" s="620"/>
      <c r="H402" s="620"/>
      <c r="I402" s="620"/>
      <c r="J402" s="620"/>
      <c r="K402" s="620"/>
      <c r="L402" s="620"/>
      <c r="M402" s="620"/>
      <c r="N402" s="620"/>
      <c r="O402" s="620"/>
      <c r="P402" s="620"/>
      <c r="Q402" s="620"/>
      <c r="R402" s="620"/>
      <c r="S402" s="620"/>
      <c r="T402" s="620"/>
      <c r="U402" s="620"/>
      <c r="V402" s="620"/>
      <c r="W402" s="620"/>
      <c r="X402" s="620"/>
      <c r="Y402" s="620"/>
      <c r="Z402" s="620"/>
      <c r="AA402" s="620"/>
      <c r="AB402" s="620"/>
      <c r="AC402" s="620"/>
      <c r="AD402" s="590"/>
      <c r="AE402" s="590"/>
      <c r="AF402" s="590"/>
      <c r="AG402" s="566"/>
      <c r="AH402" s="566"/>
      <c r="AI402" s="590"/>
      <c r="AJ402" s="590"/>
      <c r="AK402" s="570"/>
      <c r="AL402" s="552"/>
      <c r="AM402" s="522"/>
      <c r="AN402" s="522"/>
    </row>
    <row r="403" spans="1:41" ht="12.75" customHeight="1" x14ac:dyDescent="0.25">
      <c r="A403" s="522"/>
      <c r="B403" s="559" t="s">
        <v>334</v>
      </c>
      <c r="C403" s="559"/>
      <c r="D403" s="559"/>
      <c r="E403" s="559"/>
      <c r="F403" s="559"/>
      <c r="G403" s="559"/>
      <c r="H403" s="559"/>
      <c r="I403" s="559"/>
      <c r="J403" s="559"/>
      <c r="K403" s="559"/>
      <c r="L403" s="559"/>
      <c r="M403" s="559"/>
      <c r="N403" s="559"/>
      <c r="O403" s="559"/>
      <c r="P403" s="559"/>
      <c r="Q403" s="559"/>
      <c r="R403" s="559"/>
      <c r="S403" s="559"/>
      <c r="T403" s="559"/>
      <c r="U403" s="559"/>
      <c r="V403" s="559"/>
      <c r="W403" s="559"/>
      <c r="X403" s="559"/>
      <c r="Y403" s="559"/>
      <c r="Z403" s="559"/>
      <c r="AA403" s="559"/>
      <c r="AB403" s="559"/>
      <c r="AC403" s="559"/>
      <c r="AD403" s="559"/>
      <c r="AE403" s="559"/>
      <c r="AF403" s="559"/>
      <c r="AG403" s="559"/>
      <c r="AH403" s="559"/>
      <c r="AI403" s="559"/>
      <c r="AJ403" s="559"/>
      <c r="AK403" s="559"/>
      <c r="AL403" s="552" t="s">
        <v>195</v>
      </c>
      <c r="AM403" s="522"/>
      <c r="AN403" s="522"/>
    </row>
    <row r="404" spans="1:41" ht="12.75" customHeight="1" x14ac:dyDescent="0.25">
      <c r="A404" s="522"/>
      <c r="B404" s="560" t="s">
        <v>334</v>
      </c>
      <c r="C404" s="561" t="s">
        <v>334</v>
      </c>
      <c r="D404" s="560">
        <v>656530021</v>
      </c>
      <c r="E404" s="562">
        <v>802</v>
      </c>
      <c r="F404" s="563">
        <v>656</v>
      </c>
      <c r="G404" s="564">
        <v>5300000590</v>
      </c>
      <c r="H404" s="565" t="s">
        <v>236</v>
      </c>
      <c r="I404" s="565">
        <v>211</v>
      </c>
      <c r="J404" s="531">
        <v>0</v>
      </c>
      <c r="K404" s="566"/>
      <c r="L404" s="567">
        <v>65000</v>
      </c>
      <c r="M404" s="567">
        <v>97000</v>
      </c>
      <c r="N404" s="567">
        <v>73000</v>
      </c>
      <c r="O404" s="567">
        <v>60400</v>
      </c>
      <c r="P404" s="567">
        <v>295400</v>
      </c>
      <c r="Q404" s="568">
        <f>R404+S404+T404+U404</f>
        <v>326000</v>
      </c>
      <c r="R404" s="566">
        <v>81500</v>
      </c>
      <c r="S404" s="566">
        <f>81500+20000</f>
        <v>101500</v>
      </c>
      <c r="T404" s="566">
        <v>81500</v>
      </c>
      <c r="U404" s="566">
        <f>81500-20000</f>
        <v>61500</v>
      </c>
      <c r="V404" s="569">
        <v>280500</v>
      </c>
      <c r="W404" s="566" t="s">
        <v>401</v>
      </c>
      <c r="X404" s="575"/>
      <c r="Y404" s="575"/>
      <c r="Z404" s="575">
        <v>4613.24</v>
      </c>
      <c r="AA404" s="575"/>
      <c r="AB404" s="569">
        <v>330000</v>
      </c>
      <c r="AC404" s="569">
        <v>330000</v>
      </c>
      <c r="AD404" s="566"/>
      <c r="AE404" s="566"/>
      <c r="AF404" s="566"/>
      <c r="AG404" s="566">
        <v>210683.62</v>
      </c>
      <c r="AH404" s="566">
        <v>0</v>
      </c>
      <c r="AI404" s="566"/>
      <c r="AJ404" s="569"/>
      <c r="AK404" s="570">
        <v>0.71321469194312792</v>
      </c>
      <c r="AL404" s="552" t="s">
        <v>195</v>
      </c>
      <c r="AM404" s="522"/>
      <c r="AN404" s="522"/>
    </row>
    <row r="405" spans="1:41" ht="12.75" customHeight="1" x14ac:dyDescent="0.25">
      <c r="A405" s="522"/>
      <c r="B405" s="560" t="s">
        <v>334</v>
      </c>
      <c r="C405" s="561" t="s">
        <v>334</v>
      </c>
      <c r="D405" s="560">
        <v>656530021</v>
      </c>
      <c r="E405" s="562">
        <v>802</v>
      </c>
      <c r="F405" s="563">
        <v>656</v>
      </c>
      <c r="G405" s="564">
        <v>5300000590</v>
      </c>
      <c r="H405" s="565">
        <v>119</v>
      </c>
      <c r="I405" s="565">
        <v>213</v>
      </c>
      <c r="J405" s="531">
        <v>0</v>
      </c>
      <c r="K405" s="566"/>
      <c r="L405" s="567">
        <v>21000</v>
      </c>
      <c r="M405" s="567">
        <v>24000</v>
      </c>
      <c r="N405" s="567">
        <v>29000</v>
      </c>
      <c r="O405" s="567">
        <v>15211</v>
      </c>
      <c r="P405" s="567">
        <v>89211</v>
      </c>
      <c r="Q405" s="566">
        <f>R405+S405+T405+U405</f>
        <v>74711</v>
      </c>
      <c r="R405" s="566">
        <f>V405-S405-T405-U405</f>
        <v>872</v>
      </c>
      <c r="S405" s="566">
        <f>S404*30.2%</f>
        <v>30653</v>
      </c>
      <c r="T405" s="566">
        <f>T404*30.2%</f>
        <v>24613</v>
      </c>
      <c r="U405" s="566">
        <f>U404*30.2%</f>
        <v>18573</v>
      </c>
      <c r="V405" s="569">
        <f>84711-10000</f>
        <v>74711</v>
      </c>
      <c r="W405" s="566"/>
      <c r="X405" s="575"/>
      <c r="Y405" s="575"/>
      <c r="Z405" s="575">
        <v>11393.2</v>
      </c>
      <c r="AA405" s="575"/>
      <c r="AB405" s="569">
        <v>99660</v>
      </c>
      <c r="AC405" s="569">
        <v>99660</v>
      </c>
      <c r="AD405" s="566"/>
      <c r="AE405" s="566"/>
      <c r="AF405" s="566"/>
      <c r="AG405" s="566">
        <v>38563.15</v>
      </c>
      <c r="AH405" s="566">
        <v>0</v>
      </c>
      <c r="AI405" s="566"/>
      <c r="AJ405" s="569"/>
      <c r="AK405" s="570">
        <v>0.43226900270146051</v>
      </c>
      <c r="AL405" s="552" t="s">
        <v>195</v>
      </c>
      <c r="AM405" s="522"/>
      <c r="AN405" s="522"/>
      <c r="AO405" s="513"/>
    </row>
    <row r="406" spans="1:41" ht="12" customHeight="1" x14ac:dyDescent="0.25">
      <c r="A406" s="522"/>
      <c r="B406" s="559" t="s">
        <v>212</v>
      </c>
      <c r="C406" s="559"/>
      <c r="D406" s="559"/>
      <c r="E406" s="559"/>
      <c r="F406" s="559"/>
      <c r="G406" s="559"/>
      <c r="H406" s="559"/>
      <c r="I406" s="559"/>
      <c r="J406" s="559"/>
      <c r="K406" s="559"/>
      <c r="L406" s="556">
        <v>86000</v>
      </c>
      <c r="M406" s="556">
        <v>121000</v>
      </c>
      <c r="N406" s="556">
        <v>102000</v>
      </c>
      <c r="O406" s="556">
        <v>75611</v>
      </c>
      <c r="P406" s="556">
        <v>384611</v>
      </c>
      <c r="Q406" s="571">
        <f>R406+S406+T406+U406</f>
        <v>400711</v>
      </c>
      <c r="R406" s="591">
        <f>R404+R405</f>
        <v>82372</v>
      </c>
      <c r="S406" s="591">
        <f>S404+S405</f>
        <v>132153</v>
      </c>
      <c r="T406" s="591">
        <f>T404+T405</f>
        <v>106113</v>
      </c>
      <c r="U406" s="591">
        <f>U404+U405</f>
        <v>80073</v>
      </c>
      <c r="V406" s="591">
        <f>V404+V405</f>
        <v>355211</v>
      </c>
      <c r="W406" s="592">
        <f>V393+X393+V406+X405</f>
        <v>4652958.46</v>
      </c>
      <c r="X406" s="591"/>
      <c r="Y406" s="592"/>
      <c r="Z406" s="592">
        <v>16006.44</v>
      </c>
      <c r="AA406" s="592"/>
      <c r="AB406" s="591">
        <f>SUM(AB404:AB405)</f>
        <v>429660</v>
      </c>
      <c r="AC406" s="591">
        <f>SUM(AC404:AC405)</f>
        <v>429660</v>
      </c>
      <c r="AD406" s="573"/>
      <c r="AE406" s="573"/>
      <c r="AF406" s="573"/>
      <c r="AG406" s="566">
        <v>249246.77</v>
      </c>
      <c r="AH406" s="566">
        <v>0</v>
      </c>
      <c r="AI406" s="573"/>
      <c r="AJ406" s="573"/>
      <c r="AK406" s="570">
        <v>0.64804898975848324</v>
      </c>
      <c r="AL406" s="522" t="s">
        <v>703</v>
      </c>
      <c r="AM406" s="522"/>
      <c r="AN406" s="522"/>
      <c r="AO406" s="513">
        <f>V406+X406+V393+X393</f>
        <v>4652958.46</v>
      </c>
    </row>
    <row r="407" spans="1:41" ht="12.75" customHeight="1" x14ac:dyDescent="0.25">
      <c r="A407" s="522"/>
      <c r="B407" s="559" t="s">
        <v>335</v>
      </c>
      <c r="C407" s="559"/>
      <c r="D407" s="559"/>
      <c r="E407" s="559"/>
      <c r="F407" s="559"/>
      <c r="G407" s="559"/>
      <c r="H407" s="559"/>
      <c r="I407" s="559"/>
      <c r="J407" s="559"/>
      <c r="K407" s="559"/>
      <c r="L407" s="559"/>
      <c r="M407" s="559"/>
      <c r="N407" s="559"/>
      <c r="O407" s="559"/>
      <c r="P407" s="559"/>
      <c r="Q407" s="559"/>
      <c r="R407" s="559"/>
      <c r="S407" s="559"/>
      <c r="T407" s="559"/>
      <c r="U407" s="559"/>
      <c r="V407" s="559"/>
      <c r="W407" s="559"/>
      <c r="X407" s="559"/>
      <c r="Y407" s="559"/>
      <c r="Z407" s="559"/>
      <c r="AA407" s="559"/>
      <c r="AB407" s="559"/>
      <c r="AC407" s="559"/>
      <c r="AD407" s="559"/>
      <c r="AE407" s="559"/>
      <c r="AF407" s="559"/>
      <c r="AG407" s="559"/>
      <c r="AH407" s="559"/>
      <c r="AI407" s="559"/>
      <c r="AJ407" s="559"/>
      <c r="AK407" s="559"/>
      <c r="AL407" s="552" t="s">
        <v>195</v>
      </c>
      <c r="AM407" s="522"/>
      <c r="AN407" s="522"/>
    </row>
    <row r="408" spans="1:41" ht="0.75" customHeight="1" x14ac:dyDescent="0.25">
      <c r="A408" s="522"/>
      <c r="B408" s="560" t="s">
        <v>335</v>
      </c>
      <c r="C408" s="561" t="s">
        <v>335</v>
      </c>
      <c r="D408" s="560">
        <v>656080022</v>
      </c>
      <c r="E408" s="562">
        <v>802</v>
      </c>
      <c r="F408" s="563">
        <v>656</v>
      </c>
      <c r="G408" s="564">
        <v>4409900</v>
      </c>
      <c r="H408" s="565" t="s">
        <v>219</v>
      </c>
      <c r="I408" s="565">
        <v>226</v>
      </c>
      <c r="J408" s="531">
        <v>0</v>
      </c>
      <c r="K408" s="566"/>
      <c r="L408" s="567">
        <v>1480</v>
      </c>
      <c r="M408" s="567">
        <v>0</v>
      </c>
      <c r="N408" s="567">
        <v>0</v>
      </c>
      <c r="O408" s="567">
        <v>0</v>
      </c>
      <c r="P408" s="567">
        <v>1480</v>
      </c>
      <c r="Q408" s="568"/>
      <c r="R408" s="566">
        <v>600</v>
      </c>
      <c r="S408" s="566">
        <v>600</v>
      </c>
      <c r="T408" s="566">
        <v>600</v>
      </c>
      <c r="U408" s="566">
        <f>V408-T408-S408-R408</f>
        <v>-1800</v>
      </c>
      <c r="V408" s="569">
        <v>0</v>
      </c>
      <c r="W408" s="566"/>
      <c r="X408" s="575"/>
      <c r="Y408" s="575"/>
      <c r="Z408" s="575"/>
      <c r="AA408" s="575"/>
      <c r="AB408" s="569">
        <v>0</v>
      </c>
      <c r="AC408" s="569">
        <v>0</v>
      </c>
      <c r="AD408" s="566"/>
      <c r="AE408" s="566"/>
      <c r="AF408" s="566"/>
      <c r="AG408" s="566">
        <v>942.75</v>
      </c>
      <c r="AH408" s="566">
        <v>0</v>
      </c>
      <c r="AI408" s="566"/>
      <c r="AJ408" s="569"/>
      <c r="AK408" s="570">
        <v>0.63699324324324336</v>
      </c>
      <c r="AL408" s="552" t="s">
        <v>195</v>
      </c>
      <c r="AM408" s="522"/>
      <c r="AN408" s="522"/>
    </row>
    <row r="409" spans="1:41" ht="31.2" customHeight="1" x14ac:dyDescent="0.25">
      <c r="A409" s="522"/>
      <c r="B409" s="559" t="s">
        <v>212</v>
      </c>
      <c r="C409" s="559"/>
      <c r="D409" s="559"/>
      <c r="E409" s="559"/>
      <c r="F409" s="559"/>
      <c r="G409" s="559"/>
      <c r="H409" s="559"/>
      <c r="I409" s="559"/>
      <c r="J409" s="559"/>
      <c r="K409" s="559"/>
      <c r="L409" s="556">
        <v>1480</v>
      </c>
      <c r="M409" s="556">
        <v>0</v>
      </c>
      <c r="N409" s="556">
        <v>0</v>
      </c>
      <c r="O409" s="556">
        <v>0</v>
      </c>
      <c r="P409" s="556">
        <v>1480</v>
      </c>
      <c r="Q409" s="568"/>
      <c r="R409" s="591">
        <f>R408</f>
        <v>600</v>
      </c>
      <c r="S409" s="591">
        <f>S408</f>
        <v>600</v>
      </c>
      <c r="T409" s="591">
        <f>T408</f>
        <v>600</v>
      </c>
      <c r="U409" s="591">
        <f>U408</f>
        <v>-1800</v>
      </c>
      <c r="V409" s="591">
        <f>V408</f>
        <v>0</v>
      </c>
      <c r="W409" s="590"/>
      <c r="X409" s="592"/>
      <c r="Y409" s="592"/>
      <c r="Z409" s="592"/>
      <c r="AA409" s="592"/>
      <c r="AB409" s="591">
        <f>AB408</f>
        <v>0</v>
      </c>
      <c r="AC409" s="591">
        <f>AC408</f>
        <v>0</v>
      </c>
      <c r="AD409" s="573"/>
      <c r="AE409" s="573"/>
      <c r="AF409" s="573"/>
      <c r="AG409" s="566">
        <v>942.75</v>
      </c>
      <c r="AH409" s="566">
        <v>0</v>
      </c>
      <c r="AI409" s="573"/>
      <c r="AJ409" s="573"/>
      <c r="AK409" s="570">
        <v>0.63699324324324336</v>
      </c>
      <c r="AL409" s="552" t="s">
        <v>195</v>
      </c>
      <c r="AM409" s="522"/>
      <c r="AN409" s="522"/>
    </row>
    <row r="410" spans="1:41" ht="12.75" customHeight="1" x14ac:dyDescent="0.25">
      <c r="A410" s="522"/>
      <c r="B410" s="507"/>
      <c r="C410" s="507"/>
      <c r="D410" s="514" t="s">
        <v>207</v>
      </c>
      <c r="E410" s="534"/>
      <c r="F410" s="534"/>
      <c r="G410" s="534"/>
      <c r="H410" s="534"/>
      <c r="I410" s="534"/>
      <c r="J410" s="535"/>
      <c r="K410" s="512"/>
      <c r="L410" s="507"/>
      <c r="M410" s="507"/>
      <c r="N410" s="507"/>
      <c r="O410" s="507"/>
      <c r="P410" s="507"/>
      <c r="Q410" s="538"/>
      <c r="R410" s="512"/>
      <c r="S410" s="555"/>
      <c r="T410" s="534"/>
      <c r="U410" s="556"/>
      <c r="V410" s="534"/>
      <c r="W410" s="534"/>
      <c r="X410" s="557"/>
      <c r="Y410" s="557"/>
      <c r="Z410" s="557"/>
      <c r="AA410" s="557"/>
      <c r="AB410" s="534"/>
      <c r="AC410" s="534"/>
      <c r="AD410" s="508"/>
      <c r="AE410" s="508"/>
      <c r="AF410" s="508"/>
      <c r="AG410" s="508"/>
      <c r="AH410" s="508"/>
      <c r="AI410" s="508"/>
      <c r="AJ410" s="508"/>
      <c r="AK410" s="512"/>
      <c r="AL410" s="552"/>
      <c r="AM410" s="522"/>
      <c r="AN410" s="522"/>
    </row>
    <row r="411" spans="1:41" ht="12.75" customHeight="1" x14ac:dyDescent="0.25">
      <c r="A411" s="522"/>
      <c r="B411" s="561"/>
      <c r="C411" s="561"/>
      <c r="D411" s="620" t="s">
        <v>336</v>
      </c>
      <c r="E411" s="620"/>
      <c r="F411" s="620"/>
      <c r="G411" s="620"/>
      <c r="H411" s="620"/>
      <c r="I411" s="620"/>
      <c r="J411" s="620"/>
      <c r="K411" s="620"/>
      <c r="L411" s="620"/>
      <c r="M411" s="620"/>
      <c r="N411" s="620"/>
      <c r="O411" s="620"/>
      <c r="P411" s="620"/>
      <c r="Q411" s="620"/>
      <c r="R411" s="620"/>
      <c r="S411" s="620"/>
      <c r="T411" s="620"/>
      <c r="U411" s="620"/>
      <c r="V411" s="620"/>
      <c r="W411" s="620"/>
      <c r="X411" s="620"/>
      <c r="Y411" s="620"/>
      <c r="Z411" s="620"/>
      <c r="AA411" s="620"/>
      <c r="AB411" s="620"/>
      <c r="AC411" s="620"/>
      <c r="AD411" s="590"/>
      <c r="AE411" s="590"/>
      <c r="AF411" s="590"/>
      <c r="AG411" s="566"/>
      <c r="AH411" s="566"/>
      <c r="AI411" s="590"/>
      <c r="AJ411" s="590"/>
      <c r="AK411" s="570"/>
      <c r="AL411" s="552"/>
      <c r="AM411" s="522"/>
      <c r="AN411" s="522"/>
    </row>
    <row r="412" spans="1:41" ht="12" customHeight="1" x14ac:dyDescent="0.25">
      <c r="A412" s="522"/>
      <c r="B412" s="559" t="s">
        <v>337</v>
      </c>
      <c r="C412" s="559"/>
      <c r="D412" s="559"/>
      <c r="E412" s="559"/>
      <c r="F412" s="559"/>
      <c r="G412" s="559"/>
      <c r="H412" s="559"/>
      <c r="I412" s="559"/>
      <c r="J412" s="559"/>
      <c r="K412" s="559"/>
      <c r="L412" s="559"/>
      <c r="M412" s="559"/>
      <c r="N412" s="559"/>
      <c r="O412" s="559"/>
      <c r="P412" s="559"/>
      <c r="Q412" s="559"/>
      <c r="R412" s="559"/>
      <c r="S412" s="559"/>
      <c r="T412" s="559"/>
      <c r="U412" s="559"/>
      <c r="V412" s="559"/>
      <c r="W412" s="559"/>
      <c r="X412" s="559"/>
      <c r="Y412" s="559"/>
      <c r="Z412" s="559"/>
      <c r="AA412" s="559"/>
      <c r="AB412" s="559"/>
      <c r="AC412" s="559"/>
      <c r="AD412" s="559"/>
      <c r="AE412" s="559"/>
      <c r="AF412" s="559"/>
      <c r="AG412" s="559"/>
      <c r="AH412" s="559"/>
      <c r="AI412" s="559"/>
      <c r="AJ412" s="559"/>
      <c r="AK412" s="559"/>
      <c r="AL412" s="552" t="s">
        <v>195</v>
      </c>
      <c r="AM412" s="522"/>
      <c r="AN412" s="522"/>
    </row>
    <row r="413" spans="1:41" ht="12.75" customHeight="1" x14ac:dyDescent="0.25">
      <c r="A413" s="522"/>
      <c r="B413" s="560" t="s">
        <v>337</v>
      </c>
      <c r="C413" s="561" t="s">
        <v>337</v>
      </c>
      <c r="D413" s="560">
        <v>656500071</v>
      </c>
      <c r="E413" s="562">
        <v>1001</v>
      </c>
      <c r="F413" s="563">
        <v>656</v>
      </c>
      <c r="G413" s="564">
        <v>5000099990</v>
      </c>
      <c r="H413" s="565" t="s">
        <v>338</v>
      </c>
      <c r="I413" s="565">
        <v>263</v>
      </c>
      <c r="J413" s="531">
        <v>0</v>
      </c>
      <c r="K413" s="566"/>
      <c r="L413" s="567">
        <v>30000</v>
      </c>
      <c r="M413" s="567">
        <v>30000</v>
      </c>
      <c r="N413" s="567">
        <v>30000</v>
      </c>
      <c r="O413" s="567">
        <v>30000</v>
      </c>
      <c r="P413" s="567">
        <v>120000</v>
      </c>
      <c r="Q413" s="568">
        <f>R413+S413+T413+U413</f>
        <v>120000</v>
      </c>
      <c r="R413" s="566">
        <v>30000</v>
      </c>
      <c r="S413" s="566">
        <v>30000</v>
      </c>
      <c r="T413" s="566">
        <v>30000</v>
      </c>
      <c r="U413" s="566">
        <v>30000</v>
      </c>
      <c r="V413" s="569">
        <v>147500</v>
      </c>
      <c r="W413" s="566" t="s">
        <v>532</v>
      </c>
      <c r="X413" s="575"/>
      <c r="Y413" s="575"/>
      <c r="Z413" s="575"/>
      <c r="AA413" s="575"/>
      <c r="AB413" s="569"/>
      <c r="AC413" s="569">
        <f>208000-101010.1</f>
        <v>106989.9</v>
      </c>
      <c r="AD413" s="566"/>
      <c r="AE413" s="566"/>
      <c r="AF413" s="566"/>
      <c r="AG413" s="566">
        <v>85000</v>
      </c>
      <c r="AH413" s="566">
        <v>0</v>
      </c>
      <c r="AI413" s="566"/>
      <c r="AJ413" s="569"/>
      <c r="AK413" s="570">
        <v>0.70833333333333337</v>
      </c>
      <c r="AL413" s="552" t="s">
        <v>195</v>
      </c>
      <c r="AM413" s="522"/>
      <c r="AN413" s="522"/>
    </row>
    <row r="414" spans="1:41" ht="12.75" customHeight="1" x14ac:dyDescent="0.25">
      <c r="A414" s="522"/>
      <c r="B414" s="559" t="s">
        <v>212</v>
      </c>
      <c r="C414" s="559"/>
      <c r="D414" s="559"/>
      <c r="E414" s="559"/>
      <c r="F414" s="559"/>
      <c r="G414" s="559"/>
      <c r="H414" s="559"/>
      <c r="I414" s="559"/>
      <c r="J414" s="559"/>
      <c r="K414" s="559"/>
      <c r="L414" s="556">
        <v>30000</v>
      </c>
      <c r="M414" s="556">
        <v>30000</v>
      </c>
      <c r="N414" s="556">
        <v>30000</v>
      </c>
      <c r="O414" s="556">
        <v>30000</v>
      </c>
      <c r="P414" s="556">
        <v>120000</v>
      </c>
      <c r="Q414" s="571">
        <f>R414+S414+T414+U414</f>
        <v>120000</v>
      </c>
      <c r="R414" s="591">
        <f>R413</f>
        <v>30000</v>
      </c>
      <c r="S414" s="591">
        <f>S413</f>
        <v>30000</v>
      </c>
      <c r="T414" s="591">
        <f>T413</f>
        <v>30000</v>
      </c>
      <c r="U414" s="591">
        <f>U413</f>
        <v>30000</v>
      </c>
      <c r="V414" s="591">
        <f>V413</f>
        <v>147500</v>
      </c>
      <c r="W414" s="590"/>
      <c r="X414" s="592">
        <f>X413</f>
        <v>0</v>
      </c>
      <c r="Y414" s="592"/>
      <c r="Z414" s="592"/>
      <c r="AA414" s="592"/>
      <c r="AB414" s="591">
        <f>AB413</f>
        <v>0</v>
      </c>
      <c r="AC414" s="591">
        <f>AC413</f>
        <v>106989.9</v>
      </c>
      <c r="AD414" s="573"/>
      <c r="AE414" s="573"/>
      <c r="AF414" s="573"/>
      <c r="AG414" s="566">
        <v>85000</v>
      </c>
      <c r="AH414" s="566">
        <v>0</v>
      </c>
      <c r="AI414" s="573"/>
      <c r="AJ414" s="573"/>
      <c r="AK414" s="570">
        <v>0.70833333333333337</v>
      </c>
      <c r="AL414" s="552" t="s">
        <v>195</v>
      </c>
      <c r="AM414" s="522"/>
      <c r="AN414" s="522"/>
    </row>
    <row r="415" spans="1:41" ht="12.75" customHeight="1" x14ac:dyDescent="0.25">
      <c r="A415" s="522"/>
      <c r="B415" s="561"/>
      <c r="C415" s="561"/>
      <c r="D415" s="641" t="s">
        <v>339</v>
      </c>
      <c r="E415" s="641"/>
      <c r="F415" s="641"/>
      <c r="G415" s="641"/>
      <c r="H415" s="641"/>
      <c r="I415" s="641"/>
      <c r="J415" s="641"/>
      <c r="K415" s="641"/>
      <c r="L415" s="641"/>
      <c r="M415" s="641"/>
      <c r="N415" s="641"/>
      <c r="O415" s="641"/>
      <c r="P415" s="641"/>
      <c r="Q415" s="641"/>
      <c r="R415" s="641"/>
      <c r="S415" s="641"/>
      <c r="T415" s="641"/>
      <c r="U415" s="641"/>
      <c r="V415" s="641"/>
      <c r="W415" s="641"/>
      <c r="X415" s="641"/>
      <c r="Y415" s="641"/>
      <c r="Z415" s="641"/>
      <c r="AA415" s="641"/>
      <c r="AB415" s="641"/>
      <c r="AC415" s="641"/>
      <c r="AD415" s="590"/>
      <c r="AE415" s="590"/>
      <c r="AF415" s="590"/>
      <c r="AG415" s="566"/>
      <c r="AH415" s="566"/>
      <c r="AI415" s="590"/>
      <c r="AJ415" s="590"/>
      <c r="AK415" s="570"/>
      <c r="AL415" s="552"/>
      <c r="AM415" s="522"/>
      <c r="AN415" s="522"/>
    </row>
    <row r="416" spans="1:41" ht="12.75" customHeight="1" x14ac:dyDescent="0.25">
      <c r="A416" s="522"/>
      <c r="B416" s="561"/>
      <c r="C416" s="561"/>
      <c r="D416" s="620" t="s">
        <v>340</v>
      </c>
      <c r="E416" s="620"/>
      <c r="F416" s="620"/>
      <c r="G416" s="620"/>
      <c r="H416" s="620"/>
      <c r="I416" s="620"/>
      <c r="J416" s="620"/>
      <c r="K416" s="620"/>
      <c r="L416" s="620"/>
      <c r="M416" s="620"/>
      <c r="N416" s="620"/>
      <c r="O416" s="620"/>
      <c r="P416" s="620"/>
      <c r="Q416" s="620"/>
      <c r="R416" s="620"/>
      <c r="S416" s="620"/>
      <c r="T416" s="620"/>
      <c r="U416" s="620"/>
      <c r="V416" s="620"/>
      <c r="W416" s="620"/>
      <c r="X416" s="620"/>
      <c r="Y416" s="620"/>
      <c r="Z416" s="620"/>
      <c r="AA416" s="620"/>
      <c r="AB416" s="620"/>
      <c r="AC416" s="620"/>
      <c r="AD416" s="590"/>
      <c r="AE416" s="590"/>
      <c r="AF416" s="590"/>
      <c r="AG416" s="566"/>
      <c r="AH416" s="566"/>
      <c r="AI416" s="590"/>
      <c r="AJ416" s="590"/>
      <c r="AK416" s="570"/>
      <c r="AL416" s="552"/>
      <c r="AM416" s="522"/>
      <c r="AN416" s="522"/>
    </row>
    <row r="417" spans="1:42" ht="12" customHeight="1" x14ac:dyDescent="0.25">
      <c r="A417" s="522"/>
      <c r="B417" s="559" t="s">
        <v>341</v>
      </c>
      <c r="C417" s="559"/>
      <c r="D417" s="559"/>
      <c r="E417" s="559"/>
      <c r="F417" s="559"/>
      <c r="G417" s="559"/>
      <c r="H417" s="559"/>
      <c r="I417" s="559"/>
      <c r="J417" s="559"/>
      <c r="K417" s="559"/>
      <c r="L417" s="559"/>
      <c r="M417" s="559"/>
      <c r="N417" s="559"/>
      <c r="O417" s="559"/>
      <c r="P417" s="559"/>
      <c r="Q417" s="559"/>
      <c r="R417" s="559"/>
      <c r="S417" s="559"/>
      <c r="T417" s="559"/>
      <c r="U417" s="559"/>
      <c r="V417" s="559"/>
      <c r="W417" s="559"/>
      <c r="X417" s="559"/>
      <c r="Y417" s="559"/>
      <c r="Z417" s="559"/>
      <c r="AA417" s="559"/>
      <c r="AB417" s="559"/>
      <c r="AC417" s="559"/>
      <c r="AD417" s="559"/>
      <c r="AE417" s="559"/>
      <c r="AF417" s="559"/>
      <c r="AG417" s="559"/>
      <c r="AH417" s="559"/>
      <c r="AI417" s="559"/>
      <c r="AJ417" s="559"/>
      <c r="AK417" s="559"/>
      <c r="AL417" s="552" t="s">
        <v>195</v>
      </c>
      <c r="AM417" s="522"/>
      <c r="AN417" s="522"/>
    </row>
    <row r="418" spans="1:42" ht="12.75" customHeight="1" x14ac:dyDescent="0.25">
      <c r="A418" s="522"/>
      <c r="B418" s="560" t="s">
        <v>341</v>
      </c>
      <c r="C418" s="561" t="s">
        <v>341</v>
      </c>
      <c r="D418" s="560">
        <v>656540011</v>
      </c>
      <c r="E418" s="562">
        <v>1101</v>
      </c>
      <c r="F418" s="563">
        <v>656</v>
      </c>
      <c r="G418" s="564">
        <v>5400000590</v>
      </c>
      <c r="H418" s="565" t="s">
        <v>236</v>
      </c>
      <c r="I418" s="565">
        <v>211</v>
      </c>
      <c r="J418" s="531">
        <v>0</v>
      </c>
      <c r="K418" s="566"/>
      <c r="L418" s="567">
        <v>70000</v>
      </c>
      <c r="M418" s="567">
        <v>80000</v>
      </c>
      <c r="N418" s="567">
        <v>50000</v>
      </c>
      <c r="O418" s="567">
        <v>40811</v>
      </c>
      <c r="P418" s="567">
        <v>240811</v>
      </c>
      <c r="Q418" s="568">
        <f>R418+S418+T418+U418</f>
        <v>906000</v>
      </c>
      <c r="R418" s="566">
        <f>226500+30000</f>
        <v>256500</v>
      </c>
      <c r="S418" s="566">
        <f>226500+26500-30000</f>
        <v>223000</v>
      </c>
      <c r="T418" s="566">
        <v>226500</v>
      </c>
      <c r="U418" s="566">
        <f>226500-26500</f>
        <v>200000</v>
      </c>
      <c r="V418" s="567">
        <f>948000-660000</f>
        <v>288000</v>
      </c>
      <c r="W418" s="566"/>
      <c r="X418" s="567"/>
      <c r="Y418" s="575" t="s">
        <v>610</v>
      </c>
      <c r="Z418" s="575">
        <v>360340.66000000003</v>
      </c>
      <c r="AA418" s="575"/>
      <c r="AB418" s="567">
        <v>500000</v>
      </c>
      <c r="AC418" s="567">
        <v>500000</v>
      </c>
      <c r="AD418" s="566"/>
      <c r="AE418" s="566"/>
      <c r="AF418" s="566"/>
      <c r="AG418" s="566">
        <v>140522.56</v>
      </c>
      <c r="AH418" s="566">
        <v>0</v>
      </c>
      <c r="AI418" s="566"/>
      <c r="AJ418" s="569"/>
      <c r="AK418" s="570">
        <v>0.58353879183259882</v>
      </c>
      <c r="AL418" s="552" t="s">
        <v>195</v>
      </c>
      <c r="AM418" s="522"/>
      <c r="AN418" s="522"/>
    </row>
    <row r="419" spans="1:42" ht="28.2" customHeight="1" x14ac:dyDescent="0.25">
      <c r="A419" s="522"/>
      <c r="B419" s="560" t="s">
        <v>341</v>
      </c>
      <c r="C419" s="561" t="s">
        <v>341</v>
      </c>
      <c r="D419" s="560">
        <v>656540011</v>
      </c>
      <c r="E419" s="562">
        <v>1101</v>
      </c>
      <c r="F419" s="563">
        <v>656</v>
      </c>
      <c r="G419" s="564">
        <v>5400000590</v>
      </c>
      <c r="H419" s="565">
        <v>119</v>
      </c>
      <c r="I419" s="565">
        <v>213</v>
      </c>
      <c r="J419" s="531">
        <v>0</v>
      </c>
      <c r="K419" s="566"/>
      <c r="L419" s="567">
        <v>35000</v>
      </c>
      <c r="M419" s="567">
        <v>25000</v>
      </c>
      <c r="N419" s="567">
        <v>15000</v>
      </c>
      <c r="O419" s="567">
        <v>10745</v>
      </c>
      <c r="P419" s="567">
        <v>85745</v>
      </c>
      <c r="Q419" s="568">
        <f>(R419+S419+T419+U419)</f>
        <v>87000</v>
      </c>
      <c r="R419" s="566">
        <f>R418*30.2%</f>
        <v>77463</v>
      </c>
      <c r="S419" s="566">
        <f>S418*30.2%</f>
        <v>67346</v>
      </c>
      <c r="T419" s="566">
        <f>T418*30.2%</f>
        <v>68403</v>
      </c>
      <c r="U419" s="566">
        <f>V419-R419-S419-T419</f>
        <v>-126212</v>
      </c>
      <c r="V419" s="569">
        <v>87000</v>
      </c>
      <c r="W419" s="566"/>
      <c r="X419" s="575"/>
      <c r="Y419" s="568" t="s">
        <v>611</v>
      </c>
      <c r="Z419" s="568">
        <v>122659.34</v>
      </c>
      <c r="AA419" s="568"/>
      <c r="AB419" s="569">
        <v>151000</v>
      </c>
      <c r="AC419" s="569">
        <v>151000</v>
      </c>
      <c r="AD419" s="566"/>
      <c r="AE419" s="566"/>
      <c r="AF419" s="566"/>
      <c r="AG419" s="566">
        <v>60649.120000000003</v>
      </c>
      <c r="AH419" s="566">
        <v>0</v>
      </c>
      <c r="AI419" s="566"/>
      <c r="AJ419" s="569"/>
      <c r="AK419" s="570">
        <v>0.70731961047291392</v>
      </c>
      <c r="AL419" s="552" t="s">
        <v>195</v>
      </c>
      <c r="AM419" s="522"/>
      <c r="AN419" s="522"/>
    </row>
    <row r="420" spans="1:42" ht="28.2" customHeight="1" x14ac:dyDescent="0.25">
      <c r="A420" s="522"/>
      <c r="B420" s="560" t="s">
        <v>341</v>
      </c>
      <c r="C420" s="561" t="s">
        <v>341</v>
      </c>
      <c r="D420" s="560">
        <v>656540011</v>
      </c>
      <c r="E420" s="562">
        <v>1101</v>
      </c>
      <c r="F420" s="563">
        <v>656</v>
      </c>
      <c r="G420" s="564">
        <v>5400000590</v>
      </c>
      <c r="H420" s="565" t="s">
        <v>236</v>
      </c>
      <c r="I420" s="565">
        <v>211</v>
      </c>
      <c r="J420" s="531">
        <v>0</v>
      </c>
      <c r="K420" s="566"/>
      <c r="L420" s="567">
        <v>70000</v>
      </c>
      <c r="M420" s="567">
        <v>80000</v>
      </c>
      <c r="N420" s="567">
        <v>50000</v>
      </c>
      <c r="O420" s="567">
        <v>40811</v>
      </c>
      <c r="P420" s="567">
        <v>240811</v>
      </c>
      <c r="Q420" s="568">
        <f>R420+S420+T420+U420</f>
        <v>906000</v>
      </c>
      <c r="R420" s="566">
        <f>226500+30000</f>
        <v>256500</v>
      </c>
      <c r="S420" s="566">
        <f>226500+26500-30000</f>
        <v>223000</v>
      </c>
      <c r="T420" s="566">
        <v>226500</v>
      </c>
      <c r="U420" s="566">
        <f>226500-26500</f>
        <v>200000</v>
      </c>
      <c r="V420" s="567">
        <v>72340.66</v>
      </c>
      <c r="W420" s="566"/>
      <c r="X420" s="567"/>
      <c r="Y420" s="568" t="s">
        <v>612</v>
      </c>
      <c r="Z420" s="568"/>
      <c r="AA420" s="568"/>
      <c r="AB420" s="567">
        <v>500000</v>
      </c>
      <c r="AC420" s="567">
        <v>500000</v>
      </c>
      <c r="AD420" s="566"/>
      <c r="AE420" s="566"/>
      <c r="AF420" s="566"/>
      <c r="AG420" s="566">
        <v>140522.56</v>
      </c>
      <c r="AH420" s="566">
        <v>0</v>
      </c>
      <c r="AI420" s="566"/>
      <c r="AJ420" s="569"/>
      <c r="AK420" s="570">
        <v>0.58353879183259882</v>
      </c>
      <c r="AL420" s="552" t="s">
        <v>195</v>
      </c>
      <c r="AM420" s="522"/>
      <c r="AN420" s="522"/>
    </row>
    <row r="421" spans="1:42" ht="12.75" customHeight="1" x14ac:dyDescent="0.25">
      <c r="A421" s="522"/>
      <c r="B421" s="560" t="s">
        <v>341</v>
      </c>
      <c r="C421" s="561" t="s">
        <v>341</v>
      </c>
      <c r="D421" s="560">
        <v>656540011</v>
      </c>
      <c r="E421" s="562">
        <v>1101</v>
      </c>
      <c r="F421" s="563">
        <v>656</v>
      </c>
      <c r="G421" s="564">
        <v>5400000590</v>
      </c>
      <c r="H421" s="565">
        <v>119</v>
      </c>
      <c r="I421" s="565">
        <v>213</v>
      </c>
      <c r="J421" s="531">
        <v>0</v>
      </c>
      <c r="K421" s="566"/>
      <c r="L421" s="567">
        <v>35000</v>
      </c>
      <c r="M421" s="567">
        <v>25000</v>
      </c>
      <c r="N421" s="567">
        <v>15000</v>
      </c>
      <c r="O421" s="567">
        <v>10745</v>
      </c>
      <c r="P421" s="567">
        <v>85745</v>
      </c>
      <c r="Q421" s="568">
        <f>(R421+S421+T421+U421)</f>
        <v>35659.339999999997</v>
      </c>
      <c r="R421" s="566">
        <f>R420*30.2%</f>
        <v>77463</v>
      </c>
      <c r="S421" s="566">
        <f>S420*30.2%</f>
        <v>67346</v>
      </c>
      <c r="T421" s="566">
        <f>T420*30.2%</f>
        <v>68403</v>
      </c>
      <c r="U421" s="566">
        <f>V421-R421-S421-T421</f>
        <v>-177552.66</v>
      </c>
      <c r="V421" s="569">
        <v>35659.339999999997</v>
      </c>
      <c r="W421" s="566"/>
      <c r="X421" s="575"/>
      <c r="Y421" s="575" t="s">
        <v>613</v>
      </c>
      <c r="Z421" s="575"/>
      <c r="AA421" s="575"/>
      <c r="AB421" s="569">
        <v>151000</v>
      </c>
      <c r="AC421" s="569">
        <v>151000</v>
      </c>
      <c r="AD421" s="566"/>
      <c r="AE421" s="566"/>
      <c r="AF421" s="566"/>
      <c r="AG421" s="566">
        <v>60649.120000000003</v>
      </c>
      <c r="AH421" s="566">
        <v>0</v>
      </c>
      <c r="AI421" s="566"/>
      <c r="AJ421" s="569"/>
      <c r="AK421" s="570">
        <v>0.70731961047291392</v>
      </c>
      <c r="AL421" s="552" t="s">
        <v>195</v>
      </c>
      <c r="AM421" s="522"/>
      <c r="AN421" s="522"/>
    </row>
    <row r="422" spans="1:42" ht="12.75" customHeight="1" x14ac:dyDescent="0.25">
      <c r="A422" s="522"/>
      <c r="B422" s="560" t="s">
        <v>341</v>
      </c>
      <c r="C422" s="561" t="s">
        <v>341</v>
      </c>
      <c r="D422" s="560">
        <v>656540011</v>
      </c>
      <c r="E422" s="562">
        <v>1101</v>
      </c>
      <c r="F422" s="563">
        <v>656</v>
      </c>
      <c r="G422" s="564">
        <v>5400085150</v>
      </c>
      <c r="H422" s="565" t="s">
        <v>236</v>
      </c>
      <c r="I422" s="565">
        <v>211</v>
      </c>
      <c r="J422" s="531">
        <v>0</v>
      </c>
      <c r="K422" s="566"/>
      <c r="L422" s="567">
        <v>70000</v>
      </c>
      <c r="M422" s="567">
        <v>80000</v>
      </c>
      <c r="N422" s="567">
        <v>50000</v>
      </c>
      <c r="O422" s="567">
        <v>40811</v>
      </c>
      <c r="P422" s="567">
        <v>240811</v>
      </c>
      <c r="Q422" s="568">
        <f>R422+S422+T422+U422</f>
        <v>906000</v>
      </c>
      <c r="R422" s="566">
        <f>226500+30000</f>
        <v>256500</v>
      </c>
      <c r="S422" s="566">
        <f>226500+26500-30000</f>
        <v>223000</v>
      </c>
      <c r="T422" s="566">
        <v>226500</v>
      </c>
      <c r="U422" s="566">
        <f>226500-26500</f>
        <v>200000</v>
      </c>
      <c r="V422" s="567">
        <v>72340.66</v>
      </c>
      <c r="W422" s="566"/>
      <c r="X422" s="567"/>
      <c r="Y422" s="575"/>
      <c r="Z422" s="575"/>
      <c r="AA422" s="575"/>
      <c r="AB422" s="567">
        <v>500000</v>
      </c>
      <c r="AC422" s="567">
        <v>500000</v>
      </c>
      <c r="AD422" s="566"/>
      <c r="AE422" s="566"/>
      <c r="AF422" s="566"/>
      <c r="AG422" s="566">
        <v>140522.56</v>
      </c>
      <c r="AH422" s="566">
        <v>0</v>
      </c>
      <c r="AI422" s="566"/>
      <c r="AJ422" s="569"/>
      <c r="AK422" s="570">
        <v>0.58353879183259882</v>
      </c>
      <c r="AL422" s="552" t="s">
        <v>195</v>
      </c>
      <c r="AM422" s="522"/>
      <c r="AN422" s="522"/>
    </row>
    <row r="423" spans="1:42" ht="12.75" customHeight="1" x14ac:dyDescent="0.25">
      <c r="A423" s="522"/>
      <c r="B423" s="560" t="s">
        <v>341</v>
      </c>
      <c r="C423" s="561" t="s">
        <v>341</v>
      </c>
      <c r="D423" s="560">
        <v>656540011</v>
      </c>
      <c r="E423" s="562">
        <v>1101</v>
      </c>
      <c r="F423" s="563">
        <v>656</v>
      </c>
      <c r="G423" s="564">
        <v>5400085150</v>
      </c>
      <c r="H423" s="565">
        <v>119</v>
      </c>
      <c r="I423" s="565">
        <v>213</v>
      </c>
      <c r="J423" s="531">
        <v>0</v>
      </c>
      <c r="K423" s="566"/>
      <c r="L423" s="567">
        <v>35000</v>
      </c>
      <c r="M423" s="567">
        <v>25000</v>
      </c>
      <c r="N423" s="567">
        <v>15000</v>
      </c>
      <c r="O423" s="567">
        <v>10745</v>
      </c>
      <c r="P423" s="567">
        <v>85745</v>
      </c>
      <c r="Q423" s="568">
        <f>(R423+S423+T423+U423)</f>
        <v>35659.339999999997</v>
      </c>
      <c r="R423" s="566">
        <f>R422*30.2%</f>
        <v>77463</v>
      </c>
      <c r="S423" s="566">
        <f>S422*30.2%</f>
        <v>67346</v>
      </c>
      <c r="T423" s="566">
        <f>T422*30.2%</f>
        <v>68403</v>
      </c>
      <c r="U423" s="566">
        <f>V423-R423-S423-T423</f>
        <v>-177552.66</v>
      </c>
      <c r="V423" s="569">
        <v>35659.339999999997</v>
      </c>
      <c r="W423" s="566"/>
      <c r="X423" s="575"/>
      <c r="Y423" s="575" t="s">
        <v>614</v>
      </c>
      <c r="Z423" s="575"/>
      <c r="AA423" s="575"/>
      <c r="AB423" s="569">
        <v>151000</v>
      </c>
      <c r="AC423" s="569">
        <v>151000</v>
      </c>
      <c r="AD423" s="566"/>
      <c r="AE423" s="566"/>
      <c r="AF423" s="566"/>
      <c r="AG423" s="566">
        <v>60649.120000000003</v>
      </c>
      <c r="AH423" s="566">
        <v>0</v>
      </c>
      <c r="AI423" s="566"/>
      <c r="AJ423" s="569"/>
      <c r="AK423" s="570">
        <v>0.70731961047291392</v>
      </c>
      <c r="AL423" s="552" t="s">
        <v>195</v>
      </c>
      <c r="AM423" s="522"/>
      <c r="AN423" s="522"/>
    </row>
    <row r="424" spans="1:42" ht="12" customHeight="1" x14ac:dyDescent="0.25">
      <c r="A424" s="522"/>
      <c r="B424" s="559" t="s">
        <v>212</v>
      </c>
      <c r="C424" s="559"/>
      <c r="D424" s="559"/>
      <c r="E424" s="559"/>
      <c r="F424" s="559"/>
      <c r="G424" s="559"/>
      <c r="H424" s="559"/>
      <c r="I424" s="559"/>
      <c r="J424" s="559"/>
      <c r="K424" s="559"/>
      <c r="L424" s="556">
        <v>105000</v>
      </c>
      <c r="M424" s="556">
        <v>105000</v>
      </c>
      <c r="N424" s="556">
        <v>65000</v>
      </c>
      <c r="O424" s="556">
        <v>51556</v>
      </c>
      <c r="P424" s="556">
        <v>326556</v>
      </c>
      <c r="Q424" s="571">
        <f>R424+S424+T424+U424</f>
        <v>993000</v>
      </c>
      <c r="R424" s="591">
        <f>R418+R419</f>
        <v>333963</v>
      </c>
      <c r="S424" s="591">
        <f>S418+S419</f>
        <v>290346</v>
      </c>
      <c r="T424" s="591">
        <f>T418+T419</f>
        <v>294903</v>
      </c>
      <c r="U424" s="591">
        <f>U418+U419</f>
        <v>73788</v>
      </c>
      <c r="V424" s="591">
        <f>SUM(V418:V423)</f>
        <v>591000</v>
      </c>
      <c r="W424" s="590"/>
      <c r="X424" s="591"/>
      <c r="Y424" s="592"/>
      <c r="Z424" s="592">
        <f>Z418+Z419</f>
        <v>483000</v>
      </c>
      <c r="AA424" s="592"/>
      <c r="AB424" s="591">
        <f>AB418+AB419</f>
        <v>651000</v>
      </c>
      <c r="AC424" s="591">
        <f>AC418+AC419</f>
        <v>651000</v>
      </c>
      <c r="AD424" s="573"/>
      <c r="AE424" s="573"/>
      <c r="AF424" s="573"/>
      <c r="AG424" s="566">
        <v>201171.68</v>
      </c>
      <c r="AH424" s="566">
        <v>0</v>
      </c>
      <c r="AI424" s="573"/>
      <c r="AJ424" s="573"/>
      <c r="AK424" s="570">
        <v>0.61604037286100999</v>
      </c>
      <c r="AL424" s="552" t="s">
        <v>195</v>
      </c>
      <c r="AM424" s="522"/>
      <c r="AN424" s="522"/>
    </row>
    <row r="425" spans="1:42" ht="13.5" customHeight="1" x14ac:dyDescent="0.25">
      <c r="A425" s="522"/>
      <c r="B425" s="559" t="s">
        <v>342</v>
      </c>
      <c r="C425" s="559"/>
      <c r="D425" s="559"/>
      <c r="E425" s="559"/>
      <c r="F425" s="559"/>
      <c r="G425" s="559"/>
      <c r="H425" s="559"/>
      <c r="I425" s="559"/>
      <c r="J425" s="559"/>
      <c r="K425" s="559"/>
      <c r="L425" s="559"/>
      <c r="M425" s="559"/>
      <c r="N425" s="559"/>
      <c r="O425" s="559"/>
      <c r="P425" s="559"/>
      <c r="Q425" s="559"/>
      <c r="R425" s="559"/>
      <c r="S425" s="559"/>
      <c r="T425" s="559"/>
      <c r="U425" s="559"/>
      <c r="V425" s="559"/>
      <c r="W425" s="559"/>
      <c r="X425" s="559"/>
      <c r="Y425" s="559"/>
      <c r="Z425" s="559"/>
      <c r="AA425" s="559"/>
      <c r="AB425" s="559"/>
      <c r="AC425" s="559"/>
      <c r="AD425" s="559"/>
      <c r="AE425" s="559"/>
      <c r="AF425" s="559"/>
      <c r="AG425" s="559"/>
      <c r="AH425" s="559"/>
      <c r="AI425" s="559"/>
      <c r="AJ425" s="559"/>
      <c r="AK425" s="559"/>
      <c r="AL425" s="552" t="s">
        <v>195</v>
      </c>
      <c r="AM425" s="522"/>
      <c r="AN425" s="522"/>
    </row>
    <row r="426" spans="1:42" ht="12.75" customHeight="1" x14ac:dyDescent="0.25">
      <c r="A426" s="522"/>
      <c r="B426" s="560" t="s">
        <v>342</v>
      </c>
      <c r="C426" s="561" t="s">
        <v>342</v>
      </c>
      <c r="D426" s="560">
        <v>656110012</v>
      </c>
      <c r="E426" s="562">
        <v>1101</v>
      </c>
      <c r="F426" s="563">
        <v>656</v>
      </c>
      <c r="G426" s="564">
        <v>4829900</v>
      </c>
      <c r="H426" s="565" t="s">
        <v>219</v>
      </c>
      <c r="I426" s="565">
        <v>226</v>
      </c>
      <c r="J426" s="531">
        <v>0</v>
      </c>
      <c r="K426" s="566"/>
      <c r="L426" s="567">
        <v>1300</v>
      </c>
      <c r="M426" s="567">
        <v>0</v>
      </c>
      <c r="N426" s="567">
        <v>0</v>
      </c>
      <c r="O426" s="567">
        <v>0</v>
      </c>
      <c r="P426" s="567">
        <v>1300</v>
      </c>
      <c r="Q426" s="568"/>
      <c r="R426" s="566">
        <v>500</v>
      </c>
      <c r="S426" s="566">
        <v>400</v>
      </c>
      <c r="T426" s="566">
        <v>300</v>
      </c>
      <c r="U426" s="566">
        <f>V426-T426-S426-R426</f>
        <v>-1200</v>
      </c>
      <c r="V426" s="569">
        <v>0</v>
      </c>
      <c r="W426" s="566"/>
      <c r="X426" s="575"/>
      <c r="Y426" s="575"/>
      <c r="Z426" s="575"/>
      <c r="AA426" s="575"/>
      <c r="AB426" s="569">
        <v>0</v>
      </c>
      <c r="AC426" s="569">
        <v>0</v>
      </c>
      <c r="AD426" s="566"/>
      <c r="AE426" s="566"/>
      <c r="AF426" s="566"/>
      <c r="AG426" s="566">
        <v>635.71</v>
      </c>
      <c r="AH426" s="566">
        <v>0</v>
      </c>
      <c r="AI426" s="566"/>
      <c r="AJ426" s="569"/>
      <c r="AK426" s="570">
        <v>0.48900769230769253</v>
      </c>
      <c r="AL426" s="552" t="s">
        <v>195</v>
      </c>
      <c r="AM426" s="522"/>
      <c r="AN426" s="522"/>
    </row>
    <row r="427" spans="1:42" ht="12.75" customHeight="1" x14ac:dyDescent="0.25">
      <c r="A427" s="522"/>
      <c r="B427" s="559" t="s">
        <v>212</v>
      </c>
      <c r="C427" s="559"/>
      <c r="D427" s="559"/>
      <c r="E427" s="559"/>
      <c r="F427" s="559"/>
      <c r="G427" s="559"/>
      <c r="H427" s="559"/>
      <c r="I427" s="559"/>
      <c r="J427" s="559"/>
      <c r="K427" s="559"/>
      <c r="L427" s="556">
        <v>1300</v>
      </c>
      <c r="M427" s="556">
        <v>0</v>
      </c>
      <c r="N427" s="556">
        <v>0</v>
      </c>
      <c r="O427" s="556">
        <v>0</v>
      </c>
      <c r="P427" s="556">
        <v>1300</v>
      </c>
      <c r="Q427" s="568"/>
      <c r="R427" s="591">
        <f>R426</f>
        <v>500</v>
      </c>
      <c r="S427" s="591">
        <f>S426</f>
        <v>400</v>
      </c>
      <c r="T427" s="591">
        <f>T426</f>
        <v>300</v>
      </c>
      <c r="U427" s="591">
        <f>U426</f>
        <v>-1200</v>
      </c>
      <c r="V427" s="591">
        <f>V426</f>
        <v>0</v>
      </c>
      <c r="W427" s="590"/>
      <c r="X427" s="592"/>
      <c r="Y427" s="592"/>
      <c r="Z427" s="592"/>
      <c r="AA427" s="592"/>
      <c r="AB427" s="591">
        <f>AB426</f>
        <v>0</v>
      </c>
      <c r="AC427" s="591">
        <f>AC426</f>
        <v>0</v>
      </c>
      <c r="AD427" s="573"/>
      <c r="AE427" s="573"/>
      <c r="AF427" s="573"/>
      <c r="AG427" s="566">
        <v>635.71</v>
      </c>
      <c r="AH427" s="566">
        <v>0</v>
      </c>
      <c r="AI427" s="573"/>
      <c r="AJ427" s="573"/>
      <c r="AK427" s="570">
        <v>0.48900769230769253</v>
      </c>
      <c r="AL427" s="552" t="s">
        <v>195</v>
      </c>
      <c r="AM427" s="522"/>
      <c r="AN427" s="522"/>
    </row>
    <row r="428" spans="1:42" ht="12.75" customHeight="1" x14ac:dyDescent="0.25">
      <c r="A428" s="522"/>
      <c r="B428" s="559" t="s">
        <v>341</v>
      </c>
      <c r="C428" s="559"/>
      <c r="D428" s="559"/>
      <c r="E428" s="559"/>
      <c r="F428" s="559"/>
      <c r="G428" s="559"/>
      <c r="H428" s="559"/>
      <c r="I428" s="559"/>
      <c r="J428" s="559"/>
      <c r="K428" s="559"/>
      <c r="L428" s="559"/>
      <c r="M428" s="559"/>
      <c r="N428" s="559"/>
      <c r="O428" s="559"/>
      <c r="P428" s="559"/>
      <c r="Q428" s="559"/>
      <c r="R428" s="559"/>
      <c r="S428" s="559"/>
      <c r="T428" s="559"/>
      <c r="U428" s="559"/>
      <c r="V428" s="559"/>
      <c r="W428" s="559"/>
      <c r="X428" s="559"/>
      <c r="Y428" s="559"/>
      <c r="Z428" s="559"/>
      <c r="AA428" s="559"/>
      <c r="AB428" s="559"/>
      <c r="AC428" s="559"/>
      <c r="AD428" s="559"/>
      <c r="AE428" s="559"/>
      <c r="AF428" s="559"/>
      <c r="AG428" s="559"/>
      <c r="AH428" s="559"/>
      <c r="AI428" s="559"/>
      <c r="AJ428" s="559"/>
      <c r="AK428" s="559"/>
      <c r="AL428" s="552" t="s">
        <v>195</v>
      </c>
      <c r="AM428" s="522"/>
      <c r="AN428" s="522"/>
    </row>
    <row r="429" spans="1:42" ht="12.75" customHeight="1" x14ac:dyDescent="0.25">
      <c r="A429" s="522"/>
      <c r="B429" s="560" t="s">
        <v>323</v>
      </c>
      <c r="C429" s="561" t="s">
        <v>323</v>
      </c>
      <c r="D429" s="560">
        <v>656540012</v>
      </c>
      <c r="E429" s="562">
        <v>1101</v>
      </c>
      <c r="F429" s="563">
        <v>656</v>
      </c>
      <c r="G429" s="564">
        <v>5400000590</v>
      </c>
      <c r="H429" s="565" t="s">
        <v>234</v>
      </c>
      <c r="I429" s="565">
        <v>212</v>
      </c>
      <c r="J429" s="531">
        <v>0</v>
      </c>
      <c r="K429" s="566"/>
      <c r="L429" s="567">
        <v>50000</v>
      </c>
      <c r="M429" s="567">
        <v>50000</v>
      </c>
      <c r="N429" s="567">
        <v>50000</v>
      </c>
      <c r="O429" s="567">
        <v>0</v>
      </c>
      <c r="P429" s="567">
        <v>150000</v>
      </c>
      <c r="Q429" s="568">
        <f>R429+S429+T429+U429</f>
        <v>60000</v>
      </c>
      <c r="R429" s="566"/>
      <c r="S429" s="566">
        <v>30000</v>
      </c>
      <c r="T429" s="566">
        <v>30000</v>
      </c>
      <c r="U429" s="566">
        <v>0</v>
      </c>
      <c r="V429" s="569">
        <v>2000</v>
      </c>
      <c r="W429" s="566"/>
      <c r="X429" s="575">
        <v>0</v>
      </c>
      <c r="Y429" s="575"/>
      <c r="Z429" s="575"/>
      <c r="AA429" s="575"/>
      <c r="AB429" s="569"/>
      <c r="AC429" s="569"/>
      <c r="AD429" s="566"/>
      <c r="AE429" s="566"/>
      <c r="AF429" s="566"/>
      <c r="AG429" s="566">
        <v>24440.3</v>
      </c>
      <c r="AH429" s="566">
        <v>0</v>
      </c>
      <c r="AI429" s="566"/>
      <c r="AJ429" s="569"/>
      <c r="AK429" s="570">
        <v>0.16293533333333332</v>
      </c>
      <c r="AL429" s="552" t="s">
        <v>195</v>
      </c>
      <c r="AM429" s="522"/>
      <c r="AN429" s="522"/>
      <c r="AO429" s="511"/>
      <c r="AP429" s="518"/>
    </row>
    <row r="430" spans="1:42" ht="19.5" customHeight="1" x14ac:dyDescent="0.25">
      <c r="A430" s="522"/>
      <c r="B430" s="559" t="s">
        <v>212</v>
      </c>
      <c r="C430" s="559"/>
      <c r="D430" s="559"/>
      <c r="E430" s="559"/>
      <c r="F430" s="559"/>
      <c r="G430" s="559"/>
      <c r="H430" s="559"/>
      <c r="I430" s="559"/>
      <c r="J430" s="559"/>
      <c r="K430" s="559"/>
      <c r="L430" s="556">
        <v>50000</v>
      </c>
      <c r="M430" s="556">
        <v>50000</v>
      </c>
      <c r="N430" s="556">
        <v>50000</v>
      </c>
      <c r="O430" s="556">
        <v>0</v>
      </c>
      <c r="P430" s="556">
        <v>150000</v>
      </c>
      <c r="Q430" s="571">
        <f>R430+S430+T430+U430</f>
        <v>60000</v>
      </c>
      <c r="R430" s="591">
        <f>R429</f>
        <v>0</v>
      </c>
      <c r="S430" s="591">
        <f>S429</f>
        <v>30000</v>
      </c>
      <c r="T430" s="591">
        <f>T429</f>
        <v>30000</v>
      </c>
      <c r="U430" s="591">
        <f>U429</f>
        <v>0</v>
      </c>
      <c r="V430" s="591">
        <f>V429</f>
        <v>2000</v>
      </c>
      <c r="W430" s="590"/>
      <c r="X430" s="591">
        <f>X429</f>
        <v>0</v>
      </c>
      <c r="Y430" s="592"/>
      <c r="Z430" s="592"/>
      <c r="AA430" s="592"/>
      <c r="AB430" s="591">
        <f>AB429</f>
        <v>0</v>
      </c>
      <c r="AC430" s="591">
        <f>AC429</f>
        <v>0</v>
      </c>
      <c r="AD430" s="573"/>
      <c r="AE430" s="573"/>
      <c r="AF430" s="573"/>
      <c r="AG430" s="566">
        <v>24440.3</v>
      </c>
      <c r="AH430" s="566">
        <v>0</v>
      </c>
      <c r="AI430" s="573"/>
      <c r="AJ430" s="573"/>
      <c r="AK430" s="570">
        <v>0.16293533333333332</v>
      </c>
      <c r="AL430" s="552" t="s">
        <v>195</v>
      </c>
      <c r="AM430" s="522"/>
      <c r="AN430" s="522"/>
      <c r="AO430" s="511"/>
      <c r="AP430" s="517"/>
    </row>
    <row r="431" spans="1:42" ht="12.75" customHeight="1" x14ac:dyDescent="0.25">
      <c r="A431" s="522"/>
      <c r="B431" s="559" t="s">
        <v>343</v>
      </c>
      <c r="C431" s="559"/>
      <c r="D431" s="559"/>
      <c r="E431" s="559"/>
      <c r="F431" s="559"/>
      <c r="G431" s="559"/>
      <c r="H431" s="559"/>
      <c r="I431" s="559"/>
      <c r="J431" s="559"/>
      <c r="K431" s="559"/>
      <c r="L431" s="559"/>
      <c r="M431" s="559"/>
      <c r="N431" s="559"/>
      <c r="O431" s="559"/>
      <c r="P431" s="559"/>
      <c r="Q431" s="559"/>
      <c r="R431" s="559"/>
      <c r="S431" s="559"/>
      <c r="T431" s="559"/>
      <c r="U431" s="559"/>
      <c r="V431" s="559"/>
      <c r="W431" s="559"/>
      <c r="X431" s="559"/>
      <c r="Y431" s="559"/>
      <c r="Z431" s="559"/>
      <c r="AA431" s="559"/>
      <c r="AB431" s="559"/>
      <c r="AC431" s="559"/>
      <c r="AD431" s="559"/>
      <c r="AE431" s="559"/>
      <c r="AF431" s="559"/>
      <c r="AG431" s="559"/>
      <c r="AH431" s="559"/>
      <c r="AI431" s="559"/>
      <c r="AJ431" s="559"/>
      <c r="AK431" s="559"/>
      <c r="AL431" s="552" t="s">
        <v>195</v>
      </c>
      <c r="AM431" s="522"/>
      <c r="AN431" s="522"/>
      <c r="AO431" s="511"/>
      <c r="AP431" s="517"/>
    </row>
    <row r="432" spans="1:42" ht="12.75" customHeight="1" x14ac:dyDescent="0.25">
      <c r="A432" s="522"/>
      <c r="B432" s="560" t="s">
        <v>343</v>
      </c>
      <c r="C432" s="561" t="s">
        <v>343</v>
      </c>
      <c r="D432" s="560">
        <v>656540013</v>
      </c>
      <c r="E432" s="562">
        <v>1101</v>
      </c>
      <c r="F432" s="563">
        <v>656</v>
      </c>
      <c r="G432" s="564">
        <v>5400000590</v>
      </c>
      <c r="H432" s="565" t="s">
        <v>219</v>
      </c>
      <c r="I432" s="565">
        <v>226</v>
      </c>
      <c r="J432" s="531" t="s">
        <v>260</v>
      </c>
      <c r="K432" s="566"/>
      <c r="L432" s="567">
        <v>10000</v>
      </c>
      <c r="M432" s="567">
        <v>0</v>
      </c>
      <c r="N432" s="567">
        <v>0</v>
      </c>
      <c r="O432" s="567">
        <v>0</v>
      </c>
      <c r="P432" s="567">
        <v>10000</v>
      </c>
      <c r="Q432" s="568">
        <f>R432+S432+T432+U432</f>
        <v>10000</v>
      </c>
      <c r="R432" s="569">
        <v>5000</v>
      </c>
      <c r="S432" s="566"/>
      <c r="T432" s="566">
        <v>5000</v>
      </c>
      <c r="U432" s="566"/>
      <c r="V432" s="569">
        <v>1180080</v>
      </c>
      <c r="W432" s="566" t="s">
        <v>467</v>
      </c>
      <c r="X432" s="575"/>
      <c r="Y432" s="575"/>
      <c r="Z432" s="575"/>
      <c r="AA432" s="575"/>
      <c r="AB432" s="569">
        <v>1300000</v>
      </c>
      <c r="AC432" s="569">
        <v>1300000</v>
      </c>
      <c r="AD432" s="566"/>
      <c r="AE432" s="566"/>
      <c r="AF432" s="566"/>
      <c r="AG432" s="566">
        <v>5000</v>
      </c>
      <c r="AH432" s="566">
        <v>0</v>
      </c>
      <c r="AI432" s="566"/>
      <c r="AJ432" s="569"/>
      <c r="AK432" s="570">
        <v>0.5</v>
      </c>
      <c r="AL432" s="552" t="s">
        <v>195</v>
      </c>
      <c r="AM432" s="522"/>
      <c r="AN432" s="522"/>
    </row>
    <row r="433" spans="1:42" ht="32.4" customHeight="1" x14ac:dyDescent="0.25">
      <c r="A433" s="522"/>
      <c r="B433" s="560" t="s">
        <v>343</v>
      </c>
      <c r="C433" s="561" t="s">
        <v>343</v>
      </c>
      <c r="D433" s="560">
        <v>656540013</v>
      </c>
      <c r="E433" s="562">
        <v>1101</v>
      </c>
      <c r="F433" s="563">
        <v>656</v>
      </c>
      <c r="G433" s="564">
        <v>5400000590</v>
      </c>
      <c r="H433" s="565" t="s">
        <v>219</v>
      </c>
      <c r="I433" s="565">
        <v>290</v>
      </c>
      <c r="J433" s="531" t="s">
        <v>598</v>
      </c>
      <c r="K433" s="566"/>
      <c r="L433" s="567">
        <v>10000</v>
      </c>
      <c r="M433" s="567">
        <v>0</v>
      </c>
      <c r="N433" s="567">
        <v>0</v>
      </c>
      <c r="O433" s="567">
        <v>0</v>
      </c>
      <c r="P433" s="567">
        <v>10000</v>
      </c>
      <c r="Q433" s="568">
        <f>R433+S433+T433+U433</f>
        <v>10000</v>
      </c>
      <c r="R433" s="569">
        <v>5000</v>
      </c>
      <c r="S433" s="566"/>
      <c r="T433" s="566">
        <v>5000</v>
      </c>
      <c r="U433" s="566"/>
      <c r="V433" s="569">
        <v>5000</v>
      </c>
      <c r="W433" s="566" t="s">
        <v>264</v>
      </c>
      <c r="X433" s="575"/>
      <c r="Y433" s="568"/>
      <c r="Z433" s="575">
        <v>10000</v>
      </c>
      <c r="AA433" s="575" t="s">
        <v>627</v>
      </c>
      <c r="AB433" s="569"/>
      <c r="AC433" s="569"/>
      <c r="AD433" s="566"/>
      <c r="AE433" s="566"/>
      <c r="AF433" s="566"/>
      <c r="AG433" s="566">
        <v>5000</v>
      </c>
      <c r="AH433" s="566">
        <v>0</v>
      </c>
      <c r="AI433" s="566"/>
      <c r="AJ433" s="569"/>
      <c r="AK433" s="570">
        <v>0.5</v>
      </c>
      <c r="AL433" s="552" t="s">
        <v>195</v>
      </c>
      <c r="AM433" s="522"/>
      <c r="AN433" s="522"/>
    </row>
    <row r="434" spans="1:42" ht="12.75" customHeight="1" x14ac:dyDescent="0.25">
      <c r="A434" s="522"/>
      <c r="B434" s="560" t="s">
        <v>343</v>
      </c>
      <c r="C434" s="561" t="s">
        <v>343</v>
      </c>
      <c r="D434" s="560">
        <v>656540013</v>
      </c>
      <c r="E434" s="562">
        <v>1101</v>
      </c>
      <c r="F434" s="563">
        <v>656</v>
      </c>
      <c r="G434" s="564">
        <v>5400000590</v>
      </c>
      <c r="H434" s="565" t="s">
        <v>219</v>
      </c>
      <c r="I434" s="565">
        <v>340</v>
      </c>
      <c r="J434" s="531" t="s">
        <v>261</v>
      </c>
      <c r="K434" s="566"/>
      <c r="L434" s="567">
        <v>10000</v>
      </c>
      <c r="M434" s="567">
        <v>0</v>
      </c>
      <c r="N434" s="567">
        <v>0</v>
      </c>
      <c r="O434" s="567">
        <v>0</v>
      </c>
      <c r="P434" s="567">
        <v>10000</v>
      </c>
      <c r="Q434" s="568">
        <f>R434+S434+T434+U434</f>
        <v>10000</v>
      </c>
      <c r="R434" s="569">
        <v>5000</v>
      </c>
      <c r="S434" s="566"/>
      <c r="T434" s="566">
        <v>5000</v>
      </c>
      <c r="U434" s="566"/>
      <c r="V434" s="569">
        <v>0</v>
      </c>
      <c r="W434" s="566" t="s">
        <v>253</v>
      </c>
      <c r="X434" s="575"/>
      <c r="Y434" s="575"/>
      <c r="Z434" s="575">
        <v>10000</v>
      </c>
      <c r="AA434" s="575"/>
      <c r="AB434" s="569"/>
      <c r="AC434" s="569"/>
      <c r="AD434" s="566"/>
      <c r="AE434" s="566"/>
      <c r="AF434" s="566"/>
      <c r="AG434" s="566">
        <v>0</v>
      </c>
      <c r="AH434" s="566">
        <v>0</v>
      </c>
      <c r="AI434" s="566"/>
      <c r="AJ434" s="569"/>
      <c r="AK434" s="570">
        <v>0</v>
      </c>
      <c r="AL434" s="552" t="s">
        <v>195</v>
      </c>
      <c r="AM434" s="522"/>
      <c r="AN434" s="522"/>
    </row>
    <row r="435" spans="1:42" ht="12" customHeight="1" x14ac:dyDescent="0.25">
      <c r="A435" s="522"/>
      <c r="B435" s="559" t="s">
        <v>212</v>
      </c>
      <c r="C435" s="559"/>
      <c r="D435" s="559"/>
      <c r="E435" s="559"/>
      <c r="F435" s="559"/>
      <c r="G435" s="559"/>
      <c r="H435" s="559"/>
      <c r="I435" s="559"/>
      <c r="J435" s="559"/>
      <c r="K435" s="559"/>
      <c r="L435" s="556">
        <v>20000</v>
      </c>
      <c r="M435" s="556">
        <v>0</v>
      </c>
      <c r="N435" s="556">
        <v>0</v>
      </c>
      <c r="O435" s="556">
        <v>0</v>
      </c>
      <c r="P435" s="556">
        <v>20000</v>
      </c>
      <c r="Q435" s="571">
        <f>Q433+Q434</f>
        <v>20000</v>
      </c>
      <c r="R435" s="591">
        <f>R433+R434</f>
        <v>10000</v>
      </c>
      <c r="S435" s="566"/>
      <c r="T435" s="591">
        <f>T433+T434</f>
        <v>10000</v>
      </c>
      <c r="U435" s="566"/>
      <c r="V435" s="591">
        <f>V432+V433+V434</f>
        <v>1185080</v>
      </c>
      <c r="W435" s="590">
        <f>V424+V429+V435+X435</f>
        <v>1778080</v>
      </c>
      <c r="X435" s="592">
        <f>SUM(X432:X434)</f>
        <v>0</v>
      </c>
      <c r="Y435" s="592"/>
      <c r="Z435" s="592">
        <f>Z434</f>
        <v>10000</v>
      </c>
      <c r="AA435" s="592"/>
      <c r="AB435" s="591">
        <f>AB432+AB433+AB434</f>
        <v>1300000</v>
      </c>
      <c r="AC435" s="591">
        <f>AC432+AC433+AC434</f>
        <v>1300000</v>
      </c>
      <c r="AD435" s="573"/>
      <c r="AE435" s="573"/>
      <c r="AF435" s="573"/>
      <c r="AG435" s="566">
        <v>5000</v>
      </c>
      <c r="AH435" s="566">
        <v>0</v>
      </c>
      <c r="AI435" s="573"/>
      <c r="AJ435" s="573"/>
      <c r="AK435" s="570">
        <v>0.25</v>
      </c>
      <c r="AL435" s="552" t="s">
        <v>195</v>
      </c>
      <c r="AM435" s="522"/>
      <c r="AN435" s="522"/>
      <c r="AO435" s="513"/>
    </row>
    <row r="436" spans="1:42" ht="26.25" customHeight="1" x14ac:dyDescent="0.25">
      <c r="A436" s="522"/>
      <c r="B436" s="559" t="s">
        <v>344</v>
      </c>
      <c r="C436" s="559"/>
      <c r="D436" s="559"/>
      <c r="E436" s="559"/>
      <c r="F436" s="559"/>
      <c r="G436" s="559"/>
      <c r="H436" s="559"/>
      <c r="I436" s="559"/>
      <c r="J436" s="559"/>
      <c r="K436" s="559"/>
      <c r="L436" s="559"/>
      <c r="M436" s="559"/>
      <c r="N436" s="559"/>
      <c r="O436" s="559"/>
      <c r="P436" s="559"/>
      <c r="Q436" s="559"/>
      <c r="R436" s="559"/>
      <c r="S436" s="559"/>
      <c r="T436" s="559"/>
      <c r="U436" s="559"/>
      <c r="V436" s="559"/>
      <c r="W436" s="559"/>
      <c r="X436" s="559"/>
      <c r="Y436" s="559"/>
      <c r="Z436" s="559"/>
      <c r="AA436" s="559"/>
      <c r="AB436" s="559"/>
      <c r="AC436" s="559"/>
      <c r="AD436" s="559"/>
      <c r="AE436" s="559"/>
      <c r="AF436" s="559"/>
      <c r="AG436" s="559"/>
      <c r="AH436" s="559"/>
      <c r="AI436" s="559"/>
      <c r="AJ436" s="559"/>
      <c r="AK436" s="559"/>
      <c r="AL436" s="552" t="s">
        <v>195</v>
      </c>
      <c r="AM436" s="522"/>
      <c r="AN436" s="522"/>
    </row>
    <row r="437" spans="1:42" ht="12.75" customHeight="1" x14ac:dyDescent="0.25">
      <c r="A437" s="522"/>
      <c r="B437" s="560" t="s">
        <v>235</v>
      </c>
      <c r="C437" s="561" t="s">
        <v>235</v>
      </c>
      <c r="D437" s="560">
        <v>656700011</v>
      </c>
      <c r="E437" s="562">
        <v>401</v>
      </c>
      <c r="F437" s="563">
        <v>656</v>
      </c>
      <c r="G437" s="564">
        <v>7000085060</v>
      </c>
      <c r="H437" s="565">
        <v>111</v>
      </c>
      <c r="I437" s="565">
        <v>211</v>
      </c>
      <c r="J437" s="598"/>
      <c r="K437" s="566"/>
      <c r="L437" s="567">
        <v>647000</v>
      </c>
      <c r="M437" s="567">
        <v>550000</v>
      </c>
      <c r="N437" s="567">
        <v>408195.4</v>
      </c>
      <c r="O437" s="567">
        <v>580336</v>
      </c>
      <c r="P437" s="567">
        <v>2185531.4</v>
      </c>
      <c r="Q437" s="568">
        <f t="shared" ref="Q437:Q443" si="9">R437+S437+T437+U437</f>
        <v>2778065</v>
      </c>
      <c r="R437" s="567">
        <f>668804.6+50000+150000+120729+200000</f>
        <v>1189533.6000000001</v>
      </c>
      <c r="S437" s="567">
        <f>550000+100000-100000</f>
        <v>550000</v>
      </c>
      <c r="T437" s="567">
        <f>408195.4+130000</f>
        <v>538195.4</v>
      </c>
      <c r="U437" s="567">
        <f>580336-50000+100000-130000</f>
        <v>500336</v>
      </c>
      <c r="V437" s="567">
        <v>665602.5</v>
      </c>
      <c r="W437" s="566">
        <f>V437+V438</f>
        <v>913035</v>
      </c>
      <c r="X437" s="575"/>
      <c r="Y437" s="575"/>
      <c r="Z437" s="575"/>
      <c r="AA437" s="575"/>
      <c r="AB437" s="567"/>
      <c r="AC437" s="567"/>
      <c r="AD437" s="566"/>
      <c r="AE437" s="566"/>
      <c r="AF437" s="566"/>
      <c r="AG437" s="566">
        <v>1508967.67</v>
      </c>
      <c r="AH437" s="566">
        <v>20700</v>
      </c>
      <c r="AI437" s="566"/>
      <c r="AJ437" s="569"/>
      <c r="AK437" s="570">
        <v>0.68096375554247346</v>
      </c>
      <c r="AL437" s="552" t="s">
        <v>195</v>
      </c>
      <c r="AM437" s="522"/>
      <c r="AN437" s="522"/>
    </row>
    <row r="438" spans="1:42" ht="12.75" customHeight="1" x14ac:dyDescent="0.25">
      <c r="A438" s="522"/>
      <c r="B438" s="560" t="s">
        <v>235</v>
      </c>
      <c r="C438" s="561" t="s">
        <v>235</v>
      </c>
      <c r="D438" s="560">
        <v>656700011</v>
      </c>
      <c r="E438" s="562">
        <v>401</v>
      </c>
      <c r="F438" s="563">
        <v>656</v>
      </c>
      <c r="G438" s="564">
        <v>7000085060</v>
      </c>
      <c r="H438" s="565">
        <v>119</v>
      </c>
      <c r="I438" s="565">
        <v>213</v>
      </c>
      <c r="J438" s="598"/>
      <c r="K438" s="566"/>
      <c r="L438" s="567">
        <v>196000</v>
      </c>
      <c r="M438" s="567">
        <v>167000</v>
      </c>
      <c r="N438" s="567">
        <v>130000</v>
      </c>
      <c r="O438" s="567">
        <v>173615</v>
      </c>
      <c r="P438" s="567">
        <v>666615</v>
      </c>
      <c r="Q438" s="568">
        <f t="shared" si="9"/>
        <v>838975.63000000012</v>
      </c>
      <c r="R438" s="567">
        <f>R437*30.2%</f>
        <v>359239.14720000001</v>
      </c>
      <c r="S438" s="567">
        <f>S437*30.2%</f>
        <v>166100</v>
      </c>
      <c r="T438" s="567">
        <f>T437*30.2%</f>
        <v>162535.01079999999</v>
      </c>
      <c r="U438" s="567">
        <f>U437*30.2%</f>
        <v>151101.47200000001</v>
      </c>
      <c r="V438" s="567">
        <v>247432.5</v>
      </c>
      <c r="W438" s="566"/>
      <c r="X438" s="575"/>
      <c r="Y438" s="575"/>
      <c r="Z438" s="575"/>
      <c r="AA438" s="575"/>
      <c r="AB438" s="567"/>
      <c r="AC438" s="567"/>
      <c r="AD438" s="566"/>
      <c r="AE438" s="566"/>
      <c r="AF438" s="566"/>
      <c r="AG438" s="566">
        <v>459201.6</v>
      </c>
      <c r="AH438" s="566">
        <v>8362.7999999999993</v>
      </c>
      <c r="AI438" s="566"/>
      <c r="AJ438" s="569"/>
      <c r="AK438" s="570">
        <v>0.67631061407259074</v>
      </c>
      <c r="AL438" s="552" t="s">
        <v>195</v>
      </c>
      <c r="AM438" s="522"/>
      <c r="AN438" s="522"/>
    </row>
    <row r="439" spans="1:42" ht="12.75" customHeight="1" x14ac:dyDescent="0.25">
      <c r="A439" s="522"/>
      <c r="B439" s="560" t="s">
        <v>235</v>
      </c>
      <c r="C439" s="561" t="s">
        <v>235</v>
      </c>
      <c r="D439" s="560">
        <v>656700011</v>
      </c>
      <c r="E439" s="562">
        <v>401</v>
      </c>
      <c r="F439" s="563">
        <v>656</v>
      </c>
      <c r="G439" s="564">
        <v>7000099990</v>
      </c>
      <c r="H439" s="565">
        <v>111</v>
      </c>
      <c r="I439" s="565">
        <v>211</v>
      </c>
      <c r="J439" s="598"/>
      <c r="K439" s="566"/>
      <c r="L439" s="567">
        <v>647000</v>
      </c>
      <c r="M439" s="567">
        <v>550000</v>
      </c>
      <c r="N439" s="567">
        <v>408195.4</v>
      </c>
      <c r="O439" s="567">
        <v>580336</v>
      </c>
      <c r="P439" s="567">
        <v>2185531.4</v>
      </c>
      <c r="Q439" s="568">
        <f t="shared" si="9"/>
        <v>2778065</v>
      </c>
      <c r="R439" s="567">
        <f>668804.6+50000+150000+120729+200000</f>
        <v>1189533.6000000001</v>
      </c>
      <c r="S439" s="567">
        <f>550000+100000-100000</f>
        <v>550000</v>
      </c>
      <c r="T439" s="567">
        <f>408195.4+130000</f>
        <v>538195.4</v>
      </c>
      <c r="U439" s="567">
        <f>580336-50000+100000-130000</f>
        <v>500336</v>
      </c>
      <c r="V439" s="567">
        <v>530215.5</v>
      </c>
      <c r="W439" s="566"/>
      <c r="X439" s="575">
        <v>148000</v>
      </c>
      <c r="Y439" s="575" t="s">
        <v>553</v>
      </c>
      <c r="Z439" s="575">
        <f>913035-V439</f>
        <v>382819.5</v>
      </c>
      <c r="AA439" s="575"/>
      <c r="AB439" s="567"/>
      <c r="AC439" s="567"/>
      <c r="AD439" s="566"/>
      <c r="AE439" s="566"/>
      <c r="AF439" s="566"/>
      <c r="AG439" s="566">
        <v>1508967.67</v>
      </c>
      <c r="AH439" s="566">
        <v>20700</v>
      </c>
      <c r="AI439" s="566"/>
      <c r="AJ439" s="569"/>
      <c r="AK439" s="570">
        <v>0.68096375554247346</v>
      </c>
      <c r="AL439" s="552" t="s">
        <v>195</v>
      </c>
      <c r="AM439" s="522"/>
      <c r="AN439" s="522"/>
    </row>
    <row r="440" spans="1:42" ht="12.75" customHeight="1" x14ac:dyDescent="0.25">
      <c r="A440" s="522"/>
      <c r="B440" s="560" t="s">
        <v>235</v>
      </c>
      <c r="C440" s="561" t="s">
        <v>235</v>
      </c>
      <c r="D440" s="560">
        <v>656700011</v>
      </c>
      <c r="E440" s="562">
        <v>401</v>
      </c>
      <c r="F440" s="563">
        <v>656</v>
      </c>
      <c r="G440" s="564">
        <v>7000099990</v>
      </c>
      <c r="H440" s="565">
        <v>119</v>
      </c>
      <c r="I440" s="565">
        <v>213</v>
      </c>
      <c r="J440" s="598"/>
      <c r="K440" s="566"/>
      <c r="L440" s="567">
        <v>196000</v>
      </c>
      <c r="M440" s="567">
        <v>167000</v>
      </c>
      <c r="N440" s="567">
        <v>130000</v>
      </c>
      <c r="O440" s="567">
        <v>173615</v>
      </c>
      <c r="P440" s="567">
        <v>666615</v>
      </c>
      <c r="Q440" s="568">
        <f t="shared" si="9"/>
        <v>838975.63000000012</v>
      </c>
      <c r="R440" s="567">
        <f>R439*30.2%</f>
        <v>359239.14720000001</v>
      </c>
      <c r="S440" s="567">
        <f>S439*30.2%</f>
        <v>166100</v>
      </c>
      <c r="T440" s="567">
        <f>T439*30.2%</f>
        <v>162535.01079999999</v>
      </c>
      <c r="U440" s="567">
        <f>U439*30.2%</f>
        <v>151101.47200000001</v>
      </c>
      <c r="V440" s="567">
        <v>162252.43</v>
      </c>
      <c r="W440" s="566"/>
      <c r="X440" s="575">
        <v>45000</v>
      </c>
      <c r="Y440" s="575" t="s">
        <v>554</v>
      </c>
      <c r="Z440" s="575">
        <v>116000</v>
      </c>
      <c r="AA440" s="575"/>
      <c r="AB440" s="567"/>
      <c r="AC440" s="567"/>
      <c r="AD440" s="566"/>
      <c r="AE440" s="566"/>
      <c r="AF440" s="566"/>
      <c r="AG440" s="566">
        <v>459201.6</v>
      </c>
      <c r="AH440" s="566">
        <v>8362.7999999999993</v>
      </c>
      <c r="AI440" s="566"/>
      <c r="AJ440" s="569"/>
      <c r="AK440" s="570">
        <v>0.67631061407259074</v>
      </c>
      <c r="AL440" s="552" t="s">
        <v>195</v>
      </c>
      <c r="AM440" s="522"/>
      <c r="AN440" s="522"/>
    </row>
    <row r="441" spans="1:42" ht="12.75" customHeight="1" x14ac:dyDescent="0.25">
      <c r="A441" s="522"/>
      <c r="B441" s="560" t="s">
        <v>235</v>
      </c>
      <c r="C441" s="561" t="s">
        <v>235</v>
      </c>
      <c r="D441" s="560">
        <v>656700011</v>
      </c>
      <c r="E441" s="562">
        <v>401</v>
      </c>
      <c r="F441" s="563">
        <v>656</v>
      </c>
      <c r="G441" s="564">
        <v>7000099990</v>
      </c>
      <c r="H441" s="565">
        <v>121</v>
      </c>
      <c r="I441" s="565">
        <v>211</v>
      </c>
      <c r="J441" s="598"/>
      <c r="K441" s="566"/>
      <c r="L441" s="567">
        <v>647000</v>
      </c>
      <c r="M441" s="567">
        <v>550000</v>
      </c>
      <c r="N441" s="567">
        <v>408195.4</v>
      </c>
      <c r="O441" s="567">
        <v>580336</v>
      </c>
      <c r="P441" s="567">
        <v>2185531.4</v>
      </c>
      <c r="Q441" s="568">
        <f t="shared" si="9"/>
        <v>2778065</v>
      </c>
      <c r="R441" s="567">
        <f>668804.6+50000+150000+120729+200000</f>
        <v>1189533.6000000001</v>
      </c>
      <c r="S441" s="567">
        <f>550000+100000-100000</f>
        <v>550000</v>
      </c>
      <c r="T441" s="567">
        <f>408195.4+130000</f>
        <v>538195.4</v>
      </c>
      <c r="U441" s="567">
        <f>580336-50000+100000-130000</f>
        <v>500336</v>
      </c>
      <c r="V441" s="567"/>
      <c r="W441" s="566"/>
      <c r="X441" s="575"/>
      <c r="Y441" s="575"/>
      <c r="Z441" s="575">
        <v>200000</v>
      </c>
      <c r="AA441" s="575" t="s">
        <v>629</v>
      </c>
      <c r="AB441" s="567"/>
      <c r="AC441" s="567"/>
      <c r="AD441" s="566"/>
      <c r="AE441" s="566"/>
      <c r="AF441" s="566"/>
      <c r="AG441" s="566">
        <v>1508967.67</v>
      </c>
      <c r="AH441" s="566">
        <v>20700</v>
      </c>
      <c r="AI441" s="566"/>
      <c r="AJ441" s="569"/>
      <c r="AK441" s="570">
        <v>0.68096375554247346</v>
      </c>
      <c r="AL441" s="552" t="s">
        <v>195</v>
      </c>
      <c r="AM441" s="522"/>
      <c r="AN441" s="522"/>
    </row>
    <row r="442" spans="1:42" ht="21" customHeight="1" x14ac:dyDescent="0.25">
      <c r="A442" s="522"/>
      <c r="B442" s="560" t="s">
        <v>235</v>
      </c>
      <c r="C442" s="561" t="s">
        <v>235</v>
      </c>
      <c r="D442" s="560">
        <v>656700011</v>
      </c>
      <c r="E442" s="562">
        <v>401</v>
      </c>
      <c r="F442" s="563">
        <v>656</v>
      </c>
      <c r="G442" s="564">
        <v>7000099990</v>
      </c>
      <c r="H442" s="565">
        <v>129</v>
      </c>
      <c r="I442" s="565">
        <v>213</v>
      </c>
      <c r="J442" s="598"/>
      <c r="K442" s="566"/>
      <c r="L442" s="567">
        <v>196000</v>
      </c>
      <c r="M442" s="567">
        <v>167000</v>
      </c>
      <c r="N442" s="567">
        <v>130000</v>
      </c>
      <c r="O442" s="567">
        <v>173615</v>
      </c>
      <c r="P442" s="567">
        <v>666615</v>
      </c>
      <c r="Q442" s="568">
        <f t="shared" si="9"/>
        <v>838975.63000000012</v>
      </c>
      <c r="R442" s="567">
        <f>R441*30.2%</f>
        <v>359239.14720000001</v>
      </c>
      <c r="S442" s="567">
        <f>S441*30.2%</f>
        <v>166100</v>
      </c>
      <c r="T442" s="567">
        <f>T441*30.2%</f>
        <v>162535.01079999999</v>
      </c>
      <c r="U442" s="567">
        <f>U441*30.2%</f>
        <v>151101.47200000001</v>
      </c>
      <c r="V442" s="567"/>
      <c r="W442" s="566"/>
      <c r="X442" s="575"/>
      <c r="Y442" s="575"/>
      <c r="Z442" s="575"/>
      <c r="AA442" s="575"/>
      <c r="AB442" s="567"/>
      <c r="AC442" s="567"/>
      <c r="AD442" s="566"/>
      <c r="AE442" s="566"/>
      <c r="AF442" s="566"/>
      <c r="AG442" s="566">
        <v>459201.6</v>
      </c>
      <c r="AH442" s="566">
        <v>8362.7999999999993</v>
      </c>
      <c r="AI442" s="566"/>
      <c r="AJ442" s="569"/>
      <c r="AK442" s="570">
        <v>0.67631061407259074</v>
      </c>
      <c r="AL442" s="552" t="s">
        <v>195</v>
      </c>
      <c r="AM442" s="522"/>
      <c r="AN442" s="522"/>
    </row>
    <row r="443" spans="1:42" ht="12.75" customHeight="1" x14ac:dyDescent="0.25">
      <c r="A443" s="522"/>
      <c r="B443" s="559" t="s">
        <v>212</v>
      </c>
      <c r="C443" s="559"/>
      <c r="D443" s="559"/>
      <c r="E443" s="559"/>
      <c r="F443" s="559"/>
      <c r="G443" s="559"/>
      <c r="H443" s="559"/>
      <c r="I443" s="559"/>
      <c r="J443" s="559"/>
      <c r="K443" s="559"/>
      <c r="L443" s="556">
        <v>843000</v>
      </c>
      <c r="M443" s="556">
        <v>717000</v>
      </c>
      <c r="N443" s="556">
        <v>538195.4</v>
      </c>
      <c r="O443" s="556">
        <v>753951</v>
      </c>
      <c r="P443" s="556">
        <v>2852146.4</v>
      </c>
      <c r="Q443" s="571">
        <f t="shared" si="9"/>
        <v>3617040.63</v>
      </c>
      <c r="R443" s="556">
        <f>R439+R440</f>
        <v>1548772.7472000001</v>
      </c>
      <c r="S443" s="556">
        <f>S439+S440</f>
        <v>716100</v>
      </c>
      <c r="T443" s="556">
        <f>T439+T440</f>
        <v>700730.41079999995</v>
      </c>
      <c r="U443" s="556">
        <f>U439+U440</f>
        <v>651437.47200000007</v>
      </c>
      <c r="V443" s="556">
        <f>SUM(V437:V442)</f>
        <v>1605502.93</v>
      </c>
      <c r="W443" s="590">
        <f>V443+X443</f>
        <v>1798502.93</v>
      </c>
      <c r="X443" s="592">
        <f>X439+X440</f>
        <v>193000</v>
      </c>
      <c r="Y443" s="592"/>
      <c r="Z443" s="592">
        <f>Z439+Z440+Z441</f>
        <v>698819.5</v>
      </c>
      <c r="AA443" s="592"/>
      <c r="AB443" s="556">
        <f>AB439+AB440</f>
        <v>0</v>
      </c>
      <c r="AC443" s="556">
        <f>AC439+AC440</f>
        <v>0</v>
      </c>
      <c r="AD443" s="573"/>
      <c r="AE443" s="573"/>
      <c r="AF443" s="573"/>
      <c r="AG443" s="566">
        <v>1968169.27</v>
      </c>
      <c r="AH443" s="566">
        <v>29062.799999999999</v>
      </c>
      <c r="AI443" s="573"/>
      <c r="AJ443" s="573"/>
      <c r="AK443" s="570">
        <v>0.67987620481192679</v>
      </c>
      <c r="AL443" s="552" t="s">
        <v>195</v>
      </c>
      <c r="AM443" s="522"/>
    </row>
    <row r="444" spans="1:42" ht="12.75" customHeight="1" x14ac:dyDescent="0.25">
      <c r="A444" s="522"/>
      <c r="B444" s="642" t="s">
        <v>345</v>
      </c>
      <c r="C444" s="642"/>
      <c r="D444" s="642"/>
      <c r="E444" s="642"/>
      <c r="F444" s="642"/>
      <c r="G444" s="642"/>
      <c r="H444" s="642"/>
      <c r="I444" s="642"/>
      <c r="J444" s="642"/>
      <c r="K444" s="642"/>
      <c r="L444" s="583">
        <v>41202317.180000007</v>
      </c>
      <c r="M444" s="583">
        <v>41023725.789999992</v>
      </c>
      <c r="N444" s="583">
        <v>44575761.359999992</v>
      </c>
      <c r="O444" s="583">
        <v>46955058.299999997</v>
      </c>
      <c r="P444" s="583">
        <v>173756862.62999997</v>
      </c>
      <c r="Q444" s="568"/>
      <c r="R444" s="582"/>
      <c r="S444" s="566"/>
      <c r="T444" s="582"/>
      <c r="U444" s="566"/>
      <c r="V444" s="585"/>
      <c r="W444" s="582"/>
      <c r="X444" s="599"/>
      <c r="Y444" s="599"/>
      <c r="Z444" s="599"/>
      <c r="AA444" s="599"/>
      <c r="AB444" s="582"/>
      <c r="AC444" s="643"/>
      <c r="AD444" s="644"/>
      <c r="AE444" s="644"/>
      <c r="AF444" s="644"/>
      <c r="AG444" s="566">
        <v>56847113.159999996</v>
      </c>
      <c r="AH444" s="566">
        <v>5731524.9699999997</v>
      </c>
      <c r="AI444" s="644"/>
      <c r="AJ444" s="644"/>
      <c r="AK444" s="570">
        <v>0.29413709442274361</v>
      </c>
      <c r="AL444" s="552" t="s">
        <v>195</v>
      </c>
      <c r="AM444" s="522"/>
      <c r="AN444" s="522"/>
      <c r="AO444" s="511"/>
      <c r="AP444" s="511"/>
    </row>
    <row r="445" spans="1:42" ht="12.75" customHeight="1" x14ac:dyDescent="0.25">
      <c r="A445" s="522"/>
      <c r="B445" s="552"/>
      <c r="C445" s="552"/>
      <c r="D445" s="587" t="s">
        <v>44</v>
      </c>
      <c r="E445" s="585"/>
      <c r="F445" s="585"/>
      <c r="G445" s="585"/>
      <c r="H445" s="585"/>
      <c r="I445" s="585"/>
      <c r="J445" s="535" t="s">
        <v>195</v>
      </c>
      <c r="K445" s="585"/>
      <c r="L445" s="585">
        <v>41202317.180000007</v>
      </c>
      <c r="M445" s="585">
        <v>41023725.789999992</v>
      </c>
      <c r="N445" s="585">
        <v>44575761.359999992</v>
      </c>
      <c r="O445" s="585">
        <v>46955058.299999997</v>
      </c>
      <c r="P445" s="585">
        <v>173756862.62999997</v>
      </c>
      <c r="Q445" s="571">
        <f>R445+S445+T445+U445</f>
        <v>40533688.269999996</v>
      </c>
      <c r="R445" s="585">
        <f>R24+R32+R41+R49+R54+R63+R70+R76+R84+R137+R150+R160+R165+R178+R192+R220+R223+R228+R240+R252+R259+R272+R281+R305+R333+R353+R356+R360+R393+R406+R414+R424+R435</f>
        <v>21915073.819200002</v>
      </c>
      <c r="S445" s="585">
        <f>S24+S32+S41+S49+S54+S63+S70+S76+S84+S137+S150+S160+S165+S178+S192+S220+S223+S228+S240+S252+S259+S272+S281+S305+S333+S353+S356+S360+S393+S406+S414+S424+S435</f>
        <v>6436613.9960000003</v>
      </c>
      <c r="T445" s="585">
        <f>T24+T32+T41+T49+T54+T63+T70+T76+T84+T137+T150+T160+T165+T178+T192+T220+T223+T228+T240+T252+T259+T272+T281+T305+T333+T353+T356+T360+T393+T406+T414+T424+T435</f>
        <v>6280419.9967999998</v>
      </c>
      <c r="U445" s="585">
        <f>U24+U32+U41+U49+U54+U63+U70+U76+U84+U137+U150+U160+U165+U178+U192+U220+U223+U228+U240+U252+U259+U272+U281+U305+U333+U353+U356+U360+U393+U406+U414+U424+U435</f>
        <v>5901580.4579999996</v>
      </c>
      <c r="V445" s="585">
        <f>V24+V28+V32+V41+V49+V54+V137+V150+V160+V165+V178+V192+V220+V223+V228+V240+V252+V259+V272+V281+V305+V333+V393+V406+V414+V424+V435+V328+V430+V316+V443+V63+V342+V255+V247+V141+V66+V321</f>
        <v>58824464.370000012</v>
      </c>
      <c r="W445" s="645">
        <f>V445+X446</f>
        <v>60644464.370000012</v>
      </c>
      <c r="X445" s="585">
        <f>X24+X32+X41+X49+X54+X137+X150+X160+X165+X178+X192+X220+X223+X228+X240+X252+X259+X272+X281+X305+X333+X393+X406+X414+X424+X435+X328+X430+X316+X443+X63+X342+X255+X247+X321+X66+X28</f>
        <v>1820000</v>
      </c>
      <c r="Y445" s="599"/>
      <c r="Z445" s="585">
        <f>Z24+Z28+Z32+Z41+Z49+Z54+Z137+Z150+Z160+Z165+Z178+Z192+Z220+Z223+Z228+Z240+Z252+Z259+Z272+Z281+Z305+Z333+Z393+Z406+Z414+Z424+Z435+Z328+Z430+Z316+Z443+Z63+Z342+Z255+Z247+Z141+Z66+Z321</f>
        <v>4512849.0920000002</v>
      </c>
      <c r="AA445" s="599"/>
      <c r="AB445" s="585">
        <f>AB24+AB32+AB41+AB49+AB54+AB137+AB150+AB160+AB165+AB178+AB192+AB220+AB223+AB228+AB240+AB252+AB259+AB272+AB281+AB305+AB333+AB393+AB406+AB414+AB424+AB435+AB328+AB430+AB316+AB443+AB63+AB342+AB255+AB247+AB141</f>
        <v>28097254.5</v>
      </c>
      <c r="AC445" s="585">
        <f>AC401+AC24+AC32+AC41+AC49+AC54+AC137+AC150+AC160+AC165+AC178+AC192+AC220+AC223+AC228+AC240+AC252+AC259+AC272+AC281+AC305+AC333+AC393+AC406+AC414+AC424+AC435+AC328+AC430+AC316+AC443+AC63+AC342+AC255+AC247+AC141</f>
        <v>28644374.5</v>
      </c>
      <c r="AD445" s="646"/>
      <c r="AE445" s="646"/>
      <c r="AF445" s="646"/>
      <c r="AG445" s="646">
        <v>56847113.159999996</v>
      </c>
      <c r="AH445" s="646">
        <v>5731524.9699999997</v>
      </c>
      <c r="AI445" s="646"/>
      <c r="AJ445" s="646"/>
      <c r="AK445" s="586">
        <v>0.29413709442274361</v>
      </c>
      <c r="AL445" s="552" t="s">
        <v>195</v>
      </c>
      <c r="AM445" s="522"/>
      <c r="AN445" s="522"/>
      <c r="AO445" s="511"/>
      <c r="AP445" s="511"/>
    </row>
    <row r="446" spans="1:42" ht="12.75" customHeight="1" x14ac:dyDescent="0.25">
      <c r="A446" s="522"/>
      <c r="B446" s="522"/>
      <c r="C446" s="522"/>
      <c r="D446" s="522"/>
      <c r="E446" s="646"/>
      <c r="F446" s="646"/>
      <c r="G446" s="646"/>
      <c r="H446" s="646"/>
      <c r="I446" s="646"/>
      <c r="J446" s="523"/>
      <c r="K446" s="646"/>
      <c r="L446" s="646"/>
      <c r="M446" s="646"/>
      <c r="N446" s="646"/>
      <c r="O446" s="646"/>
      <c r="P446" s="646"/>
      <c r="Q446" s="571"/>
      <c r="R446" s="575">
        <v>23547433</v>
      </c>
      <c r="S446" s="575">
        <v>6416614</v>
      </c>
      <c r="T446" s="575">
        <v>6310420</v>
      </c>
      <c r="U446" s="575">
        <v>6332336</v>
      </c>
      <c r="V446" s="575">
        <v>58824464.369999997</v>
      </c>
      <c r="W446" s="646"/>
      <c r="X446" s="528">
        <f>W458</f>
        <v>1820000</v>
      </c>
      <c r="Y446" s="528"/>
      <c r="Z446" s="528"/>
      <c r="AA446" s="528"/>
      <c r="AB446" s="524">
        <v>26196640</v>
      </c>
      <c r="AC446" s="524">
        <v>26743760</v>
      </c>
      <c r="AD446" s="646"/>
      <c r="AE446" s="646"/>
      <c r="AF446" s="646"/>
      <c r="AG446" s="646"/>
      <c r="AH446" s="646"/>
      <c r="AI446" s="647"/>
      <c r="AJ446" s="522"/>
      <c r="AK446" s="522"/>
      <c r="AL446" s="522"/>
      <c r="AM446" s="522"/>
      <c r="AN446" s="522"/>
      <c r="AO446" s="511"/>
      <c r="AP446" s="511"/>
    </row>
    <row r="447" spans="1:42" ht="26.25" customHeight="1" x14ac:dyDescent="0.25">
      <c r="A447" s="522"/>
      <c r="B447" s="522"/>
      <c r="C447" s="522"/>
      <c r="D447" s="522"/>
      <c r="E447" s="522"/>
      <c r="F447" s="522"/>
      <c r="G447" s="522"/>
      <c r="H447" s="522"/>
      <c r="I447" s="522"/>
      <c r="J447" s="523"/>
      <c r="K447" s="522"/>
      <c r="L447" s="522"/>
      <c r="M447" s="522"/>
      <c r="N447" s="522"/>
      <c r="O447" s="522"/>
      <c r="P447" s="522"/>
      <c r="Q447" s="524"/>
      <c r="R447" s="648">
        <f>R445-R446</f>
        <v>-1632359.1807999983</v>
      </c>
      <c r="S447" s="648">
        <f>S445-S446</f>
        <v>19999.996000000276</v>
      </c>
      <c r="T447" s="648">
        <f>T445-T446</f>
        <v>-30000.003200000152</v>
      </c>
      <c r="U447" s="648">
        <f>U445-U446</f>
        <v>-430755.54200000037</v>
      </c>
      <c r="V447" s="524">
        <f>V446-V445</f>
        <v>0</v>
      </c>
      <c r="W447" s="649">
        <f>V445+X446</f>
        <v>60644464.370000012</v>
      </c>
      <c r="X447" s="524">
        <f>X445-X446</f>
        <v>0</v>
      </c>
      <c r="Y447" s="524"/>
      <c r="Z447" s="524"/>
      <c r="AA447" s="524"/>
      <c r="AB447" s="524">
        <f>AO452-AB445</f>
        <v>-28097254.5</v>
      </c>
      <c r="AC447" s="524">
        <f>AP452-AC445</f>
        <v>-28644374.5</v>
      </c>
      <c r="AD447" s="522"/>
      <c r="AE447" s="522"/>
      <c r="AF447" s="522"/>
      <c r="AG447" s="522"/>
      <c r="AH447" s="522"/>
      <c r="AI447" s="522"/>
      <c r="AJ447" s="522"/>
      <c r="AK447" s="522"/>
      <c r="AL447" s="522"/>
      <c r="AM447" s="522"/>
      <c r="AN447" s="522"/>
      <c r="AO447" s="511"/>
      <c r="AP447" s="511"/>
    </row>
    <row r="448" spans="1:42" ht="12.75" customHeight="1" x14ac:dyDescent="0.25">
      <c r="A448" s="525"/>
      <c r="B448" s="650"/>
      <c r="C448" s="650"/>
      <c r="D448" s="650"/>
      <c r="E448" s="650"/>
      <c r="F448" s="650"/>
      <c r="G448" s="651"/>
      <c r="H448" s="651"/>
      <c r="I448" s="651"/>
      <c r="J448" s="651"/>
      <c r="K448" s="651"/>
      <c r="L448" s="651"/>
      <c r="M448" s="651"/>
      <c r="N448" s="651"/>
      <c r="O448" s="651"/>
      <c r="P448" s="651"/>
      <c r="Q448" s="651"/>
      <c r="R448" s="651"/>
      <c r="S448" s="651"/>
      <c r="T448" s="651"/>
      <c r="U448" s="651"/>
      <c r="V448" s="651"/>
      <c r="W448" s="651"/>
      <c r="X448" s="651"/>
      <c r="Y448" s="651"/>
      <c r="Z448" s="651"/>
      <c r="AA448" s="651"/>
      <c r="AB448" s="651"/>
      <c r="AC448" s="524"/>
      <c r="AD448" s="522"/>
      <c r="AE448" s="522"/>
      <c r="AF448" s="522"/>
      <c r="AG448" s="522"/>
      <c r="AH448" s="522"/>
      <c r="AI448" s="522"/>
      <c r="AJ448" s="522"/>
      <c r="AK448" s="522"/>
      <c r="AL448" s="522"/>
      <c r="AM448" s="522"/>
      <c r="AN448" s="522"/>
      <c r="AO448" s="511"/>
      <c r="AP448" s="511"/>
    </row>
    <row r="449" spans="1:42" ht="12.75" customHeight="1" x14ac:dyDescent="0.25">
      <c r="A449" s="525"/>
      <c r="B449" s="650"/>
      <c r="C449" s="650"/>
      <c r="D449" s="650"/>
      <c r="E449" s="652" t="e">
        <f>V22+V30+#REF!+V148+V349+V404+V418</f>
        <v>#REF!</v>
      </c>
      <c r="F449" s="650"/>
      <c r="G449" s="650"/>
      <c r="H449" s="650"/>
      <c r="I449" s="650"/>
      <c r="J449" s="523"/>
      <c r="K449" s="522"/>
      <c r="L449" s="522"/>
      <c r="M449" s="522"/>
      <c r="N449" s="522"/>
      <c r="O449" s="522"/>
      <c r="P449" s="522"/>
      <c r="Q449" s="524"/>
      <c r="R449" s="653"/>
      <c r="S449" s="522"/>
      <c r="T449" s="522"/>
      <c r="U449" s="522"/>
      <c r="V449" s="524"/>
      <c r="W449" s="524"/>
      <c r="X449" s="524"/>
      <c r="Y449" s="524"/>
      <c r="Z449" s="524"/>
      <c r="AA449" s="524"/>
      <c r="AB449" s="524"/>
      <c r="AC449" s="524"/>
      <c r="AD449" s="522"/>
      <c r="AE449" s="522"/>
      <c r="AF449" s="522"/>
      <c r="AG449" s="522"/>
      <c r="AH449" s="522"/>
      <c r="AI449" s="522"/>
      <c r="AJ449" s="522"/>
      <c r="AK449" s="522"/>
      <c r="AL449" s="522"/>
      <c r="AM449" s="522"/>
      <c r="AN449" s="522"/>
      <c r="AO449" s="511"/>
      <c r="AP449" s="511"/>
    </row>
    <row r="450" spans="1:42" ht="12.75" customHeight="1" x14ac:dyDescent="0.25">
      <c r="A450" s="525"/>
      <c r="B450" s="650"/>
      <c r="C450" s="650"/>
      <c r="D450" s="650"/>
      <c r="E450" s="652"/>
      <c r="F450" s="650"/>
      <c r="G450" s="650"/>
      <c r="H450" s="650"/>
      <c r="I450" s="650"/>
      <c r="J450" s="523"/>
      <c r="K450" s="522"/>
      <c r="L450" s="522"/>
      <c r="M450" s="522"/>
      <c r="N450" s="522"/>
      <c r="O450" s="522"/>
      <c r="P450" s="522"/>
      <c r="Q450" s="524"/>
      <c r="R450" s="653"/>
      <c r="S450" s="522"/>
      <c r="T450" s="522"/>
      <c r="U450" s="522"/>
      <c r="V450" s="524"/>
      <c r="W450" s="522"/>
      <c r="X450" s="524"/>
      <c r="Y450" s="524"/>
      <c r="Z450" s="524"/>
      <c r="AA450" s="524"/>
      <c r="AB450" s="524"/>
      <c r="AC450" s="524"/>
      <c r="AD450" s="522"/>
      <c r="AE450" s="522"/>
      <c r="AF450" s="522"/>
      <c r="AG450" s="522"/>
      <c r="AH450" s="522"/>
      <c r="AI450" s="522"/>
      <c r="AJ450" s="522"/>
      <c r="AK450" s="522"/>
      <c r="AL450" s="522"/>
      <c r="AM450" s="522"/>
      <c r="AN450" s="522"/>
      <c r="AO450" s="521"/>
      <c r="AP450" s="521"/>
    </row>
    <row r="451" spans="1:42" ht="12.75" customHeight="1" x14ac:dyDescent="0.25">
      <c r="A451" s="525"/>
      <c r="B451" s="650"/>
      <c r="C451" s="650"/>
      <c r="D451" s="650"/>
      <c r="E451" s="652">
        <f>V23+V31+V72+V149+V405+V419+V352</f>
        <v>5366450.8600000003</v>
      </c>
      <c r="F451" s="650"/>
      <c r="G451" s="650"/>
      <c r="H451" s="650"/>
      <c r="I451" s="650"/>
      <c r="J451" s="523"/>
      <c r="K451" s="522"/>
      <c r="L451" s="522"/>
      <c r="M451" s="522"/>
      <c r="N451" s="522"/>
      <c r="O451" s="522"/>
      <c r="P451" s="522"/>
      <c r="Q451" s="524"/>
      <c r="R451" s="653"/>
      <c r="S451" s="522"/>
      <c r="T451" s="522"/>
      <c r="U451" s="522"/>
      <c r="V451" s="524"/>
      <c r="W451" s="524">
        <v>60644464.369999997</v>
      </c>
      <c r="X451" s="524"/>
      <c r="Y451" s="524"/>
      <c r="Z451" s="524"/>
      <c r="AA451" s="524"/>
      <c r="AB451" s="524"/>
      <c r="AC451" s="524"/>
      <c r="AD451" s="522"/>
      <c r="AE451" s="522"/>
      <c r="AF451" s="522"/>
      <c r="AG451" s="522"/>
      <c r="AH451" s="522"/>
      <c r="AI451" s="522"/>
      <c r="AJ451" s="522"/>
      <c r="AK451" s="522"/>
      <c r="AL451" s="522"/>
      <c r="AM451" s="522"/>
      <c r="AN451" s="522"/>
      <c r="AO451" s="521"/>
      <c r="AP451" s="521"/>
    </row>
    <row r="452" spans="1:42" ht="12.75" customHeight="1" x14ac:dyDescent="0.25">
      <c r="A452" s="525"/>
      <c r="B452" s="650"/>
      <c r="C452" s="650"/>
      <c r="D452" s="650"/>
      <c r="E452" s="652">
        <f>V34+V60+V69+V86+V355</f>
        <v>327840.81</v>
      </c>
      <c r="F452" s="650"/>
      <c r="G452" s="650"/>
      <c r="H452" s="650"/>
      <c r="I452" s="650"/>
      <c r="J452" s="523"/>
      <c r="K452" s="522"/>
      <c r="L452" s="522"/>
      <c r="M452" s="522"/>
      <c r="N452" s="522"/>
      <c r="O452" s="522"/>
      <c r="P452" s="522"/>
      <c r="Q452" s="524"/>
      <c r="R452" s="653"/>
      <c r="S452" s="522"/>
      <c r="T452" s="522"/>
      <c r="U452" s="522"/>
      <c r="V452" s="524"/>
      <c r="W452" s="524"/>
      <c r="X452" s="524"/>
      <c r="Y452" s="524"/>
      <c r="Z452" s="524"/>
      <c r="AA452" s="524"/>
      <c r="AB452" s="524"/>
      <c r="AC452" s="524"/>
      <c r="AD452" s="522"/>
      <c r="AE452" s="522"/>
      <c r="AF452" s="522"/>
      <c r="AG452" s="522"/>
      <c r="AH452" s="522"/>
      <c r="AI452" s="522"/>
      <c r="AJ452" s="522"/>
      <c r="AK452" s="522"/>
      <c r="AL452" s="522"/>
      <c r="AM452" s="522"/>
      <c r="AN452" s="522"/>
      <c r="AO452" s="521"/>
      <c r="AP452" s="521"/>
    </row>
    <row r="453" spans="1:42" ht="12.75" customHeight="1" x14ac:dyDescent="0.25">
      <c r="A453" s="525"/>
      <c r="B453" s="650"/>
      <c r="C453" s="650"/>
      <c r="D453" s="650"/>
      <c r="E453" s="652">
        <f>V84+V360</f>
        <v>240700</v>
      </c>
      <c r="F453" s="650"/>
      <c r="G453" s="650"/>
      <c r="H453" s="650"/>
      <c r="I453" s="650"/>
      <c r="J453" s="523"/>
      <c r="K453" s="522"/>
      <c r="L453" s="522"/>
      <c r="M453" s="522"/>
      <c r="N453" s="522"/>
      <c r="O453" s="522"/>
      <c r="P453" s="522"/>
      <c r="Q453" s="524"/>
      <c r="R453" s="653"/>
      <c r="S453" s="522"/>
      <c r="T453" s="522"/>
      <c r="U453" s="522"/>
      <c r="V453" s="524"/>
      <c r="W453" s="524"/>
      <c r="X453" s="524"/>
      <c r="Y453" s="524"/>
      <c r="Z453" s="524"/>
      <c r="AA453" s="524"/>
      <c r="AB453" s="524"/>
      <c r="AC453" s="524"/>
      <c r="AD453" s="522"/>
      <c r="AE453" s="522"/>
      <c r="AF453" s="522"/>
      <c r="AG453" s="522"/>
      <c r="AH453" s="522"/>
      <c r="AI453" s="522"/>
      <c r="AJ453" s="522"/>
      <c r="AK453" s="522"/>
      <c r="AL453" s="522"/>
      <c r="AM453" s="522"/>
      <c r="AN453" s="522"/>
      <c r="AO453" s="511"/>
      <c r="AP453" s="511"/>
    </row>
    <row r="454" spans="1:42" ht="12.75" customHeight="1" x14ac:dyDescent="0.25">
      <c r="A454" s="525"/>
      <c r="B454" s="650"/>
      <c r="C454" s="650"/>
      <c r="D454" s="650"/>
      <c r="E454" s="652"/>
      <c r="F454" s="650"/>
      <c r="G454" s="650"/>
      <c r="H454" s="650"/>
      <c r="I454" s="650"/>
      <c r="J454" s="523"/>
      <c r="K454" s="522"/>
      <c r="L454" s="522"/>
      <c r="M454" s="522"/>
      <c r="N454" s="522"/>
      <c r="O454" s="522"/>
      <c r="P454" s="522"/>
      <c r="Q454" s="524"/>
      <c r="R454" s="653"/>
      <c r="S454" s="522"/>
      <c r="T454" s="522"/>
      <c r="U454" s="522"/>
      <c r="V454" s="524" t="s">
        <v>636</v>
      </c>
      <c r="W454" s="524">
        <v>500000</v>
      </c>
      <c r="X454" s="524"/>
      <c r="Y454" s="524"/>
      <c r="Z454" s="524"/>
      <c r="AA454" s="524"/>
      <c r="AB454" s="524"/>
      <c r="AC454" s="524"/>
      <c r="AD454" s="522"/>
      <c r="AE454" s="522"/>
      <c r="AF454" s="522"/>
      <c r="AG454" s="522"/>
      <c r="AH454" s="522"/>
      <c r="AI454" s="522"/>
      <c r="AJ454" s="522"/>
      <c r="AK454" s="522"/>
      <c r="AL454" s="522"/>
      <c r="AM454" s="522"/>
      <c r="AN454" s="522"/>
    </row>
    <row r="455" spans="1:42" ht="13.5" customHeight="1" x14ac:dyDescent="0.25">
      <c r="A455" s="525"/>
      <c r="B455" s="650"/>
      <c r="C455" s="650"/>
      <c r="D455" s="650"/>
      <c r="E455" s="652">
        <f>V92+V300+V367</f>
        <v>840205.57</v>
      </c>
      <c r="F455" s="650"/>
      <c r="G455" s="650"/>
      <c r="H455" s="650"/>
      <c r="I455" s="650"/>
      <c r="J455" s="523"/>
      <c r="K455" s="522"/>
      <c r="L455" s="522"/>
      <c r="M455" s="522"/>
      <c r="N455" s="522"/>
      <c r="O455" s="522"/>
      <c r="P455" s="522"/>
      <c r="Q455" s="524"/>
      <c r="R455" s="653"/>
      <c r="S455" s="522"/>
      <c r="T455" s="522"/>
      <c r="U455" s="522"/>
      <c r="V455" s="654" t="s">
        <v>606</v>
      </c>
      <c r="W455" s="524">
        <v>1320000</v>
      </c>
      <c r="X455" s="654"/>
      <c r="Y455" s="524"/>
      <c r="Z455" s="524"/>
      <c r="AA455" s="524"/>
      <c r="AB455" s="524"/>
      <c r="AC455" s="524"/>
      <c r="AD455" s="522"/>
      <c r="AE455" s="522"/>
      <c r="AF455" s="522"/>
      <c r="AG455" s="522"/>
      <c r="AH455" s="522"/>
      <c r="AI455" s="522"/>
      <c r="AJ455" s="522"/>
      <c r="AK455" s="522"/>
      <c r="AL455" s="522"/>
      <c r="AM455" s="522"/>
      <c r="AN455" s="522"/>
    </row>
    <row r="456" spans="1:42" ht="13.5" customHeight="1" x14ac:dyDescent="0.25">
      <c r="A456" s="525"/>
      <c r="B456" s="650"/>
      <c r="C456" s="650"/>
      <c r="D456" s="650"/>
      <c r="E456" s="652"/>
      <c r="F456" s="650"/>
      <c r="G456" s="650"/>
      <c r="H456" s="650"/>
      <c r="I456" s="650"/>
      <c r="J456" s="523"/>
      <c r="K456" s="522"/>
      <c r="L456" s="522"/>
      <c r="M456" s="522"/>
      <c r="N456" s="522"/>
      <c r="O456" s="522"/>
      <c r="P456" s="522"/>
      <c r="Q456" s="524"/>
      <c r="R456" s="653"/>
      <c r="S456" s="522"/>
      <c r="T456" s="522"/>
      <c r="U456" s="522"/>
      <c r="V456" s="655"/>
      <c r="W456" s="656"/>
      <c r="X456" s="655"/>
      <c r="Y456" s="656"/>
      <c r="Z456" s="524"/>
      <c r="AA456" s="524"/>
      <c r="AB456" s="524"/>
      <c r="AC456" s="524"/>
      <c r="AD456" s="522"/>
      <c r="AE456" s="522"/>
      <c r="AF456" s="522"/>
      <c r="AG456" s="522"/>
      <c r="AH456" s="522"/>
      <c r="AI456" s="522"/>
      <c r="AJ456" s="522"/>
      <c r="AK456" s="522"/>
      <c r="AL456" s="522"/>
      <c r="AM456" s="522"/>
      <c r="AN456" s="522"/>
    </row>
    <row r="457" spans="1:42" ht="12.75" customHeight="1" x14ac:dyDescent="0.25">
      <c r="A457" s="525"/>
      <c r="B457" s="650"/>
      <c r="C457" s="650"/>
      <c r="D457" s="650"/>
      <c r="E457" s="652"/>
      <c r="F457" s="650"/>
      <c r="G457" s="650"/>
      <c r="H457" s="650"/>
      <c r="I457" s="650"/>
      <c r="J457" s="523"/>
      <c r="K457" s="522"/>
      <c r="L457" s="522"/>
      <c r="M457" s="522"/>
      <c r="N457" s="522"/>
      <c r="O457" s="522"/>
      <c r="P457" s="522"/>
      <c r="Q457" s="524"/>
      <c r="R457" s="653"/>
      <c r="S457" s="522"/>
      <c r="T457" s="522"/>
      <c r="U457" s="522"/>
      <c r="V457" s="655"/>
      <c r="W457" s="656"/>
      <c r="X457" s="655"/>
      <c r="Y457" s="656"/>
      <c r="Z457" s="524"/>
      <c r="AA457" s="524"/>
      <c r="AB457" s="524"/>
      <c r="AC457" s="524"/>
      <c r="AD457" s="522"/>
      <c r="AE457" s="522"/>
      <c r="AF457" s="522"/>
      <c r="AG457" s="522"/>
      <c r="AH457" s="522"/>
      <c r="AI457" s="522"/>
      <c r="AJ457" s="522"/>
      <c r="AK457" s="522"/>
      <c r="AL457" s="522"/>
      <c r="AM457" s="522"/>
      <c r="AN457" s="522"/>
    </row>
    <row r="458" spans="1:42" ht="12.75" customHeight="1" x14ac:dyDescent="0.25">
      <c r="A458" s="525"/>
      <c r="B458" s="650"/>
      <c r="C458" s="650"/>
      <c r="D458" s="650"/>
      <c r="E458" s="652"/>
      <c r="F458" s="650"/>
      <c r="G458" s="650"/>
      <c r="H458" s="650"/>
      <c r="I458" s="650"/>
      <c r="J458" s="523"/>
      <c r="K458" s="522"/>
      <c r="L458" s="522"/>
      <c r="M458" s="522"/>
      <c r="N458" s="522"/>
      <c r="O458" s="522"/>
      <c r="P458" s="522"/>
      <c r="Q458" s="524"/>
      <c r="R458" s="653"/>
      <c r="S458" s="522"/>
      <c r="T458" s="522"/>
      <c r="U458" s="522"/>
      <c r="V458" s="655" t="s">
        <v>589</v>
      </c>
      <c r="W458" s="656">
        <f>W455+W454</f>
        <v>1820000</v>
      </c>
      <c r="X458" s="655"/>
      <c r="Y458" s="656"/>
      <c r="Z458" s="524"/>
      <c r="AA458" s="524"/>
      <c r="AB458" s="524"/>
      <c r="AC458" s="524"/>
      <c r="AD458" s="522"/>
      <c r="AE458" s="522"/>
      <c r="AF458" s="522"/>
      <c r="AG458" s="522"/>
      <c r="AH458" s="522"/>
      <c r="AI458" s="522"/>
      <c r="AJ458" s="522"/>
      <c r="AK458" s="522"/>
      <c r="AL458" s="522"/>
      <c r="AM458" s="522"/>
      <c r="AN458" s="522"/>
    </row>
    <row r="459" spans="1:42" ht="12.75" customHeight="1" x14ac:dyDescent="0.25">
      <c r="A459" s="525"/>
      <c r="B459" s="650"/>
      <c r="C459" s="650"/>
      <c r="D459" s="650"/>
      <c r="E459" s="652">
        <f>V104+V168+V238+V239+V302+V330+V341+V377</f>
        <v>5295225.2</v>
      </c>
      <c r="F459" s="650"/>
      <c r="G459" s="650"/>
      <c r="H459" s="650"/>
      <c r="I459" s="650"/>
      <c r="J459" s="523"/>
      <c r="K459" s="522"/>
      <c r="L459" s="522"/>
      <c r="M459" s="522"/>
      <c r="N459" s="522"/>
      <c r="O459" s="522"/>
      <c r="P459" s="522"/>
      <c r="Q459" s="524"/>
      <c r="R459" s="653"/>
      <c r="S459" s="522"/>
      <c r="T459" s="522"/>
      <c r="U459" s="522"/>
      <c r="V459" s="656"/>
      <c r="W459" s="656"/>
      <c r="X459" s="524"/>
      <c r="Y459" s="524"/>
      <c r="Z459" s="524"/>
      <c r="AA459" s="524"/>
      <c r="AB459" s="524"/>
      <c r="AC459" s="524"/>
      <c r="AD459" s="522"/>
      <c r="AE459" s="522"/>
      <c r="AF459" s="522"/>
      <c r="AG459" s="522"/>
      <c r="AH459" s="522"/>
      <c r="AI459" s="522"/>
      <c r="AJ459" s="522"/>
      <c r="AK459" s="522"/>
      <c r="AL459" s="522"/>
      <c r="AM459" s="522"/>
      <c r="AN459" s="522"/>
    </row>
    <row r="460" spans="1:42" ht="12.75" customHeight="1" x14ac:dyDescent="0.25">
      <c r="A460" s="525"/>
      <c r="B460" s="650"/>
      <c r="C460" s="650"/>
      <c r="D460" s="650"/>
      <c r="E460" s="652">
        <f>V118+V272+V386</f>
        <v>930038.4</v>
      </c>
      <c r="F460" s="650"/>
      <c r="G460" s="650"/>
      <c r="H460" s="650"/>
      <c r="I460" s="650"/>
      <c r="J460" s="523"/>
      <c r="K460" s="522"/>
      <c r="L460" s="522"/>
      <c r="M460" s="522"/>
      <c r="N460" s="522"/>
      <c r="O460" s="522"/>
      <c r="P460" s="522"/>
      <c r="Q460" s="524"/>
      <c r="R460" s="653"/>
      <c r="S460" s="522"/>
      <c r="T460" s="522"/>
      <c r="U460" s="522"/>
      <c r="V460" s="524"/>
      <c r="W460" s="524"/>
      <c r="X460" s="524"/>
      <c r="Y460" s="524"/>
      <c r="Z460" s="524"/>
      <c r="AA460" s="524"/>
      <c r="AB460" s="524"/>
      <c r="AC460" s="524"/>
      <c r="AD460" s="522"/>
      <c r="AE460" s="522"/>
      <c r="AF460" s="522"/>
      <c r="AG460" s="522"/>
      <c r="AH460" s="522"/>
      <c r="AI460" s="522"/>
      <c r="AJ460" s="522"/>
      <c r="AK460" s="522"/>
      <c r="AL460" s="522"/>
      <c r="AM460" s="522"/>
      <c r="AN460" s="522"/>
    </row>
    <row r="461" spans="1:42" ht="12.75" customHeight="1" x14ac:dyDescent="0.25">
      <c r="A461" s="525"/>
      <c r="B461" s="650"/>
      <c r="C461" s="650"/>
      <c r="D461" s="650"/>
      <c r="E461" s="657">
        <f>V259</f>
        <v>3633270</v>
      </c>
      <c r="F461" s="650"/>
      <c r="G461" s="650"/>
      <c r="H461" s="650"/>
      <c r="I461" s="650"/>
      <c r="J461" s="523"/>
      <c r="K461" s="522"/>
      <c r="L461" s="522"/>
      <c r="M461" s="522"/>
      <c r="N461" s="522"/>
      <c r="O461" s="522"/>
      <c r="P461" s="522"/>
      <c r="Q461" s="524"/>
      <c r="R461" s="653"/>
      <c r="S461" s="522"/>
      <c r="T461" s="522"/>
      <c r="U461" s="522"/>
      <c r="V461" s="524"/>
      <c r="W461" s="658"/>
      <c r="X461" s="524"/>
      <c r="Y461" s="524"/>
      <c r="Z461" s="524"/>
      <c r="AA461" s="524"/>
      <c r="AB461" s="524"/>
      <c r="AC461" s="524"/>
      <c r="AD461" s="522"/>
      <c r="AE461" s="522"/>
      <c r="AF461" s="522"/>
      <c r="AG461" s="522"/>
      <c r="AH461" s="522"/>
      <c r="AI461" s="522"/>
      <c r="AJ461" s="522"/>
      <c r="AK461" s="522"/>
      <c r="AL461" s="522"/>
      <c r="AM461" s="522"/>
      <c r="AN461" s="522"/>
    </row>
    <row r="634" spans="24:27" x14ac:dyDescent="0.25">
      <c r="X634" s="509"/>
      <c r="Y634" s="509"/>
      <c r="Z634" s="509"/>
      <c r="AA634" s="509"/>
    </row>
    <row r="635" spans="24:27" x14ac:dyDescent="0.25">
      <c r="X635" s="509"/>
      <c r="Y635" s="509"/>
      <c r="Z635" s="509"/>
      <c r="AA635" s="509"/>
    </row>
    <row r="636" spans="24:27" x14ac:dyDescent="0.25">
      <c r="X636" s="509"/>
      <c r="Y636" s="509"/>
      <c r="Z636" s="509"/>
      <c r="AA636" s="509"/>
    </row>
    <row r="637" spans="24:27" x14ac:dyDescent="0.25">
      <c r="X637" s="509"/>
      <c r="Y637" s="509"/>
      <c r="Z637" s="509"/>
      <c r="AA637" s="509"/>
    </row>
    <row r="638" spans="24:27" x14ac:dyDescent="0.25">
      <c r="X638" s="509"/>
      <c r="Y638" s="509"/>
      <c r="Z638" s="509"/>
      <c r="AA638" s="509"/>
    </row>
    <row r="639" spans="24:27" x14ac:dyDescent="0.25">
      <c r="X639" s="509"/>
      <c r="Y639" s="509"/>
      <c r="Z639" s="509"/>
      <c r="AA639" s="509"/>
    </row>
    <row r="640" spans="24:27" x14ac:dyDescent="0.25">
      <c r="X640" s="509"/>
      <c r="Y640" s="509"/>
      <c r="Z640" s="509"/>
      <c r="AA640" s="509"/>
    </row>
    <row r="641" spans="24:27" x14ac:dyDescent="0.25">
      <c r="X641" s="509"/>
      <c r="Y641" s="509"/>
      <c r="Z641" s="509"/>
      <c r="AA641" s="509"/>
    </row>
    <row r="642" spans="24:27" x14ac:dyDescent="0.25">
      <c r="X642" s="509"/>
      <c r="Y642" s="509"/>
      <c r="Z642" s="509"/>
      <c r="AA642" s="509"/>
    </row>
    <row r="643" spans="24:27" x14ac:dyDescent="0.25">
      <c r="X643" s="509"/>
      <c r="Y643" s="509"/>
      <c r="Z643" s="509"/>
      <c r="AA643" s="509"/>
    </row>
    <row r="644" spans="24:27" x14ac:dyDescent="0.25">
      <c r="X644" s="509"/>
      <c r="Y644" s="509"/>
      <c r="Z644" s="509"/>
      <c r="AA644" s="509"/>
    </row>
    <row r="645" spans="24:27" x14ac:dyDescent="0.25">
      <c r="X645" s="509"/>
      <c r="Y645" s="509"/>
      <c r="Z645" s="509"/>
      <c r="AA645" s="509"/>
    </row>
    <row r="646" spans="24:27" x14ac:dyDescent="0.25">
      <c r="X646" s="509"/>
      <c r="Y646" s="509"/>
      <c r="Z646" s="509"/>
      <c r="AA646" s="509"/>
    </row>
    <row r="647" spans="24:27" x14ac:dyDescent="0.25">
      <c r="X647" s="509"/>
      <c r="Y647" s="509"/>
      <c r="Z647" s="509"/>
      <c r="AA647" s="509"/>
    </row>
    <row r="648" spans="24:27" x14ac:dyDescent="0.25">
      <c r="X648" s="509"/>
      <c r="Y648" s="509"/>
      <c r="Z648" s="509"/>
      <c r="AA648" s="509"/>
    </row>
    <row r="649" spans="24:27" x14ac:dyDescent="0.25">
      <c r="X649" s="509"/>
      <c r="Y649" s="509"/>
      <c r="Z649" s="509"/>
      <c r="AA649" s="509"/>
    </row>
    <row r="650" spans="24:27" x14ac:dyDescent="0.25">
      <c r="X650" s="509"/>
      <c r="Y650" s="509"/>
      <c r="Z650" s="509"/>
      <c r="AA650" s="509"/>
    </row>
    <row r="651" spans="24:27" x14ac:dyDescent="0.25">
      <c r="X651" s="509"/>
      <c r="Y651" s="509"/>
      <c r="Z651" s="509"/>
      <c r="AA651" s="509"/>
    </row>
    <row r="652" spans="24:27" x14ac:dyDescent="0.25">
      <c r="X652" s="509"/>
      <c r="Y652" s="509"/>
      <c r="Z652" s="509"/>
      <c r="AA652" s="509"/>
    </row>
    <row r="653" spans="24:27" x14ac:dyDescent="0.25">
      <c r="X653" s="509"/>
      <c r="Y653" s="509"/>
      <c r="Z653" s="509"/>
      <c r="AA653" s="509"/>
    </row>
    <row r="654" spans="24:27" x14ac:dyDescent="0.25">
      <c r="X654" s="509"/>
      <c r="Y654" s="509"/>
      <c r="Z654" s="509"/>
      <c r="AA654" s="509"/>
    </row>
    <row r="655" spans="24:27" x14ac:dyDescent="0.25">
      <c r="X655" s="509"/>
      <c r="Y655" s="509"/>
      <c r="Z655" s="509"/>
      <c r="AA655" s="509"/>
    </row>
    <row r="656" spans="24:27" x14ac:dyDescent="0.25">
      <c r="X656" s="509"/>
      <c r="Y656" s="509"/>
      <c r="Z656" s="509"/>
      <c r="AA656" s="509"/>
    </row>
    <row r="657" spans="24:27" x14ac:dyDescent="0.25">
      <c r="X657" s="509"/>
      <c r="Y657" s="509"/>
      <c r="Z657" s="509"/>
      <c r="AA657" s="509"/>
    </row>
    <row r="658" spans="24:27" x14ac:dyDescent="0.25">
      <c r="X658" s="509"/>
      <c r="Y658" s="509"/>
      <c r="Z658" s="509"/>
      <c r="AA658" s="509"/>
    </row>
    <row r="659" spans="24:27" x14ac:dyDescent="0.25">
      <c r="X659" s="509"/>
      <c r="Y659" s="509"/>
      <c r="Z659" s="509"/>
      <c r="AA659" s="509"/>
    </row>
    <row r="660" spans="24:27" x14ac:dyDescent="0.25">
      <c r="X660" s="509"/>
      <c r="Y660" s="509"/>
      <c r="Z660" s="509"/>
      <c r="AA660" s="509"/>
    </row>
    <row r="661" spans="24:27" x14ac:dyDescent="0.25">
      <c r="X661" s="509"/>
      <c r="Y661" s="509"/>
      <c r="Z661" s="509"/>
      <c r="AA661" s="509"/>
    </row>
    <row r="662" spans="24:27" x14ac:dyDescent="0.25">
      <c r="X662" s="509"/>
      <c r="Y662" s="509"/>
      <c r="Z662" s="509"/>
      <c r="AA662" s="509"/>
    </row>
    <row r="663" spans="24:27" x14ac:dyDescent="0.25">
      <c r="X663" s="509"/>
      <c r="Y663" s="509"/>
      <c r="Z663" s="509"/>
      <c r="AA663" s="509"/>
    </row>
    <row r="664" spans="24:27" x14ac:dyDescent="0.25">
      <c r="X664" s="509"/>
      <c r="Y664" s="509"/>
      <c r="Z664" s="509"/>
      <c r="AA664" s="509"/>
    </row>
    <row r="665" spans="24:27" x14ac:dyDescent="0.25">
      <c r="X665" s="509"/>
      <c r="Y665" s="509"/>
      <c r="Z665" s="509"/>
      <c r="AA665" s="509"/>
    </row>
    <row r="666" spans="24:27" x14ac:dyDescent="0.25">
      <c r="X666" s="509"/>
      <c r="Y666" s="509"/>
      <c r="Z666" s="509"/>
      <c r="AA666" s="509"/>
    </row>
    <row r="667" spans="24:27" x14ac:dyDescent="0.25">
      <c r="X667" s="509"/>
      <c r="Y667" s="509"/>
      <c r="Z667" s="509"/>
      <c r="AA667" s="509"/>
    </row>
    <row r="668" spans="24:27" x14ac:dyDescent="0.25">
      <c r="X668" s="509"/>
      <c r="Y668" s="509"/>
      <c r="Z668" s="509"/>
      <c r="AA668" s="509"/>
    </row>
    <row r="669" spans="24:27" x14ac:dyDescent="0.25">
      <c r="X669" s="509"/>
      <c r="Y669" s="509"/>
      <c r="Z669" s="509"/>
      <c r="AA669" s="509"/>
    </row>
    <row r="670" spans="24:27" x14ac:dyDescent="0.25">
      <c r="X670" s="509"/>
      <c r="Y670" s="509"/>
      <c r="Z670" s="509"/>
      <c r="AA670" s="509"/>
    </row>
    <row r="671" spans="24:27" x14ac:dyDescent="0.25">
      <c r="X671" s="509"/>
      <c r="Y671" s="509"/>
      <c r="Z671" s="509"/>
      <c r="AA671" s="509"/>
    </row>
    <row r="672" spans="24:27" x14ac:dyDescent="0.25">
      <c r="X672" s="509"/>
      <c r="Y672" s="509"/>
      <c r="Z672" s="509"/>
      <c r="AA672" s="509"/>
    </row>
    <row r="673" spans="24:27" x14ac:dyDescent="0.25">
      <c r="X673" s="509"/>
      <c r="Y673" s="509"/>
      <c r="Z673" s="509"/>
      <c r="AA673" s="509"/>
    </row>
    <row r="674" spans="24:27" x14ac:dyDescent="0.25">
      <c r="X674" s="509"/>
      <c r="Y674" s="509"/>
      <c r="Z674" s="509"/>
      <c r="AA674" s="509"/>
    </row>
    <row r="675" spans="24:27" x14ac:dyDescent="0.25">
      <c r="X675" s="509"/>
      <c r="Y675" s="509"/>
      <c r="Z675" s="509"/>
      <c r="AA675" s="509"/>
    </row>
    <row r="676" spans="24:27" x14ac:dyDescent="0.25">
      <c r="X676" s="509"/>
      <c r="Y676" s="509"/>
      <c r="Z676" s="509"/>
      <c r="AA676" s="509"/>
    </row>
    <row r="677" spans="24:27" x14ac:dyDescent="0.25">
      <c r="X677" s="509"/>
      <c r="Y677" s="509"/>
      <c r="Z677" s="509"/>
      <c r="AA677" s="509"/>
    </row>
    <row r="678" spans="24:27" x14ac:dyDescent="0.25">
      <c r="X678" s="509"/>
      <c r="Y678" s="509"/>
      <c r="Z678" s="509"/>
      <c r="AA678" s="509"/>
    </row>
    <row r="679" spans="24:27" x14ac:dyDescent="0.25">
      <c r="X679" s="509"/>
      <c r="Y679" s="509"/>
      <c r="Z679" s="509"/>
      <c r="AA679" s="509"/>
    </row>
    <row r="680" spans="24:27" x14ac:dyDescent="0.25">
      <c r="X680" s="509"/>
      <c r="Y680" s="509"/>
      <c r="Z680" s="509"/>
      <c r="AA680" s="509"/>
    </row>
    <row r="681" spans="24:27" x14ac:dyDescent="0.25">
      <c r="X681" s="509"/>
      <c r="Y681" s="509"/>
      <c r="Z681" s="509"/>
      <c r="AA681" s="509"/>
    </row>
    <row r="682" spans="24:27" x14ac:dyDescent="0.25">
      <c r="X682" s="509"/>
      <c r="Y682" s="509"/>
      <c r="Z682" s="509"/>
      <c r="AA682" s="509"/>
    </row>
    <row r="683" spans="24:27" x14ac:dyDescent="0.25">
      <c r="X683" s="509"/>
      <c r="Y683" s="509"/>
      <c r="Z683" s="509"/>
      <c r="AA683" s="509"/>
    </row>
    <row r="684" spans="24:27" x14ac:dyDescent="0.25">
      <c r="X684" s="509"/>
      <c r="Y684" s="509"/>
      <c r="Z684" s="509"/>
      <c r="AA684" s="509"/>
    </row>
    <row r="685" spans="24:27" x14ac:dyDescent="0.25">
      <c r="X685" s="509"/>
      <c r="Y685" s="509"/>
      <c r="Z685" s="509"/>
      <c r="AA685" s="509"/>
    </row>
    <row r="686" spans="24:27" x14ac:dyDescent="0.25">
      <c r="X686" s="509"/>
      <c r="Y686" s="509"/>
      <c r="Z686" s="509"/>
      <c r="AA686" s="509"/>
    </row>
    <row r="687" spans="24:27" x14ac:dyDescent="0.25">
      <c r="X687" s="509"/>
      <c r="Y687" s="509"/>
      <c r="Z687" s="509"/>
      <c r="AA687" s="509"/>
    </row>
    <row r="688" spans="24:27" x14ac:dyDescent="0.25">
      <c r="X688" s="509"/>
      <c r="Y688" s="509"/>
      <c r="Z688" s="509"/>
      <c r="AA688" s="509"/>
    </row>
    <row r="689" spans="24:27" x14ac:dyDescent="0.25">
      <c r="X689" s="509"/>
      <c r="Y689" s="509"/>
      <c r="Z689" s="509"/>
      <c r="AA689" s="509"/>
    </row>
    <row r="690" spans="24:27" x14ac:dyDescent="0.25">
      <c r="X690" s="509"/>
      <c r="Y690" s="509"/>
      <c r="Z690" s="509"/>
      <c r="AA690" s="509"/>
    </row>
    <row r="691" spans="24:27" x14ac:dyDescent="0.25">
      <c r="X691" s="509"/>
      <c r="Y691" s="509"/>
      <c r="Z691" s="509"/>
      <c r="AA691" s="509"/>
    </row>
    <row r="692" spans="24:27" x14ac:dyDescent="0.25">
      <c r="X692" s="509"/>
      <c r="Y692" s="509"/>
      <c r="Z692" s="509"/>
      <c r="AA692" s="509"/>
    </row>
    <row r="693" spans="24:27" x14ac:dyDescent="0.25">
      <c r="X693" s="509"/>
      <c r="Y693" s="509"/>
      <c r="Z693" s="509"/>
      <c r="AA693" s="509"/>
    </row>
    <row r="694" spans="24:27" x14ac:dyDescent="0.25">
      <c r="X694" s="509"/>
      <c r="Y694" s="509"/>
      <c r="Z694" s="509"/>
      <c r="AA694" s="509"/>
    </row>
    <row r="695" spans="24:27" x14ac:dyDescent="0.25">
      <c r="X695" s="509"/>
      <c r="Y695" s="509"/>
      <c r="Z695" s="509"/>
      <c r="AA695" s="509"/>
    </row>
    <row r="696" spans="24:27" x14ac:dyDescent="0.25">
      <c r="X696" s="509"/>
      <c r="Y696" s="509"/>
      <c r="Z696" s="509"/>
      <c r="AA696" s="509"/>
    </row>
    <row r="697" spans="24:27" x14ac:dyDescent="0.25">
      <c r="X697" s="509"/>
      <c r="Y697" s="509"/>
      <c r="Z697" s="509"/>
      <c r="AA697" s="509"/>
    </row>
    <row r="698" spans="24:27" x14ac:dyDescent="0.25">
      <c r="X698" s="509"/>
      <c r="Y698" s="509"/>
      <c r="Z698" s="509"/>
      <c r="AA698" s="509"/>
    </row>
    <row r="699" spans="24:27" x14ac:dyDescent="0.25">
      <c r="X699" s="509"/>
      <c r="Y699" s="509"/>
      <c r="Z699" s="509"/>
      <c r="AA699" s="509"/>
    </row>
    <row r="700" spans="24:27" x14ac:dyDescent="0.25">
      <c r="X700" s="509"/>
      <c r="Y700" s="509"/>
      <c r="Z700" s="509"/>
      <c r="AA700" s="509"/>
    </row>
    <row r="701" spans="24:27" x14ac:dyDescent="0.25">
      <c r="X701" s="509"/>
      <c r="Y701" s="509"/>
      <c r="Z701" s="509"/>
      <c r="AA701" s="509"/>
    </row>
    <row r="702" spans="24:27" x14ac:dyDescent="0.25">
      <c r="X702" s="509"/>
      <c r="Y702" s="509"/>
      <c r="Z702" s="509"/>
      <c r="AA702" s="509"/>
    </row>
    <row r="703" spans="24:27" x14ac:dyDescent="0.25">
      <c r="X703" s="509"/>
      <c r="Y703" s="509"/>
      <c r="Z703" s="509"/>
      <c r="AA703" s="509"/>
    </row>
    <row r="704" spans="24:27" x14ac:dyDescent="0.25">
      <c r="X704" s="509"/>
      <c r="Y704" s="509"/>
      <c r="Z704" s="509"/>
      <c r="AA704" s="509"/>
    </row>
    <row r="705" spans="24:27" x14ac:dyDescent="0.25">
      <c r="X705" s="509"/>
      <c r="Y705" s="509"/>
      <c r="Z705" s="509"/>
      <c r="AA705" s="509"/>
    </row>
    <row r="706" spans="24:27" x14ac:dyDescent="0.25">
      <c r="X706" s="509"/>
      <c r="Y706" s="509"/>
      <c r="Z706" s="509"/>
      <c r="AA706" s="509"/>
    </row>
    <row r="707" spans="24:27" x14ac:dyDescent="0.25">
      <c r="X707" s="509"/>
      <c r="Y707" s="509"/>
      <c r="Z707" s="509"/>
      <c r="AA707" s="509"/>
    </row>
    <row r="708" spans="24:27" x14ac:dyDescent="0.25">
      <c r="X708" s="509"/>
      <c r="Y708" s="509"/>
      <c r="Z708" s="509"/>
      <c r="AA708" s="509"/>
    </row>
    <row r="709" spans="24:27" x14ac:dyDescent="0.25">
      <c r="X709" s="509"/>
      <c r="Y709" s="509"/>
      <c r="Z709" s="509"/>
      <c r="AA709" s="509"/>
    </row>
    <row r="710" spans="24:27" x14ac:dyDescent="0.25">
      <c r="X710" s="509"/>
      <c r="Y710" s="509"/>
      <c r="Z710" s="509"/>
      <c r="AA710" s="509"/>
    </row>
    <row r="711" spans="24:27" x14ac:dyDescent="0.25">
      <c r="X711" s="509"/>
      <c r="Y711" s="509"/>
      <c r="Z711" s="509"/>
      <c r="AA711" s="509"/>
    </row>
    <row r="712" spans="24:27" x14ac:dyDescent="0.25">
      <c r="X712" s="509"/>
      <c r="Y712" s="509"/>
      <c r="Z712" s="509"/>
      <c r="AA712" s="509"/>
    </row>
    <row r="713" spans="24:27" x14ac:dyDescent="0.25">
      <c r="X713" s="509"/>
      <c r="Y713" s="509"/>
      <c r="Z713" s="509"/>
      <c r="AA713" s="509"/>
    </row>
    <row r="714" spans="24:27" x14ac:dyDescent="0.25">
      <c r="X714" s="509"/>
      <c r="Y714" s="509"/>
      <c r="Z714" s="509"/>
      <c r="AA714" s="509"/>
    </row>
    <row r="715" spans="24:27" x14ac:dyDescent="0.25">
      <c r="X715" s="509"/>
      <c r="Y715" s="509"/>
      <c r="Z715" s="509"/>
      <c r="AA715" s="509"/>
    </row>
    <row r="716" spans="24:27" x14ac:dyDescent="0.25">
      <c r="X716" s="509"/>
      <c r="Y716" s="509"/>
      <c r="Z716" s="509"/>
      <c r="AA716" s="509"/>
    </row>
    <row r="717" spans="24:27" x14ac:dyDescent="0.25">
      <c r="X717" s="509"/>
      <c r="Y717" s="509"/>
      <c r="Z717" s="509"/>
      <c r="AA717" s="509"/>
    </row>
    <row r="718" spans="24:27" x14ac:dyDescent="0.25">
      <c r="X718" s="509"/>
      <c r="Y718" s="509"/>
      <c r="Z718" s="509"/>
      <c r="AA718" s="509"/>
    </row>
    <row r="719" spans="24:27" x14ac:dyDescent="0.25">
      <c r="X719" s="509"/>
      <c r="Y719" s="509"/>
      <c r="Z719" s="509"/>
      <c r="AA719" s="509"/>
    </row>
    <row r="720" spans="24:27" x14ac:dyDescent="0.25">
      <c r="X720" s="509"/>
      <c r="Y720" s="509"/>
      <c r="Z720" s="509"/>
      <c r="AA720" s="509"/>
    </row>
    <row r="721" spans="24:27" x14ac:dyDescent="0.25">
      <c r="X721" s="509"/>
      <c r="Y721" s="509"/>
      <c r="Z721" s="509"/>
      <c r="AA721" s="509"/>
    </row>
    <row r="722" spans="24:27" x14ac:dyDescent="0.25">
      <c r="X722" s="509"/>
      <c r="Y722" s="509"/>
      <c r="Z722" s="509"/>
      <c r="AA722" s="509"/>
    </row>
    <row r="723" spans="24:27" x14ac:dyDescent="0.25">
      <c r="X723" s="509"/>
      <c r="Y723" s="509"/>
      <c r="Z723" s="509"/>
      <c r="AA723" s="509"/>
    </row>
    <row r="724" spans="24:27" x14ac:dyDescent="0.25">
      <c r="X724" s="509"/>
      <c r="Y724" s="509"/>
      <c r="Z724" s="509"/>
      <c r="AA724" s="509"/>
    </row>
    <row r="725" spans="24:27" x14ac:dyDescent="0.25">
      <c r="X725" s="509"/>
      <c r="Y725" s="509"/>
      <c r="Z725" s="509"/>
      <c r="AA725" s="509"/>
    </row>
    <row r="726" spans="24:27" x14ac:dyDescent="0.25">
      <c r="X726" s="509"/>
      <c r="Y726" s="509"/>
      <c r="Z726" s="509"/>
      <c r="AA726" s="509"/>
    </row>
    <row r="727" spans="24:27" x14ac:dyDescent="0.25">
      <c r="X727" s="509"/>
      <c r="Y727" s="509"/>
      <c r="Z727" s="509"/>
      <c r="AA727" s="509"/>
    </row>
    <row r="728" spans="24:27" x14ac:dyDescent="0.25">
      <c r="X728" s="509"/>
      <c r="Y728" s="509"/>
      <c r="Z728" s="509"/>
      <c r="AA728" s="509"/>
    </row>
    <row r="729" spans="24:27" x14ac:dyDescent="0.25">
      <c r="X729" s="509"/>
      <c r="Y729" s="509"/>
      <c r="Z729" s="509"/>
      <c r="AA729" s="509"/>
    </row>
    <row r="730" spans="24:27" x14ac:dyDescent="0.25">
      <c r="X730" s="509"/>
      <c r="Y730" s="509"/>
      <c r="Z730" s="509"/>
      <c r="AA730" s="509"/>
    </row>
    <row r="731" spans="24:27" x14ac:dyDescent="0.25">
      <c r="X731" s="509"/>
      <c r="Y731" s="509"/>
      <c r="Z731" s="509"/>
      <c r="AA731" s="509"/>
    </row>
    <row r="732" spans="24:27" x14ac:dyDescent="0.25">
      <c r="X732" s="509"/>
      <c r="Y732" s="509"/>
      <c r="Z732" s="509"/>
      <c r="AA732" s="509"/>
    </row>
    <row r="733" spans="24:27" x14ac:dyDescent="0.25">
      <c r="X733" s="509"/>
      <c r="Y733" s="509"/>
      <c r="Z733" s="509"/>
      <c r="AA733" s="509"/>
    </row>
    <row r="734" spans="24:27" x14ac:dyDescent="0.25">
      <c r="X734" s="509"/>
      <c r="Y734" s="509"/>
      <c r="Z734" s="509"/>
      <c r="AA734" s="509"/>
    </row>
    <row r="735" spans="24:27" x14ac:dyDescent="0.25">
      <c r="X735" s="509"/>
      <c r="Y735" s="509"/>
      <c r="Z735" s="509"/>
      <c r="AA735" s="509"/>
    </row>
    <row r="736" spans="24:27" x14ac:dyDescent="0.25">
      <c r="X736" s="509"/>
      <c r="Y736" s="509"/>
      <c r="Z736" s="509"/>
      <c r="AA736" s="509"/>
    </row>
    <row r="737" spans="24:27" x14ac:dyDescent="0.25">
      <c r="X737" s="509"/>
      <c r="Y737" s="509"/>
      <c r="Z737" s="509"/>
      <c r="AA737" s="509"/>
    </row>
    <row r="738" spans="24:27" x14ac:dyDescent="0.25">
      <c r="X738" s="509"/>
      <c r="Y738" s="509"/>
      <c r="Z738" s="509"/>
      <c r="AA738" s="509"/>
    </row>
    <row r="739" spans="24:27" x14ac:dyDescent="0.25">
      <c r="X739" s="509"/>
      <c r="Y739" s="509"/>
      <c r="Z739" s="509"/>
      <c r="AA739" s="509"/>
    </row>
    <row r="740" spans="24:27" x14ac:dyDescent="0.25">
      <c r="X740" s="509"/>
      <c r="Y740" s="509"/>
      <c r="Z740" s="509"/>
      <c r="AA740" s="509"/>
    </row>
    <row r="741" spans="24:27" x14ac:dyDescent="0.25">
      <c r="X741" s="509"/>
      <c r="Y741" s="509"/>
      <c r="Z741" s="509"/>
      <c r="AA741" s="509"/>
    </row>
    <row r="742" spans="24:27" x14ac:dyDescent="0.25">
      <c r="X742" s="509"/>
      <c r="Y742" s="509"/>
      <c r="Z742" s="509"/>
      <c r="AA742" s="509"/>
    </row>
    <row r="743" spans="24:27" x14ac:dyDescent="0.25">
      <c r="X743" s="509"/>
      <c r="Y743" s="509"/>
      <c r="Z743" s="509"/>
      <c r="AA743" s="509"/>
    </row>
    <row r="744" spans="24:27" x14ac:dyDescent="0.25">
      <c r="X744" s="509"/>
      <c r="Y744" s="509"/>
      <c r="Z744" s="509"/>
      <c r="AA744" s="509"/>
    </row>
    <row r="745" spans="24:27" x14ac:dyDescent="0.25">
      <c r="X745" s="509"/>
      <c r="Y745" s="509"/>
      <c r="Z745" s="509"/>
      <c r="AA745" s="509"/>
    </row>
    <row r="746" spans="24:27" x14ac:dyDescent="0.25">
      <c r="X746" s="509"/>
      <c r="Y746" s="509"/>
      <c r="Z746" s="509"/>
      <c r="AA746" s="509"/>
    </row>
    <row r="747" spans="24:27" x14ac:dyDescent="0.25">
      <c r="X747" s="509"/>
      <c r="Y747" s="509"/>
      <c r="Z747" s="509"/>
      <c r="AA747" s="509"/>
    </row>
    <row r="748" spans="24:27" x14ac:dyDescent="0.25">
      <c r="X748" s="509"/>
      <c r="Y748" s="509"/>
      <c r="Z748" s="509"/>
      <c r="AA748" s="509"/>
    </row>
    <row r="749" spans="24:27" x14ac:dyDescent="0.25">
      <c r="X749" s="509"/>
      <c r="Y749" s="509"/>
      <c r="Z749" s="509"/>
      <c r="AA749" s="509"/>
    </row>
    <row r="750" spans="24:27" x14ac:dyDescent="0.25">
      <c r="X750" s="509"/>
      <c r="Y750" s="509"/>
      <c r="Z750" s="509"/>
      <c r="AA750" s="509"/>
    </row>
    <row r="751" spans="24:27" x14ac:dyDescent="0.25">
      <c r="X751" s="509"/>
      <c r="Y751" s="509"/>
      <c r="Z751" s="509"/>
      <c r="AA751" s="509"/>
    </row>
    <row r="752" spans="24:27" x14ac:dyDescent="0.25">
      <c r="X752" s="509"/>
      <c r="Y752" s="509"/>
      <c r="Z752" s="509"/>
      <c r="AA752" s="509"/>
    </row>
    <row r="753" spans="24:27" x14ac:dyDescent="0.25">
      <c r="X753" s="509"/>
      <c r="Y753" s="509"/>
      <c r="Z753" s="509"/>
      <c r="AA753" s="509"/>
    </row>
    <row r="754" spans="24:27" x14ac:dyDescent="0.25">
      <c r="X754" s="509"/>
      <c r="Y754" s="509"/>
      <c r="Z754" s="509"/>
      <c r="AA754" s="509"/>
    </row>
    <row r="755" spans="24:27" x14ac:dyDescent="0.25">
      <c r="X755" s="509"/>
      <c r="Y755" s="509"/>
      <c r="Z755" s="509"/>
      <c r="AA755" s="509"/>
    </row>
    <row r="756" spans="24:27" x14ac:dyDescent="0.25">
      <c r="X756" s="509"/>
      <c r="Y756" s="509"/>
      <c r="Z756" s="509"/>
      <c r="AA756" s="509"/>
    </row>
    <row r="757" spans="24:27" x14ac:dyDescent="0.25">
      <c r="X757" s="509"/>
      <c r="Y757" s="509"/>
      <c r="Z757" s="509"/>
      <c r="AA757" s="509"/>
    </row>
    <row r="758" spans="24:27" x14ac:dyDescent="0.25">
      <c r="X758" s="509"/>
      <c r="Y758" s="509"/>
      <c r="Z758" s="509"/>
      <c r="AA758" s="509"/>
    </row>
    <row r="759" spans="24:27" x14ac:dyDescent="0.25">
      <c r="X759" s="509"/>
      <c r="Y759" s="509"/>
      <c r="Z759" s="509"/>
      <c r="AA759" s="509"/>
    </row>
    <row r="760" spans="24:27" x14ac:dyDescent="0.25">
      <c r="X760" s="509"/>
      <c r="Y760" s="509"/>
      <c r="Z760" s="509"/>
      <c r="AA760" s="509"/>
    </row>
    <row r="761" spans="24:27" x14ac:dyDescent="0.25">
      <c r="X761" s="509"/>
      <c r="Y761" s="509"/>
      <c r="Z761" s="509"/>
      <c r="AA761" s="509"/>
    </row>
    <row r="762" spans="24:27" x14ac:dyDescent="0.25">
      <c r="X762" s="509"/>
      <c r="Y762" s="509"/>
      <c r="Z762" s="509"/>
      <c r="AA762" s="509"/>
    </row>
    <row r="763" spans="24:27" x14ac:dyDescent="0.25">
      <c r="X763" s="509"/>
      <c r="Y763" s="509"/>
      <c r="Z763" s="509"/>
      <c r="AA763" s="509"/>
    </row>
    <row r="764" spans="24:27" x14ac:dyDescent="0.25">
      <c r="X764" s="509"/>
      <c r="Y764" s="509"/>
      <c r="Z764" s="509"/>
      <c r="AA764" s="509"/>
    </row>
    <row r="765" spans="24:27" x14ac:dyDescent="0.25">
      <c r="X765" s="509"/>
      <c r="Y765" s="509"/>
      <c r="Z765" s="509"/>
      <c r="AA765" s="509"/>
    </row>
    <row r="766" spans="24:27" x14ac:dyDescent="0.25">
      <c r="X766" s="509"/>
      <c r="Y766" s="509"/>
      <c r="Z766" s="509"/>
      <c r="AA766" s="509"/>
    </row>
    <row r="767" spans="24:27" x14ac:dyDescent="0.25">
      <c r="X767" s="509"/>
      <c r="Y767" s="509"/>
      <c r="Z767" s="509"/>
      <c r="AA767" s="509"/>
    </row>
    <row r="768" spans="24:27" x14ac:dyDescent="0.25">
      <c r="X768" s="509"/>
      <c r="Y768" s="509"/>
      <c r="Z768" s="509"/>
      <c r="AA768" s="509"/>
    </row>
    <row r="769" spans="24:27" x14ac:dyDescent="0.25">
      <c r="X769" s="509"/>
      <c r="Y769" s="509"/>
      <c r="Z769" s="509"/>
      <c r="AA769" s="509"/>
    </row>
    <row r="770" spans="24:27" x14ac:dyDescent="0.25">
      <c r="X770" s="509"/>
      <c r="Y770" s="509"/>
      <c r="Z770" s="509"/>
      <c r="AA770" s="509"/>
    </row>
    <row r="771" spans="24:27" x14ac:dyDescent="0.25">
      <c r="X771" s="509"/>
      <c r="Y771" s="509"/>
      <c r="Z771" s="509"/>
      <c r="AA771" s="509"/>
    </row>
    <row r="772" spans="24:27" x14ac:dyDescent="0.25">
      <c r="X772" s="509"/>
      <c r="Y772" s="509"/>
      <c r="Z772" s="509"/>
      <c r="AA772" s="509"/>
    </row>
    <row r="773" spans="24:27" x14ac:dyDescent="0.25">
      <c r="X773" s="509"/>
      <c r="Y773" s="509"/>
      <c r="Z773" s="509"/>
      <c r="AA773" s="509"/>
    </row>
    <row r="774" spans="24:27" x14ac:dyDescent="0.25">
      <c r="X774" s="509"/>
      <c r="Y774" s="509"/>
      <c r="Z774" s="509"/>
      <c r="AA774" s="509"/>
    </row>
    <row r="775" spans="24:27" x14ac:dyDescent="0.25">
      <c r="X775" s="509"/>
      <c r="Y775" s="509"/>
      <c r="Z775" s="509"/>
      <c r="AA775" s="509"/>
    </row>
    <row r="776" spans="24:27" x14ac:dyDescent="0.25">
      <c r="X776" s="509"/>
      <c r="Y776" s="509"/>
      <c r="Z776" s="509"/>
      <c r="AA776" s="509"/>
    </row>
    <row r="777" spans="24:27" x14ac:dyDescent="0.25">
      <c r="X777" s="509"/>
      <c r="Y777" s="509"/>
      <c r="Z777" s="509"/>
      <c r="AA777" s="509"/>
    </row>
  </sheetData>
  <mergeCells count="328">
    <mergeCell ref="B334:AK334"/>
    <mergeCell ref="B336:K336"/>
    <mergeCell ref="B430:K430"/>
    <mergeCell ref="AD430:AF430"/>
    <mergeCell ref="AI430:AJ430"/>
    <mergeCell ref="B427:K427"/>
    <mergeCell ref="AD427:AF427"/>
    <mergeCell ref="AI427:AJ427"/>
    <mergeCell ref="B428:AK428"/>
    <mergeCell ref="B409:K409"/>
    <mergeCell ref="AD409:AF409"/>
    <mergeCell ref="AI409:AJ409"/>
    <mergeCell ref="D411:AC411"/>
    <mergeCell ref="B412:AK412"/>
    <mergeCell ref="B414:K414"/>
    <mergeCell ref="AD414:AF414"/>
    <mergeCell ref="AI414:AJ414"/>
    <mergeCell ref="D416:AC416"/>
    <mergeCell ref="AD336:AF336"/>
    <mergeCell ref="AI336:AJ336"/>
    <mergeCell ref="B360:K360"/>
    <mergeCell ref="B337:AK337"/>
    <mergeCell ref="B339:K339"/>
    <mergeCell ref="AD339:AF339"/>
    <mergeCell ref="B317:AK317"/>
    <mergeCell ref="B321:K321"/>
    <mergeCell ref="AD321:AF321"/>
    <mergeCell ref="AI321:AJ321"/>
    <mergeCell ref="B431:AK431"/>
    <mergeCell ref="B406:K406"/>
    <mergeCell ref="AD406:AF406"/>
    <mergeCell ref="AI406:AJ406"/>
    <mergeCell ref="AD360:AF360"/>
    <mergeCell ref="AI360:AJ360"/>
    <mergeCell ref="B361:AK361"/>
    <mergeCell ref="B394:AK394"/>
    <mergeCell ref="B397:K397"/>
    <mergeCell ref="AD397:AF397"/>
    <mergeCell ref="AI397:AJ397"/>
    <mergeCell ref="D402:AC402"/>
    <mergeCell ref="B403:AK403"/>
    <mergeCell ref="B398:AK398"/>
    <mergeCell ref="B401:K401"/>
    <mergeCell ref="B417:AK417"/>
    <mergeCell ref="B424:K424"/>
    <mergeCell ref="AD424:AF424"/>
    <mergeCell ref="AI424:AJ424"/>
    <mergeCell ref="B425:AK425"/>
    <mergeCell ref="P16:P17"/>
    <mergeCell ref="V16:V17"/>
    <mergeCell ref="W16:W17"/>
    <mergeCell ref="B29:AK29"/>
    <mergeCell ref="B32:K32"/>
    <mergeCell ref="AD32:AF32"/>
    <mergeCell ref="AI32:AJ32"/>
    <mergeCell ref="B33:AK33"/>
    <mergeCell ref="D20:J20"/>
    <mergeCell ref="B21:AK21"/>
    <mergeCell ref="B24:K24"/>
    <mergeCell ref="AD24:AF24"/>
    <mergeCell ref="AI24:AJ24"/>
    <mergeCell ref="B25:AK25"/>
    <mergeCell ref="B28:K28"/>
    <mergeCell ref="AD28:AF28"/>
    <mergeCell ref="AI28:AJ28"/>
    <mergeCell ref="D2:F2"/>
    <mergeCell ref="W2:AC2"/>
    <mergeCell ref="D3:D4"/>
    <mergeCell ref="G3:G4"/>
    <mergeCell ref="M5:N5"/>
    <mergeCell ref="O5:P5"/>
    <mergeCell ref="O6:P6"/>
    <mergeCell ref="M9:N9"/>
    <mergeCell ref="H3:H4"/>
    <mergeCell ref="O9:P9"/>
    <mergeCell ref="T9:U9"/>
    <mergeCell ref="B49:K49"/>
    <mergeCell ref="AD49:AF49"/>
    <mergeCell ref="AI49:AJ49"/>
    <mergeCell ref="D50:AC50"/>
    <mergeCell ref="D51:I51"/>
    <mergeCell ref="B41:K41"/>
    <mergeCell ref="AD41:AF41"/>
    <mergeCell ref="AI41:AJ41"/>
    <mergeCell ref="D42:AC42"/>
    <mergeCell ref="B43:AK43"/>
    <mergeCell ref="B63:K63"/>
    <mergeCell ref="AD63:AF63"/>
    <mergeCell ref="AI63:AJ63"/>
    <mergeCell ref="D67:AC67"/>
    <mergeCell ref="B68:AK68"/>
    <mergeCell ref="B52:AK52"/>
    <mergeCell ref="B54:K54"/>
    <mergeCell ref="AD54:AF54"/>
    <mergeCell ref="AI54:AJ54"/>
    <mergeCell ref="B57:AK57"/>
    <mergeCell ref="B77:AK77"/>
    <mergeCell ref="B84:K84"/>
    <mergeCell ref="AD84:AF84"/>
    <mergeCell ref="AI84:AJ84"/>
    <mergeCell ref="B85:AK85"/>
    <mergeCell ref="B70:K70"/>
    <mergeCell ref="AD70:AF70"/>
    <mergeCell ref="AI70:AJ70"/>
    <mergeCell ref="B71:AK71"/>
    <mergeCell ref="B76:K76"/>
    <mergeCell ref="AD76:AF76"/>
    <mergeCell ref="AI76:AJ76"/>
    <mergeCell ref="B141:K141"/>
    <mergeCell ref="AD141:AF141"/>
    <mergeCell ref="AI141:AJ141"/>
    <mergeCell ref="B144:K144"/>
    <mergeCell ref="AD144:AF144"/>
    <mergeCell ref="AI144:AJ144"/>
    <mergeCell ref="B137:K137"/>
    <mergeCell ref="AD137:AF137"/>
    <mergeCell ref="AI137:AJ137"/>
    <mergeCell ref="D138:AC138"/>
    <mergeCell ref="B139:AK139"/>
    <mergeCell ref="B151:AK151"/>
    <mergeCell ref="B160:K160"/>
    <mergeCell ref="AD160:AF160"/>
    <mergeCell ref="AI160:AJ160"/>
    <mergeCell ref="D161:W161"/>
    <mergeCell ref="D145:AC145"/>
    <mergeCell ref="D146:X146"/>
    <mergeCell ref="B147:AK147"/>
    <mergeCell ref="B150:K150"/>
    <mergeCell ref="AD150:AF150"/>
    <mergeCell ref="AI150:AJ150"/>
    <mergeCell ref="D167:AC167"/>
    <mergeCell ref="B178:K178"/>
    <mergeCell ref="AD178:AF178"/>
    <mergeCell ref="AI178:AJ178"/>
    <mergeCell ref="D179:V179"/>
    <mergeCell ref="B162:AK162"/>
    <mergeCell ref="B165:K165"/>
    <mergeCell ref="AD165:AF165"/>
    <mergeCell ref="AI165:AJ165"/>
    <mergeCell ref="B166:AK166"/>
    <mergeCell ref="B185:AK185"/>
    <mergeCell ref="B187:K187"/>
    <mergeCell ref="AD187:AF187"/>
    <mergeCell ref="AI187:AJ187"/>
    <mergeCell ref="B190:AK190"/>
    <mergeCell ref="B181:K181"/>
    <mergeCell ref="AD181:AF181"/>
    <mergeCell ref="AI181:AJ181"/>
    <mergeCell ref="B182:AK182"/>
    <mergeCell ref="B184:K184"/>
    <mergeCell ref="AD184:AF184"/>
    <mergeCell ref="AI184:AJ184"/>
    <mergeCell ref="B196:AK196"/>
    <mergeCell ref="B198:K198"/>
    <mergeCell ref="AD198:AF198"/>
    <mergeCell ref="AI198:AJ198"/>
    <mergeCell ref="B199:AK199"/>
    <mergeCell ref="B192:K192"/>
    <mergeCell ref="AD192:AF192"/>
    <mergeCell ref="AI192:AJ192"/>
    <mergeCell ref="B193:AK193"/>
    <mergeCell ref="B195:K195"/>
    <mergeCell ref="AD195:AF195"/>
    <mergeCell ref="AI195:AJ195"/>
    <mergeCell ref="B207:AK207"/>
    <mergeCell ref="B209:K209"/>
    <mergeCell ref="AD209:AF209"/>
    <mergeCell ref="AI209:AJ209"/>
    <mergeCell ref="B210:AK210"/>
    <mergeCell ref="B203:K203"/>
    <mergeCell ref="AD203:AF203"/>
    <mergeCell ref="AI203:AJ203"/>
    <mergeCell ref="B204:AK204"/>
    <mergeCell ref="B206:K206"/>
    <mergeCell ref="AD206:AF206"/>
    <mergeCell ref="AI206:AJ206"/>
    <mergeCell ref="D216:AC216"/>
    <mergeCell ref="D217:W217"/>
    <mergeCell ref="B218:AK218"/>
    <mergeCell ref="B220:K220"/>
    <mergeCell ref="AD220:AF220"/>
    <mergeCell ref="AI220:AJ220"/>
    <mergeCell ref="B212:K212"/>
    <mergeCell ref="AD212:AF212"/>
    <mergeCell ref="AI212:AJ212"/>
    <mergeCell ref="B213:AK213"/>
    <mergeCell ref="B215:K215"/>
    <mergeCell ref="AD215:AF215"/>
    <mergeCell ref="AI215:AJ215"/>
    <mergeCell ref="B225:AK225"/>
    <mergeCell ref="B228:K228"/>
    <mergeCell ref="AD228:AF228"/>
    <mergeCell ref="AI228:AJ228"/>
    <mergeCell ref="B229:AK229"/>
    <mergeCell ref="B221:AK221"/>
    <mergeCell ref="B223:K223"/>
    <mergeCell ref="AD223:AF223"/>
    <mergeCell ref="AI223:AJ223"/>
    <mergeCell ref="D224:AC224"/>
    <mergeCell ref="D235:AC235"/>
    <mergeCell ref="D236:W236"/>
    <mergeCell ref="B237:AK237"/>
    <mergeCell ref="B240:K240"/>
    <mergeCell ref="AD240:AF240"/>
    <mergeCell ref="AI240:AJ240"/>
    <mergeCell ref="B231:K231"/>
    <mergeCell ref="AD231:AF231"/>
    <mergeCell ref="AI231:AJ231"/>
    <mergeCell ref="B232:AK232"/>
    <mergeCell ref="B234:K234"/>
    <mergeCell ref="AD234:AF234"/>
    <mergeCell ref="AI234:AJ234"/>
    <mergeCell ref="D249:J249"/>
    <mergeCell ref="B250:AK250"/>
    <mergeCell ref="B252:K252"/>
    <mergeCell ref="AD252:AF252"/>
    <mergeCell ref="AI252:AJ252"/>
    <mergeCell ref="B241:AK241"/>
    <mergeCell ref="B243:K243"/>
    <mergeCell ref="AD243:AF243"/>
    <mergeCell ref="AI243:AJ243"/>
    <mergeCell ref="D248:AC248"/>
    <mergeCell ref="B244:AK244"/>
    <mergeCell ref="B247:K247"/>
    <mergeCell ref="AD247:AF247"/>
    <mergeCell ref="AI247:AJ247"/>
    <mergeCell ref="B257:AK257"/>
    <mergeCell ref="B259:K259"/>
    <mergeCell ref="AD259:AF259"/>
    <mergeCell ref="AI259:AJ259"/>
    <mergeCell ref="D260:AC260"/>
    <mergeCell ref="B253:AK253"/>
    <mergeCell ref="B255:K255"/>
    <mergeCell ref="AD255:AF255"/>
    <mergeCell ref="AI255:AJ255"/>
    <mergeCell ref="D256:AC256"/>
    <mergeCell ref="B275:K275"/>
    <mergeCell ref="AD275:AF275"/>
    <mergeCell ref="AI275:AJ275"/>
    <mergeCell ref="D276:AC276"/>
    <mergeCell ref="D277:AC277"/>
    <mergeCell ref="B261:AK261"/>
    <mergeCell ref="B272:K272"/>
    <mergeCell ref="AD272:AF272"/>
    <mergeCell ref="AI272:AJ272"/>
    <mergeCell ref="B273:AK273"/>
    <mergeCell ref="B284:K284"/>
    <mergeCell ref="AD284:AF284"/>
    <mergeCell ref="AI284:AJ284"/>
    <mergeCell ref="B285:AK285"/>
    <mergeCell ref="B287:K287"/>
    <mergeCell ref="AD287:AF287"/>
    <mergeCell ref="AI287:AJ287"/>
    <mergeCell ref="B278:AK278"/>
    <mergeCell ref="B281:K281"/>
    <mergeCell ref="AD281:AF281"/>
    <mergeCell ref="AI281:AJ281"/>
    <mergeCell ref="B282:AK282"/>
    <mergeCell ref="B293:K293"/>
    <mergeCell ref="AD293:AF293"/>
    <mergeCell ref="AI293:AJ293"/>
    <mergeCell ref="B294:AK294"/>
    <mergeCell ref="B296:K296"/>
    <mergeCell ref="AD296:AF296"/>
    <mergeCell ref="AI296:AJ296"/>
    <mergeCell ref="B288:AK288"/>
    <mergeCell ref="B290:K290"/>
    <mergeCell ref="AD290:AF290"/>
    <mergeCell ref="AI290:AJ290"/>
    <mergeCell ref="B291:AK291"/>
    <mergeCell ref="B306:AK306"/>
    <mergeCell ref="D297:AC297"/>
    <mergeCell ref="D298:AC298"/>
    <mergeCell ref="B299:AK299"/>
    <mergeCell ref="B305:K305"/>
    <mergeCell ref="AD305:AF305"/>
    <mergeCell ref="AI305:AJ305"/>
    <mergeCell ref="B316:K316"/>
    <mergeCell ref="AD316:AF316"/>
    <mergeCell ref="AI316:AJ316"/>
    <mergeCell ref="D322:AC322"/>
    <mergeCell ref="D323:AC323"/>
    <mergeCell ref="B324:AK324"/>
    <mergeCell ref="B328:K328"/>
    <mergeCell ref="AD328:AF328"/>
    <mergeCell ref="AI328:AJ328"/>
    <mergeCell ref="B329:AK329"/>
    <mergeCell ref="B333:K333"/>
    <mergeCell ref="AD333:AF333"/>
    <mergeCell ref="AI333:AJ333"/>
    <mergeCell ref="AI339:AJ339"/>
    <mergeCell ref="B340:AK340"/>
    <mergeCell ref="G448:AB448"/>
    <mergeCell ref="B342:K342"/>
    <mergeCell ref="AD342:AF342"/>
    <mergeCell ref="AI342:AJ342"/>
    <mergeCell ref="D346:AC346"/>
    <mergeCell ref="B393:K393"/>
    <mergeCell ref="AD393:AF393"/>
    <mergeCell ref="AI393:AJ393"/>
    <mergeCell ref="B407:AK407"/>
    <mergeCell ref="D415:AC415"/>
    <mergeCell ref="B343:AK343"/>
    <mergeCell ref="B345:K345"/>
    <mergeCell ref="AD345:AF345"/>
    <mergeCell ref="AI345:AJ345"/>
    <mergeCell ref="D347:AC347"/>
    <mergeCell ref="B348:AK348"/>
    <mergeCell ref="B353:K353"/>
    <mergeCell ref="AD353:AF353"/>
    <mergeCell ref="AI353:AJ353"/>
    <mergeCell ref="B354:AK354"/>
    <mergeCell ref="B444:K444"/>
    <mergeCell ref="AD444:AF444"/>
    <mergeCell ref="AI444:AJ444"/>
    <mergeCell ref="B356:K356"/>
    <mergeCell ref="AD356:AF356"/>
    <mergeCell ref="AI356:AJ356"/>
    <mergeCell ref="B357:AK357"/>
    <mergeCell ref="B443:K443"/>
    <mergeCell ref="AD443:AF443"/>
    <mergeCell ref="AI443:AJ443"/>
    <mergeCell ref="B435:K435"/>
    <mergeCell ref="AD435:AF435"/>
    <mergeCell ref="AI435:AJ435"/>
    <mergeCell ref="B436:AK436"/>
    <mergeCell ref="AD401:AF401"/>
    <mergeCell ref="AI401:AJ401"/>
  </mergeCells>
  <pageMargins left="0" right="0" top="0" bottom="0" header="0.31496062992125984" footer="0.31496062992125984"/>
  <pageSetup paperSize="9" scale="90" fitToHeight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по нов. 4 </vt:lpstr>
      <vt:lpstr>по нов.5</vt:lpstr>
      <vt:lpstr>по нов.6</vt:lpstr>
      <vt:lpstr>по нов.7</vt:lpstr>
      <vt:lpstr>0</vt:lpstr>
      <vt:lpstr>'по нов. 4 '!Область_печати</vt:lpstr>
    </vt:vector>
  </TitlesOfParts>
  <Company>Finance Cometee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Elena</cp:lastModifiedBy>
  <cp:lastPrinted>2018-06-27T07:24:47Z</cp:lastPrinted>
  <dcterms:created xsi:type="dcterms:W3CDTF">2007-10-08T10:10:55Z</dcterms:created>
  <dcterms:modified xsi:type="dcterms:W3CDTF">2018-06-27T07:37:47Z</dcterms:modified>
</cp:coreProperties>
</file>